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AC2B93C8-8E88-43D3-8194-97A976D23B5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yroll History" sheetId="1" r:id="rId1"/>
    <sheet name="Workfile" sheetId="3" r:id="rId2"/>
    <sheet name="Operations" sheetId="2" r:id="rId3"/>
  </sheets>
  <definedNames>
    <definedName name="__bookmark_1">'Payroll History'!$A$1:$FY$441</definedName>
  </definedNames>
  <calcPr calcId="181029"/>
</workbook>
</file>

<file path=xl/calcChain.xml><?xml version="1.0" encoding="utf-8"?>
<calcChain xmlns="http://schemas.openxmlformats.org/spreadsheetml/2006/main">
  <c r="I441" i="3" l="1"/>
  <c r="I440" i="3"/>
  <c r="I439" i="3"/>
  <c r="H439" i="3"/>
  <c r="I438" i="3"/>
  <c r="I437" i="3"/>
  <c r="I436" i="3"/>
  <c r="I435" i="3"/>
  <c r="H435" i="3"/>
  <c r="I434" i="3"/>
  <c r="I433" i="3"/>
  <c r="I432" i="3"/>
  <c r="H432" i="3"/>
  <c r="I431" i="3"/>
  <c r="I430" i="3"/>
  <c r="I429" i="3"/>
  <c r="I428" i="3"/>
  <c r="I427" i="3"/>
  <c r="H427" i="3"/>
  <c r="I426" i="3"/>
  <c r="I425" i="3"/>
  <c r="H425" i="3"/>
  <c r="I424" i="3"/>
  <c r="I423" i="3"/>
  <c r="I422" i="3"/>
  <c r="I421" i="3"/>
  <c r="I420" i="3"/>
  <c r="I419" i="3"/>
  <c r="I418" i="3"/>
  <c r="I417" i="3"/>
  <c r="I416" i="3"/>
  <c r="H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H403" i="3"/>
  <c r="I402" i="3"/>
  <c r="I401" i="3"/>
  <c r="I400" i="3"/>
  <c r="H400" i="3"/>
  <c r="I399" i="3"/>
  <c r="I398" i="3"/>
  <c r="I397" i="3"/>
  <c r="I396" i="3"/>
  <c r="I395" i="3"/>
  <c r="I394" i="3"/>
  <c r="I393" i="3"/>
  <c r="I392" i="3"/>
  <c r="H392" i="3"/>
  <c r="I391" i="3"/>
  <c r="I390" i="3"/>
  <c r="I389" i="3"/>
  <c r="I388" i="3"/>
  <c r="I387" i="3"/>
  <c r="I386" i="3"/>
  <c r="I385" i="3"/>
  <c r="I384" i="3"/>
  <c r="H384" i="3"/>
  <c r="I383" i="3"/>
  <c r="I382" i="3"/>
  <c r="I381" i="3"/>
  <c r="I380" i="3"/>
  <c r="I379" i="3"/>
  <c r="I378" i="3"/>
  <c r="I377" i="3"/>
  <c r="I376" i="3"/>
  <c r="H376" i="3"/>
  <c r="I375" i="3"/>
  <c r="I374" i="3"/>
  <c r="I373" i="3"/>
  <c r="I372" i="3"/>
  <c r="I371" i="3"/>
  <c r="I370" i="3"/>
  <c r="I369" i="3"/>
  <c r="H369" i="3"/>
  <c r="I368" i="3"/>
  <c r="I366" i="3"/>
  <c r="H366" i="3"/>
  <c r="I365" i="3"/>
  <c r="H365" i="3"/>
  <c r="I364" i="3"/>
  <c r="I363" i="3"/>
  <c r="I362" i="3"/>
  <c r="I361" i="3"/>
  <c r="I360" i="3"/>
  <c r="I359" i="3"/>
  <c r="H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H339" i="3"/>
  <c r="I338" i="3"/>
  <c r="H338" i="3"/>
  <c r="I337" i="3"/>
  <c r="I336" i="3"/>
  <c r="I335" i="3"/>
  <c r="H335" i="3"/>
  <c r="I334" i="3"/>
  <c r="I333" i="3"/>
  <c r="I332" i="3"/>
  <c r="I331" i="3"/>
  <c r="I330" i="3"/>
  <c r="I329" i="3"/>
  <c r="H329" i="3"/>
  <c r="I328" i="3"/>
  <c r="I327" i="3"/>
  <c r="I326" i="3"/>
  <c r="I325" i="3"/>
  <c r="H325" i="3"/>
  <c r="I324" i="3"/>
  <c r="I323" i="3"/>
  <c r="I322" i="3"/>
  <c r="I321" i="3"/>
  <c r="I320" i="3"/>
  <c r="I319" i="3"/>
  <c r="H319" i="3"/>
  <c r="I318" i="3"/>
  <c r="I317" i="3"/>
  <c r="I316" i="3"/>
  <c r="H316" i="3"/>
  <c r="I315" i="3"/>
  <c r="H315" i="3"/>
  <c r="I314" i="3"/>
  <c r="I313" i="3"/>
  <c r="I312" i="3"/>
  <c r="H312" i="3"/>
  <c r="I311" i="3"/>
  <c r="I310" i="3"/>
  <c r="H310" i="3"/>
  <c r="I309" i="3"/>
  <c r="I308" i="3"/>
  <c r="H308" i="3"/>
  <c r="I307" i="3"/>
  <c r="H307" i="3"/>
  <c r="I306" i="3"/>
  <c r="I305" i="3"/>
  <c r="H305" i="3"/>
  <c r="I304" i="3"/>
  <c r="H304" i="3"/>
  <c r="I303" i="3"/>
  <c r="I302" i="3"/>
  <c r="H302" i="3"/>
  <c r="I301" i="3"/>
  <c r="H301" i="3"/>
  <c r="I300" i="3"/>
  <c r="H300" i="3"/>
  <c r="I299" i="3"/>
  <c r="I298" i="3"/>
  <c r="I297" i="3"/>
  <c r="I296" i="3"/>
  <c r="I295" i="3"/>
  <c r="I294" i="3"/>
  <c r="I293" i="3"/>
  <c r="I292" i="3"/>
  <c r="H292" i="3"/>
  <c r="I291" i="3"/>
  <c r="I290" i="3"/>
  <c r="H290" i="3"/>
  <c r="I289" i="3"/>
  <c r="H289" i="3"/>
  <c r="I288" i="3"/>
  <c r="H288" i="3"/>
  <c r="I287" i="3"/>
  <c r="I286" i="3"/>
  <c r="H286" i="3"/>
  <c r="I285" i="3"/>
  <c r="H285" i="3"/>
  <c r="I284" i="3"/>
  <c r="I283" i="3"/>
  <c r="H283" i="3"/>
  <c r="I282" i="3"/>
  <c r="I281" i="3"/>
  <c r="H281" i="3"/>
  <c r="I280" i="3"/>
  <c r="I279" i="3"/>
  <c r="H279" i="3"/>
  <c r="I278" i="3"/>
  <c r="I277" i="3"/>
  <c r="I276" i="3"/>
  <c r="H276" i="3"/>
  <c r="I275" i="3"/>
  <c r="H275" i="3"/>
  <c r="I274" i="3"/>
  <c r="I273" i="3"/>
  <c r="I272" i="3"/>
  <c r="I271" i="3"/>
  <c r="I270" i="3"/>
  <c r="I269" i="3"/>
  <c r="H269" i="3"/>
  <c r="I268" i="3"/>
  <c r="H268" i="3"/>
  <c r="I267" i="3"/>
  <c r="I266" i="3"/>
  <c r="H266" i="3"/>
  <c r="I265" i="3"/>
  <c r="I264" i="3"/>
  <c r="H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H244" i="3"/>
  <c r="I243" i="3"/>
  <c r="I242" i="3"/>
  <c r="I241" i="3"/>
  <c r="I240" i="3"/>
  <c r="H240" i="3"/>
  <c r="I238" i="3"/>
  <c r="H238" i="3"/>
  <c r="I237" i="3"/>
  <c r="H237" i="3"/>
  <c r="I236" i="3"/>
  <c r="H236" i="3"/>
  <c r="I235" i="3"/>
  <c r="I234" i="3"/>
  <c r="I233" i="3"/>
  <c r="I232" i="3"/>
  <c r="I231" i="3"/>
  <c r="I230" i="3"/>
  <c r="H230" i="3"/>
  <c r="I229" i="3"/>
  <c r="H229" i="3"/>
  <c r="I228" i="3"/>
  <c r="I227" i="3"/>
  <c r="H227" i="3"/>
  <c r="I226" i="3"/>
  <c r="I225" i="3"/>
  <c r="H225" i="3"/>
  <c r="I224" i="3"/>
  <c r="I223" i="3"/>
  <c r="H223" i="3"/>
  <c r="I222" i="3"/>
  <c r="I221" i="3"/>
  <c r="H221" i="3"/>
  <c r="I220" i="3"/>
  <c r="H220" i="3"/>
  <c r="I219" i="3"/>
  <c r="H219" i="3"/>
  <c r="I218" i="3"/>
  <c r="I217" i="3"/>
  <c r="H217" i="3"/>
  <c r="I216" i="3"/>
  <c r="H216" i="3"/>
  <c r="I215" i="3"/>
  <c r="H215" i="3"/>
  <c r="I214" i="3"/>
  <c r="I213" i="3"/>
  <c r="H213" i="3"/>
  <c r="I212" i="3"/>
  <c r="I211" i="3"/>
  <c r="I210" i="3"/>
  <c r="H210" i="3"/>
  <c r="I209" i="3"/>
  <c r="I208" i="3"/>
  <c r="H208" i="3"/>
  <c r="I207" i="3"/>
  <c r="I206" i="3"/>
  <c r="I205" i="3"/>
  <c r="H205" i="3"/>
  <c r="I204" i="3"/>
  <c r="H204" i="3"/>
  <c r="I203" i="3"/>
  <c r="I202" i="3"/>
  <c r="I201" i="3"/>
  <c r="I200" i="3"/>
  <c r="I199" i="3"/>
  <c r="I198" i="3"/>
  <c r="H198" i="3"/>
  <c r="I197" i="3"/>
  <c r="H197" i="3"/>
  <c r="I196" i="3"/>
  <c r="H196" i="3"/>
  <c r="I195" i="3"/>
  <c r="H195" i="3"/>
  <c r="I194" i="3"/>
  <c r="I193" i="3"/>
  <c r="I192" i="3"/>
  <c r="H192" i="3"/>
  <c r="I191" i="3"/>
  <c r="I190" i="3"/>
  <c r="H190" i="3"/>
  <c r="I189" i="3"/>
  <c r="H189" i="3"/>
  <c r="I188" i="3"/>
  <c r="I187" i="3"/>
  <c r="I186" i="3"/>
  <c r="I185" i="3"/>
  <c r="H185" i="3"/>
  <c r="I184" i="3"/>
  <c r="I183" i="3"/>
  <c r="I182" i="3"/>
  <c r="H182" i="3"/>
  <c r="I181" i="3"/>
  <c r="I180" i="3"/>
  <c r="I179" i="3"/>
  <c r="I178" i="3"/>
  <c r="H178" i="3"/>
  <c r="I177" i="3"/>
  <c r="H177" i="3"/>
  <c r="I176" i="3"/>
  <c r="I175" i="3"/>
  <c r="I174" i="3"/>
  <c r="I173" i="3"/>
  <c r="I172" i="3"/>
  <c r="H172" i="3"/>
  <c r="I171" i="3"/>
  <c r="I170" i="3"/>
  <c r="I169" i="3"/>
  <c r="H169" i="3"/>
  <c r="I168" i="3"/>
  <c r="H168" i="3"/>
  <c r="I167" i="3"/>
  <c r="I166" i="3"/>
  <c r="H166" i="3"/>
  <c r="I165" i="3"/>
  <c r="I164" i="3"/>
  <c r="I163" i="3"/>
  <c r="H163" i="3"/>
  <c r="I162" i="3"/>
  <c r="I161" i="3"/>
  <c r="H161" i="3"/>
  <c r="I160" i="3"/>
  <c r="I159" i="3"/>
  <c r="I158" i="3"/>
  <c r="I157" i="3"/>
  <c r="H157" i="3"/>
  <c r="I156" i="3"/>
  <c r="I155" i="3"/>
  <c r="H155" i="3"/>
  <c r="I154" i="3"/>
  <c r="I153" i="3"/>
  <c r="I152" i="3"/>
  <c r="I151" i="3"/>
  <c r="I150" i="3"/>
  <c r="I149" i="3"/>
  <c r="I148" i="3"/>
  <c r="I147" i="3"/>
  <c r="I146" i="3"/>
  <c r="I145" i="3"/>
  <c r="H145" i="3"/>
  <c r="I144" i="3"/>
  <c r="I143" i="3"/>
  <c r="I142" i="3"/>
  <c r="H142" i="3"/>
  <c r="I141" i="3"/>
  <c r="H141" i="3"/>
  <c r="I140" i="3"/>
  <c r="I139" i="3"/>
  <c r="H139" i="3"/>
  <c r="I138" i="3"/>
  <c r="H138" i="3"/>
  <c r="I137" i="3"/>
  <c r="I136" i="3"/>
  <c r="H136" i="3"/>
  <c r="I135" i="3"/>
  <c r="H135" i="3"/>
  <c r="I134" i="3"/>
  <c r="I133" i="3"/>
  <c r="H133" i="3"/>
  <c r="I132" i="3"/>
  <c r="H132" i="3"/>
  <c r="I131" i="3"/>
  <c r="I130" i="3"/>
  <c r="I129" i="3"/>
  <c r="I128" i="3"/>
  <c r="I127" i="3"/>
  <c r="H127" i="3"/>
  <c r="I126" i="3"/>
  <c r="H126" i="3"/>
  <c r="I125" i="3"/>
  <c r="I124" i="3"/>
  <c r="I123" i="3"/>
  <c r="I122" i="3"/>
  <c r="H122" i="3"/>
  <c r="I121" i="3"/>
  <c r="H121" i="3"/>
  <c r="I120" i="3"/>
  <c r="I119" i="3"/>
  <c r="H119" i="3"/>
  <c r="I118" i="3"/>
  <c r="H118" i="3"/>
  <c r="I117" i="3"/>
  <c r="H117" i="3"/>
  <c r="I116" i="3"/>
  <c r="I115" i="3"/>
  <c r="H115" i="3"/>
  <c r="I114" i="3"/>
  <c r="I113" i="3"/>
  <c r="I112" i="3"/>
  <c r="I110" i="3"/>
  <c r="I109" i="3"/>
  <c r="I108" i="3"/>
  <c r="I107" i="3"/>
  <c r="I106" i="3"/>
  <c r="I105" i="3"/>
  <c r="I104" i="3"/>
  <c r="H104" i="3"/>
  <c r="I103" i="3"/>
  <c r="I102" i="3"/>
  <c r="I101" i="3"/>
  <c r="I100" i="3"/>
  <c r="I99" i="3"/>
  <c r="I98" i="3"/>
  <c r="I97" i="3"/>
  <c r="I96" i="3"/>
  <c r="H96" i="3"/>
  <c r="I95" i="3"/>
  <c r="I94" i="3"/>
  <c r="I93" i="3"/>
  <c r="H93" i="3"/>
  <c r="I92" i="3"/>
  <c r="I91" i="3"/>
  <c r="I90" i="3"/>
  <c r="I89" i="3"/>
  <c r="H89" i="3"/>
  <c r="I88" i="3"/>
  <c r="I87" i="3"/>
  <c r="I86" i="3"/>
  <c r="I85" i="3"/>
  <c r="I84" i="3"/>
  <c r="I83" i="3"/>
  <c r="H83" i="3"/>
  <c r="I82" i="3"/>
  <c r="H82" i="3"/>
  <c r="I81" i="3"/>
  <c r="I80" i="3"/>
  <c r="I79" i="3"/>
  <c r="I78" i="3"/>
  <c r="I77" i="3"/>
  <c r="I76" i="3"/>
  <c r="I75" i="3"/>
  <c r="I74" i="3"/>
  <c r="H74" i="3"/>
  <c r="I73" i="3"/>
  <c r="I72" i="3"/>
  <c r="H72" i="3"/>
  <c r="I71" i="3"/>
  <c r="H71" i="3"/>
  <c r="I70" i="3"/>
  <c r="I69" i="3"/>
  <c r="I68" i="3"/>
  <c r="I67" i="3"/>
  <c r="I66" i="3"/>
  <c r="H66" i="3"/>
  <c r="I65" i="3"/>
  <c r="H65" i="3"/>
  <c r="I64" i="3"/>
  <c r="I63" i="3"/>
  <c r="I62" i="3"/>
  <c r="H62" i="3"/>
  <c r="I61" i="3"/>
  <c r="I60" i="3"/>
  <c r="I59" i="3"/>
  <c r="H59" i="3"/>
  <c r="I58" i="3"/>
  <c r="I57" i="3"/>
  <c r="H57" i="3"/>
  <c r="I56" i="3"/>
  <c r="I55" i="3"/>
  <c r="H55" i="3"/>
  <c r="I54" i="3"/>
  <c r="H54" i="3"/>
  <c r="I53" i="3"/>
  <c r="H53" i="3"/>
  <c r="I52" i="3"/>
  <c r="H52" i="3"/>
  <c r="I51" i="3"/>
  <c r="I50" i="3"/>
  <c r="H50" i="3"/>
  <c r="I49" i="3"/>
  <c r="I48" i="3"/>
  <c r="I47" i="3"/>
  <c r="I46" i="3"/>
  <c r="H46" i="3"/>
  <c r="I45" i="3"/>
  <c r="H45" i="3"/>
  <c r="I44" i="3"/>
  <c r="I43" i="3"/>
  <c r="H43" i="3"/>
  <c r="I42" i="3"/>
  <c r="H42" i="3"/>
  <c r="I41" i="3"/>
  <c r="I40" i="3"/>
  <c r="I39" i="3"/>
  <c r="I38" i="3"/>
  <c r="I37" i="3"/>
  <c r="H37" i="3"/>
  <c r="I36" i="3"/>
  <c r="I35" i="3"/>
  <c r="H35" i="3"/>
  <c r="I34" i="3"/>
  <c r="I33" i="3"/>
  <c r="H33" i="3"/>
  <c r="I32" i="3"/>
  <c r="I31" i="3"/>
  <c r="I30" i="3"/>
  <c r="H30" i="3"/>
  <c r="I29" i="3"/>
  <c r="I28" i="3"/>
  <c r="H28" i="3"/>
  <c r="I27" i="3"/>
  <c r="I26" i="3"/>
  <c r="I25" i="3"/>
  <c r="I24" i="3"/>
  <c r="I23" i="3"/>
  <c r="I22" i="3"/>
  <c r="I21" i="3"/>
  <c r="I20" i="3"/>
  <c r="H20" i="3"/>
  <c r="I19" i="3"/>
  <c r="I18" i="3"/>
  <c r="I17" i="3"/>
  <c r="I16" i="3"/>
  <c r="I15" i="3"/>
  <c r="I14" i="3"/>
  <c r="I13" i="3"/>
  <c r="I12" i="3"/>
  <c r="I11" i="3"/>
  <c r="I10" i="3"/>
  <c r="H10" i="3"/>
  <c r="I9" i="3"/>
  <c r="I8" i="3"/>
  <c r="I7" i="3"/>
  <c r="I6" i="3"/>
  <c r="I5" i="3"/>
  <c r="I4" i="3"/>
  <c r="I3" i="3"/>
  <c r="I2" i="3"/>
  <c r="H2" i="2"/>
  <c r="I2" i="2"/>
  <c r="J2" i="2"/>
  <c r="K2" i="2"/>
  <c r="CG2" i="2"/>
  <c r="CH2" i="2"/>
  <c r="CQ2" i="2"/>
  <c r="CR2" i="2"/>
  <c r="CS2" i="2"/>
  <c r="FJ2" i="2"/>
  <c r="FM2" i="2"/>
  <c r="FN2" i="2"/>
  <c r="FY2" i="2"/>
  <c r="H3" i="2"/>
  <c r="I3" i="2"/>
  <c r="J3" i="2"/>
  <c r="CH3" i="2"/>
  <c r="CN3" i="2"/>
  <c r="CP3" i="2"/>
  <c r="CQ3" i="2"/>
  <c r="CR3" i="2"/>
  <c r="FN3" i="2"/>
  <c r="FV3" i="2"/>
  <c r="FX3" i="2"/>
  <c r="FY3" i="2"/>
  <c r="H4" i="2"/>
  <c r="I4" i="2"/>
  <c r="J4" i="2"/>
  <c r="K4" i="2"/>
  <c r="BW4" i="2"/>
  <c r="CG4" i="2"/>
  <c r="CN4" i="2"/>
  <c r="CQ4" i="2"/>
  <c r="CR4" i="2"/>
  <c r="CS4" i="2"/>
  <c r="FG4" i="2"/>
  <c r="FM4" i="2"/>
  <c r="FV4" i="2"/>
  <c r="FY4" i="2"/>
  <c r="H5" i="2"/>
  <c r="I5" i="2"/>
  <c r="J5" i="2"/>
  <c r="K5" i="2"/>
  <c r="CH5" i="2"/>
  <c r="CI5" i="2"/>
  <c r="CL5" i="2"/>
  <c r="CN5" i="2"/>
  <c r="CP5" i="2"/>
  <c r="CQ5" i="2"/>
  <c r="CR5" i="2"/>
  <c r="CS5" i="2"/>
  <c r="FN5" i="2"/>
  <c r="FO5" i="2"/>
  <c r="FS5" i="2"/>
  <c r="FV5" i="2"/>
  <c r="FX5" i="2"/>
  <c r="FY5" i="2"/>
  <c r="H6" i="2"/>
  <c r="I6" i="2"/>
  <c r="J6" i="2"/>
  <c r="K6" i="2"/>
  <c r="CH6" i="2"/>
  <c r="CQ6" i="2"/>
  <c r="CR6" i="2"/>
  <c r="CS6" i="2"/>
  <c r="FN6" i="2"/>
  <c r="FY6" i="2"/>
  <c r="H7" i="2"/>
  <c r="I7" i="2"/>
  <c r="J7" i="2"/>
  <c r="K7" i="2"/>
  <c r="CH7" i="2"/>
  <c r="CQ7" i="2"/>
  <c r="CR7" i="2"/>
  <c r="CS7" i="2"/>
  <c r="FJ7" i="2"/>
  <c r="FN7" i="2"/>
  <c r="FY7" i="2"/>
  <c r="H8" i="2"/>
  <c r="I8" i="2"/>
  <c r="J8" i="2"/>
  <c r="K8" i="2"/>
  <c r="CG8" i="2"/>
  <c r="CH8" i="2"/>
  <c r="CN8" i="2"/>
  <c r="CQ8" i="2"/>
  <c r="CR8" i="2"/>
  <c r="CS8" i="2"/>
  <c r="FM8" i="2"/>
  <c r="FN8" i="2"/>
  <c r="FV8" i="2"/>
  <c r="FY8" i="2"/>
  <c r="H9" i="2"/>
  <c r="I9" i="2"/>
  <c r="J9" i="2"/>
  <c r="K9" i="2"/>
  <c r="CH9" i="2"/>
  <c r="CQ9" i="2"/>
  <c r="CR9" i="2"/>
  <c r="CS9" i="2"/>
  <c r="FJ9" i="2"/>
  <c r="FN9" i="2"/>
  <c r="FY9" i="2"/>
  <c r="H10" i="2"/>
  <c r="I10" i="2"/>
  <c r="J10" i="2"/>
  <c r="K10" i="2"/>
  <c r="AK10" i="2"/>
  <c r="CH10" i="2"/>
  <c r="CI10" i="2"/>
  <c r="CJ10" i="2"/>
  <c r="CL10" i="2"/>
  <c r="CN10" i="2"/>
  <c r="CQ10" i="2"/>
  <c r="CR10" i="2"/>
  <c r="CS10" i="2"/>
  <c r="DT10" i="2"/>
  <c r="FN10" i="2"/>
  <c r="FO10" i="2"/>
  <c r="FP10" i="2"/>
  <c r="FS10" i="2"/>
  <c r="FV10" i="2"/>
  <c r="FY10" i="2"/>
  <c r="H11" i="2"/>
  <c r="I11" i="2"/>
  <c r="J11" i="2"/>
  <c r="CQ11" i="2"/>
  <c r="CR11" i="2"/>
  <c r="FY11" i="2"/>
  <c r="H12" i="2"/>
  <c r="I12" i="2"/>
  <c r="J12" i="2"/>
  <c r="K12" i="2"/>
  <c r="CH12" i="2"/>
  <c r="CQ12" i="2"/>
  <c r="CR12" i="2"/>
  <c r="CS12" i="2"/>
  <c r="FJ12" i="2"/>
  <c r="FN12" i="2"/>
  <c r="FY12" i="2"/>
  <c r="H13" i="2"/>
  <c r="I13" i="2"/>
  <c r="J13" i="2"/>
  <c r="K13" i="2"/>
  <c r="CH13" i="2"/>
  <c r="CQ13" i="2"/>
  <c r="CR13" i="2"/>
  <c r="CS13" i="2"/>
  <c r="FJ13" i="2"/>
  <c r="FN13" i="2"/>
  <c r="FY13" i="2"/>
  <c r="H14" i="2"/>
  <c r="I14" i="2"/>
  <c r="J14" i="2"/>
  <c r="K14" i="2"/>
  <c r="CG14" i="2"/>
  <c r="CH14" i="2"/>
  <c r="CN14" i="2"/>
  <c r="CQ14" i="2"/>
  <c r="CR14" i="2"/>
  <c r="CS14" i="2"/>
  <c r="FJ14" i="2"/>
  <c r="FM14" i="2"/>
  <c r="FN14" i="2"/>
  <c r="FV14" i="2"/>
  <c r="FY14" i="2"/>
  <c r="H15" i="2"/>
  <c r="I15" i="2"/>
  <c r="J15" i="2"/>
  <c r="K15" i="2"/>
  <c r="BW15" i="2"/>
  <c r="CG15" i="2"/>
  <c r="CH15" i="2"/>
  <c r="CI15" i="2"/>
  <c r="CJ15" i="2"/>
  <c r="CL15" i="2"/>
  <c r="CN15" i="2"/>
  <c r="CQ15" i="2"/>
  <c r="CR15" i="2"/>
  <c r="CS15" i="2"/>
  <c r="EW15" i="2"/>
  <c r="FG15" i="2"/>
  <c r="FJ15" i="2"/>
  <c r="FM15" i="2"/>
  <c r="FN15" i="2"/>
  <c r="FO15" i="2"/>
  <c r="FP15" i="2"/>
  <c r="FS15" i="2"/>
  <c r="FV15" i="2"/>
  <c r="FY15" i="2"/>
  <c r="H16" i="2"/>
  <c r="I16" i="2"/>
  <c r="J16" i="2"/>
  <c r="K16" i="2"/>
  <c r="CF16" i="2"/>
  <c r="CG16" i="2"/>
  <c r="CH16" i="2"/>
  <c r="CI16" i="2"/>
  <c r="CJ16" i="2"/>
  <c r="CL16" i="2"/>
  <c r="CN16" i="2"/>
  <c r="CP16" i="2"/>
  <c r="CQ16" i="2"/>
  <c r="CR16" i="2"/>
  <c r="CS16" i="2"/>
  <c r="FL16" i="2"/>
  <c r="FM16" i="2"/>
  <c r="FN16" i="2"/>
  <c r="FO16" i="2"/>
  <c r="FP16" i="2"/>
  <c r="FS16" i="2"/>
  <c r="FV16" i="2"/>
  <c r="FX16" i="2"/>
  <c r="FY16" i="2"/>
  <c r="H17" i="2"/>
  <c r="I17" i="2"/>
  <c r="J17" i="2"/>
  <c r="K17" i="2"/>
  <c r="BW17" i="2"/>
  <c r="CG17" i="2"/>
  <c r="CH17" i="2"/>
  <c r="CI17" i="2"/>
  <c r="CL17" i="2"/>
  <c r="CN17" i="2"/>
  <c r="CQ17" i="2"/>
  <c r="CR17" i="2"/>
  <c r="CS17" i="2"/>
  <c r="FG17" i="2"/>
  <c r="FJ17" i="2"/>
  <c r="FM17" i="2"/>
  <c r="FN17" i="2"/>
  <c r="FO17" i="2"/>
  <c r="FS17" i="2"/>
  <c r="FV17" i="2"/>
  <c r="FY17" i="2"/>
  <c r="H18" i="2"/>
  <c r="I18" i="2"/>
  <c r="J18" i="2"/>
  <c r="K18" i="2"/>
  <c r="BW18" i="2"/>
  <c r="CG18" i="2"/>
  <c r="CH18" i="2"/>
  <c r="CI18" i="2"/>
  <c r="CL18" i="2"/>
  <c r="CN18" i="2"/>
  <c r="CQ18" i="2"/>
  <c r="CR18" i="2"/>
  <c r="CS18" i="2"/>
  <c r="EW18" i="2"/>
  <c r="FG18" i="2"/>
  <c r="FJ18" i="2"/>
  <c r="FM18" i="2"/>
  <c r="FN18" i="2"/>
  <c r="FO18" i="2"/>
  <c r="FS18" i="2"/>
  <c r="FV18" i="2"/>
  <c r="FY18" i="2"/>
  <c r="H19" i="2"/>
  <c r="I19" i="2"/>
  <c r="J19" i="2"/>
  <c r="K19" i="2"/>
  <c r="CH19" i="2"/>
  <c r="CQ19" i="2"/>
  <c r="CR19" i="2"/>
  <c r="CS19" i="2"/>
  <c r="FJ19" i="2"/>
  <c r="FN19" i="2"/>
  <c r="FY19" i="2"/>
  <c r="H20" i="2"/>
  <c r="I20" i="2"/>
  <c r="J20" i="2"/>
  <c r="CH20" i="2"/>
  <c r="CI20" i="2"/>
  <c r="CP20" i="2"/>
  <c r="CQ20" i="2"/>
  <c r="CR20" i="2"/>
  <c r="FN20" i="2"/>
  <c r="FO20" i="2"/>
  <c r="FX20" i="2"/>
  <c r="FY20" i="2"/>
  <c r="H21" i="2"/>
  <c r="I21" i="2"/>
  <c r="J21" i="2"/>
  <c r="K21" i="2"/>
  <c r="CG21" i="2"/>
  <c r="CH21" i="2"/>
  <c r="CQ21" i="2"/>
  <c r="CR21" i="2"/>
  <c r="CS21" i="2"/>
  <c r="FJ21" i="2"/>
  <c r="FM21" i="2"/>
  <c r="FN21" i="2"/>
  <c r="FY21" i="2"/>
  <c r="H22" i="2"/>
  <c r="I22" i="2"/>
  <c r="J22" i="2"/>
  <c r="K22" i="2"/>
  <c r="AK22" i="2"/>
  <c r="BW22" i="2"/>
  <c r="CF22" i="2"/>
  <c r="CG22" i="2"/>
  <c r="CH22" i="2"/>
  <c r="CI22" i="2"/>
  <c r="CL22" i="2"/>
  <c r="CN22" i="2"/>
  <c r="CQ22" i="2"/>
  <c r="CR22" i="2"/>
  <c r="CS22" i="2"/>
  <c r="DT22" i="2"/>
  <c r="FG22" i="2"/>
  <c r="FL22" i="2"/>
  <c r="FM22" i="2"/>
  <c r="FN22" i="2"/>
  <c r="FO22" i="2"/>
  <c r="FS22" i="2"/>
  <c r="FV22" i="2"/>
  <c r="FY22" i="2"/>
  <c r="H23" i="2"/>
  <c r="I23" i="2"/>
  <c r="J23" i="2"/>
  <c r="AK23" i="2"/>
  <c r="BW23" i="2"/>
  <c r="CG23" i="2"/>
  <c r="CH23" i="2"/>
  <c r="CI23" i="2"/>
  <c r="CN23" i="2"/>
  <c r="CQ23" i="2"/>
  <c r="CR23" i="2"/>
  <c r="DT23" i="2"/>
  <c r="FJ23" i="2"/>
  <c r="FM23" i="2"/>
  <c r="FN23" i="2"/>
  <c r="FV23" i="2"/>
  <c r="FY23" i="2"/>
  <c r="H24" i="2"/>
  <c r="I24" i="2"/>
  <c r="J24" i="2"/>
  <c r="CQ24" i="2"/>
  <c r="CR24" i="2"/>
  <c r="FY24" i="2"/>
  <c r="H25" i="2"/>
  <c r="I25" i="2"/>
  <c r="J25" i="2"/>
  <c r="K25" i="2"/>
  <c r="BW25" i="2"/>
  <c r="CG25" i="2"/>
  <c r="CH25" i="2"/>
  <c r="CI25" i="2"/>
  <c r="CJ25" i="2"/>
  <c r="CL25" i="2"/>
  <c r="CN25" i="2"/>
  <c r="CQ25" i="2"/>
  <c r="CR25" i="2"/>
  <c r="CS25" i="2"/>
  <c r="FG25" i="2"/>
  <c r="FJ25" i="2"/>
  <c r="FM25" i="2"/>
  <c r="FN25" i="2"/>
  <c r="FO25" i="2"/>
  <c r="FP25" i="2"/>
  <c r="FS25" i="2"/>
  <c r="FV25" i="2"/>
  <c r="FY25" i="2"/>
  <c r="H26" i="2"/>
  <c r="I26" i="2"/>
  <c r="J26" i="2"/>
  <c r="AK26" i="2"/>
  <c r="BC26" i="2"/>
  <c r="BW26" i="2"/>
  <c r="CG26" i="2"/>
  <c r="CH26" i="2"/>
  <c r="CI26" i="2"/>
  <c r="CL26" i="2"/>
  <c r="CN26" i="2"/>
  <c r="CQ26" i="2"/>
  <c r="CR26" i="2"/>
  <c r="DT26" i="2"/>
  <c r="EL26" i="2"/>
  <c r="FM26" i="2"/>
  <c r="FN26" i="2"/>
  <c r="FS26" i="2"/>
  <c r="FV26" i="2"/>
  <c r="FY26" i="2"/>
  <c r="H27" i="2"/>
  <c r="I27" i="2"/>
  <c r="J27" i="2"/>
  <c r="AK27" i="2"/>
  <c r="BC27" i="2"/>
  <c r="BW27" i="2"/>
  <c r="CF27" i="2"/>
  <c r="CG27" i="2"/>
  <c r="CH27" i="2"/>
  <c r="CI27" i="2"/>
  <c r="CN27" i="2"/>
  <c r="CQ27" i="2"/>
  <c r="CR27" i="2"/>
  <c r="DT27" i="2"/>
  <c r="EL27" i="2"/>
  <c r="FM27" i="2"/>
  <c r="FV27" i="2"/>
  <c r="FY27" i="2"/>
  <c r="H28" i="2"/>
  <c r="I28" i="2"/>
  <c r="J28" i="2"/>
  <c r="AL28" i="2"/>
  <c r="BW28" i="2"/>
  <c r="CG28" i="2"/>
  <c r="CH28" i="2"/>
  <c r="CI28" i="2"/>
  <c r="CN28" i="2"/>
  <c r="CP28" i="2"/>
  <c r="CQ28" i="2"/>
  <c r="CR28" i="2"/>
  <c r="DU28" i="2"/>
  <c r="EM28" i="2"/>
  <c r="FG28" i="2"/>
  <c r="FJ28" i="2"/>
  <c r="FN28" i="2"/>
  <c r="FO28" i="2"/>
  <c r="FV28" i="2"/>
  <c r="FX28" i="2"/>
  <c r="FY28" i="2"/>
  <c r="H29" i="2"/>
  <c r="I29" i="2"/>
  <c r="J29" i="2"/>
  <c r="AL29" i="2"/>
  <c r="BC29" i="2"/>
  <c r="BW29" i="2"/>
  <c r="CG29" i="2"/>
  <c r="CH29" i="2"/>
  <c r="CI29" i="2"/>
  <c r="CN29" i="2"/>
  <c r="CP29" i="2"/>
  <c r="CQ29" i="2"/>
  <c r="CR29" i="2"/>
  <c r="DU29" i="2"/>
  <c r="FJ29" i="2"/>
  <c r="FM29" i="2"/>
  <c r="FN29" i="2"/>
  <c r="FO29" i="2"/>
  <c r="FV29" i="2"/>
  <c r="FX29" i="2"/>
  <c r="FY29" i="2"/>
  <c r="H30" i="2"/>
  <c r="I30" i="2"/>
  <c r="J30" i="2"/>
  <c r="AL30" i="2"/>
  <c r="CH30" i="2"/>
  <c r="CI30" i="2"/>
  <c r="CN30" i="2"/>
  <c r="CQ30" i="2"/>
  <c r="CR30" i="2"/>
  <c r="DU30" i="2"/>
  <c r="FJ30" i="2"/>
  <c r="FN30" i="2"/>
  <c r="FO30" i="2"/>
  <c r="FV30" i="2"/>
  <c r="FY30" i="2"/>
  <c r="H31" i="2"/>
  <c r="I31" i="2"/>
  <c r="J31" i="2"/>
  <c r="AL31" i="2"/>
  <c r="BW31" i="2"/>
  <c r="CG31" i="2"/>
  <c r="CH31" i="2"/>
  <c r="CI31" i="2"/>
  <c r="CN31" i="2"/>
  <c r="CQ31" i="2"/>
  <c r="CR31" i="2"/>
  <c r="DU31" i="2"/>
  <c r="FG31" i="2"/>
  <c r="FJ31" i="2"/>
  <c r="FM31" i="2"/>
  <c r="FN31" i="2"/>
  <c r="FV31" i="2"/>
  <c r="FY31" i="2"/>
  <c r="H32" i="2"/>
  <c r="I32" i="2"/>
  <c r="J32" i="2"/>
  <c r="K32" i="2"/>
  <c r="CG32" i="2"/>
  <c r="CH32" i="2"/>
  <c r="CN32" i="2"/>
  <c r="CQ32" i="2"/>
  <c r="CR32" i="2"/>
  <c r="CS32" i="2"/>
  <c r="FJ32" i="2"/>
  <c r="FM32" i="2"/>
  <c r="FN32" i="2"/>
  <c r="FV32" i="2"/>
  <c r="FY32" i="2"/>
  <c r="H33" i="2"/>
  <c r="I33" i="2"/>
  <c r="J33" i="2"/>
  <c r="K33" i="2"/>
  <c r="CG33" i="2"/>
  <c r="CH33" i="2"/>
  <c r="CQ33" i="2"/>
  <c r="CR33" i="2"/>
  <c r="CS33" i="2"/>
  <c r="FJ33" i="2"/>
  <c r="FM33" i="2"/>
  <c r="FN33" i="2"/>
  <c r="FY33" i="2"/>
  <c r="H34" i="2"/>
  <c r="I34" i="2"/>
  <c r="J34" i="2"/>
  <c r="K34" i="2"/>
  <c r="CH34" i="2"/>
  <c r="CI34" i="2"/>
  <c r="CJ34" i="2"/>
  <c r="CP34" i="2"/>
  <c r="CQ34" i="2"/>
  <c r="CR34" i="2"/>
  <c r="CS34" i="2"/>
  <c r="FN34" i="2"/>
  <c r="FO34" i="2"/>
  <c r="FP34" i="2"/>
  <c r="FX34" i="2"/>
  <c r="FY34" i="2"/>
  <c r="H35" i="2"/>
  <c r="I35" i="2"/>
  <c r="J35" i="2"/>
  <c r="K35" i="2"/>
  <c r="BW35" i="2"/>
  <c r="CG35" i="2"/>
  <c r="CH35" i="2"/>
  <c r="CI35" i="2"/>
  <c r="CL35" i="2"/>
  <c r="CN35" i="2"/>
  <c r="CQ35" i="2"/>
  <c r="CR35" i="2"/>
  <c r="CS35" i="2"/>
  <c r="EW35" i="2"/>
  <c r="FG35" i="2"/>
  <c r="FJ35" i="2"/>
  <c r="FM35" i="2"/>
  <c r="FN35" i="2"/>
  <c r="FO35" i="2"/>
  <c r="FS35" i="2"/>
  <c r="FV35" i="2"/>
  <c r="FY35" i="2"/>
  <c r="H36" i="2"/>
  <c r="I36" i="2"/>
  <c r="J36" i="2"/>
  <c r="BW36" i="2"/>
  <c r="CH36" i="2"/>
  <c r="CI36" i="2"/>
  <c r="CL36" i="2"/>
  <c r="CN36" i="2"/>
  <c r="CP36" i="2"/>
  <c r="CQ36" i="2"/>
  <c r="CR36" i="2"/>
  <c r="FG36" i="2"/>
  <c r="FJ36" i="2"/>
  <c r="FN36" i="2"/>
  <c r="FO36" i="2"/>
  <c r="FS36" i="2"/>
  <c r="FV36" i="2"/>
  <c r="FX36" i="2"/>
  <c r="FY36" i="2"/>
  <c r="H37" i="2"/>
  <c r="I37" i="2"/>
  <c r="J37" i="2"/>
  <c r="K37" i="2"/>
  <c r="BW37" i="2"/>
  <c r="CH37" i="2"/>
  <c r="CI37" i="2"/>
  <c r="CL37" i="2"/>
  <c r="CN37" i="2"/>
  <c r="CP37" i="2"/>
  <c r="CQ37" i="2"/>
  <c r="CR37" i="2"/>
  <c r="CS37" i="2"/>
  <c r="EW37" i="2"/>
  <c r="FG37" i="2"/>
  <c r="FN37" i="2"/>
  <c r="FO37" i="2"/>
  <c r="FS37" i="2"/>
  <c r="FV37" i="2"/>
  <c r="FX37" i="2"/>
  <c r="FY37" i="2"/>
  <c r="H38" i="2"/>
  <c r="I38" i="2"/>
  <c r="J38" i="2"/>
  <c r="AH38" i="2"/>
  <c r="BC38" i="2"/>
  <c r="BW38" i="2"/>
  <c r="CF38" i="2"/>
  <c r="CG38" i="2"/>
  <c r="CH38" i="2"/>
  <c r="CI38" i="2"/>
  <c r="CN38" i="2"/>
  <c r="CP38" i="2"/>
  <c r="CQ38" i="2"/>
  <c r="CR38" i="2"/>
  <c r="DQ38" i="2"/>
  <c r="FJ38" i="2"/>
  <c r="FL38" i="2"/>
  <c r="FM38" i="2"/>
  <c r="FN38" i="2"/>
  <c r="FV38" i="2"/>
  <c r="FX38" i="2"/>
  <c r="FY38" i="2"/>
  <c r="H39" i="2"/>
  <c r="I39" i="2"/>
  <c r="J39" i="2"/>
  <c r="K39" i="2"/>
  <c r="BW39" i="2"/>
  <c r="CG39" i="2"/>
  <c r="CH39" i="2"/>
  <c r="CI39" i="2"/>
  <c r="CL39" i="2"/>
  <c r="CN39" i="2"/>
  <c r="CQ39" i="2"/>
  <c r="CR39" i="2"/>
  <c r="CS39" i="2"/>
  <c r="FG39" i="2"/>
  <c r="FJ39" i="2"/>
  <c r="FM39" i="2"/>
  <c r="FN39" i="2"/>
  <c r="FO39" i="2"/>
  <c r="FS39" i="2"/>
  <c r="FV39" i="2"/>
  <c r="FY39" i="2"/>
  <c r="H40" i="2"/>
  <c r="I40" i="2"/>
  <c r="J40" i="2"/>
  <c r="BW40" i="2"/>
  <c r="CH40" i="2"/>
  <c r="CI40" i="2"/>
  <c r="CN40" i="2"/>
  <c r="CQ40" i="2"/>
  <c r="CR40" i="2"/>
  <c r="FG40" i="2"/>
  <c r="FJ40" i="2"/>
  <c r="FN40" i="2"/>
  <c r="FO40" i="2"/>
  <c r="FV40" i="2"/>
  <c r="FY40" i="2"/>
  <c r="H41" i="2"/>
  <c r="I41" i="2"/>
  <c r="J41" i="2"/>
  <c r="K41" i="2"/>
  <c r="BW41" i="2"/>
  <c r="CG41" i="2"/>
  <c r="CH41" i="2"/>
  <c r="CI41" i="2"/>
  <c r="CL41" i="2"/>
  <c r="CN41" i="2"/>
  <c r="CQ41" i="2"/>
  <c r="CR41" i="2"/>
  <c r="CS41" i="2"/>
  <c r="EW41" i="2"/>
  <c r="FG41" i="2"/>
  <c r="FJ41" i="2"/>
  <c r="FM41" i="2"/>
  <c r="FN41" i="2"/>
  <c r="FO41" i="2"/>
  <c r="FS41" i="2"/>
  <c r="FV41" i="2"/>
  <c r="FY41" i="2"/>
  <c r="H42" i="2"/>
  <c r="I42" i="2"/>
  <c r="J42" i="2"/>
  <c r="AM42" i="2"/>
  <c r="BC42" i="2"/>
  <c r="BW42" i="2"/>
  <c r="CF42" i="2"/>
  <c r="CG42" i="2"/>
  <c r="CH42" i="2"/>
  <c r="CI42" i="2"/>
  <c r="CN42" i="2"/>
  <c r="CQ42" i="2"/>
  <c r="CR42" i="2"/>
  <c r="DV42" i="2"/>
  <c r="ER42" i="2"/>
  <c r="FJ42" i="2"/>
  <c r="FM42" i="2"/>
  <c r="FN42" i="2"/>
  <c r="FV42" i="2"/>
  <c r="FY42" i="2"/>
  <c r="H43" i="2"/>
  <c r="I43" i="2"/>
  <c r="J43" i="2"/>
  <c r="BW43" i="2"/>
  <c r="CG43" i="2"/>
  <c r="CH43" i="2"/>
  <c r="CI43" i="2"/>
  <c r="CL43" i="2"/>
  <c r="CN43" i="2"/>
  <c r="CQ43" i="2"/>
  <c r="CR43" i="2"/>
  <c r="FG43" i="2"/>
  <c r="FJ43" i="2"/>
  <c r="FM43" i="2"/>
  <c r="FN43" i="2"/>
  <c r="FO43" i="2"/>
  <c r="FS43" i="2"/>
  <c r="FV43" i="2"/>
  <c r="FY43" i="2"/>
  <c r="H44" i="2"/>
  <c r="I44" i="2"/>
  <c r="J44" i="2"/>
  <c r="AM44" i="2"/>
  <c r="BW44" i="2"/>
  <c r="CG44" i="2"/>
  <c r="CH44" i="2"/>
  <c r="CI44" i="2"/>
  <c r="CN44" i="2"/>
  <c r="CQ44" i="2"/>
  <c r="CR44" i="2"/>
  <c r="DV44" i="2"/>
  <c r="FG44" i="2"/>
  <c r="FJ44" i="2"/>
  <c r="FM44" i="2"/>
  <c r="FN44" i="2"/>
  <c r="FO44" i="2"/>
  <c r="FV44" i="2"/>
  <c r="FY44" i="2"/>
  <c r="H45" i="2"/>
  <c r="I45" i="2"/>
  <c r="J45" i="2"/>
  <c r="K45" i="2"/>
  <c r="BW45" i="2"/>
  <c r="CG45" i="2"/>
  <c r="CH45" i="2"/>
  <c r="CI45" i="2"/>
  <c r="CL45" i="2"/>
  <c r="CN45" i="2"/>
  <c r="CQ45" i="2"/>
  <c r="CR45" i="2"/>
  <c r="CS45" i="2"/>
  <c r="ER45" i="2"/>
  <c r="FG45" i="2"/>
  <c r="FJ45" i="2"/>
  <c r="FM45" i="2"/>
  <c r="FN45" i="2"/>
  <c r="FO45" i="2"/>
  <c r="FS45" i="2"/>
  <c r="FV45" i="2"/>
  <c r="FY45" i="2"/>
  <c r="H46" i="2"/>
  <c r="I46" i="2"/>
  <c r="J46" i="2"/>
  <c r="AM46" i="2"/>
  <c r="BW46" i="2"/>
  <c r="CG46" i="2"/>
  <c r="CH46" i="2"/>
  <c r="CI46" i="2"/>
  <c r="CN46" i="2"/>
  <c r="CQ46" i="2"/>
  <c r="CR46" i="2"/>
  <c r="DV46" i="2"/>
  <c r="FG46" i="2"/>
  <c r="FJ46" i="2"/>
  <c r="FM46" i="2"/>
  <c r="FN46" i="2"/>
  <c r="FO46" i="2"/>
  <c r="FV46" i="2"/>
  <c r="FY46" i="2"/>
  <c r="H47" i="2"/>
  <c r="I47" i="2"/>
  <c r="J47" i="2"/>
  <c r="AM47" i="2"/>
  <c r="BC47" i="2"/>
  <c r="BW47" i="2"/>
  <c r="CF47" i="2"/>
  <c r="CG47" i="2"/>
  <c r="CH47" i="2"/>
  <c r="CI47" i="2"/>
  <c r="CN47" i="2"/>
  <c r="CO47" i="2"/>
  <c r="CP47" i="2"/>
  <c r="CQ47" i="2"/>
  <c r="CR47" i="2"/>
  <c r="DV47" i="2"/>
  <c r="FG47" i="2"/>
  <c r="FJ47" i="2"/>
  <c r="FL47" i="2"/>
  <c r="FM47" i="2"/>
  <c r="FN47" i="2"/>
  <c r="FO47" i="2"/>
  <c r="FV47" i="2"/>
  <c r="FX47" i="2"/>
  <c r="FY47" i="2"/>
  <c r="H48" i="2"/>
  <c r="I48" i="2"/>
  <c r="J48" i="2"/>
  <c r="AS48" i="2"/>
  <c r="BW48" i="2"/>
  <c r="CG48" i="2"/>
  <c r="CH48" i="2"/>
  <c r="CI48" i="2"/>
  <c r="CN48" i="2"/>
  <c r="CQ48" i="2"/>
  <c r="CR48" i="2"/>
  <c r="EB48" i="2"/>
  <c r="FJ48" i="2"/>
  <c r="FM48" i="2"/>
  <c r="FN48" i="2"/>
  <c r="FV48" i="2"/>
  <c r="FY48" i="2"/>
  <c r="H49" i="2"/>
  <c r="I49" i="2"/>
  <c r="J49" i="2"/>
  <c r="K49" i="2"/>
  <c r="BW49" i="2"/>
  <c r="CG49" i="2"/>
  <c r="CH49" i="2"/>
  <c r="CI49" i="2"/>
  <c r="CL49" i="2"/>
  <c r="CN49" i="2"/>
  <c r="CQ49" i="2"/>
  <c r="CR49" i="2"/>
  <c r="CS49" i="2"/>
  <c r="FG49" i="2"/>
  <c r="FJ49" i="2"/>
  <c r="FM49" i="2"/>
  <c r="FN49" i="2"/>
  <c r="FO49" i="2"/>
  <c r="FS49" i="2"/>
  <c r="FV49" i="2"/>
  <c r="FY49" i="2"/>
  <c r="H50" i="2"/>
  <c r="I50" i="2"/>
  <c r="J50" i="2"/>
  <c r="AN50" i="2"/>
  <c r="BW50" i="2"/>
  <c r="CG50" i="2"/>
  <c r="CH50" i="2"/>
  <c r="CI50" i="2"/>
  <c r="CN50" i="2"/>
  <c r="CQ50" i="2"/>
  <c r="CR50" i="2"/>
  <c r="DW50" i="2"/>
  <c r="ER50" i="2"/>
  <c r="FJ50" i="2"/>
  <c r="FM50" i="2"/>
  <c r="FN50" i="2"/>
  <c r="FV50" i="2"/>
  <c r="FY50" i="2"/>
  <c r="H51" i="2"/>
  <c r="I51" i="2"/>
  <c r="J51" i="2"/>
  <c r="AN51" i="2"/>
  <c r="BC51" i="2"/>
  <c r="BW51" i="2"/>
  <c r="CG51" i="2"/>
  <c r="CH51" i="2"/>
  <c r="CI51" i="2"/>
  <c r="CN51" i="2"/>
  <c r="CQ51" i="2"/>
  <c r="CR51" i="2"/>
  <c r="DW51" i="2"/>
  <c r="EL51" i="2"/>
  <c r="EW51" i="2"/>
  <c r="FJ51" i="2"/>
  <c r="FM51" i="2"/>
  <c r="FN51" i="2"/>
  <c r="FV51" i="2"/>
  <c r="FY51" i="2"/>
  <c r="H52" i="2"/>
  <c r="I52" i="2"/>
  <c r="J52" i="2"/>
  <c r="AN52" i="2"/>
  <c r="BC52" i="2"/>
  <c r="BW52" i="2"/>
  <c r="CG52" i="2"/>
  <c r="CH52" i="2"/>
  <c r="CI52" i="2"/>
  <c r="CN52" i="2"/>
  <c r="CP52" i="2"/>
  <c r="CQ52" i="2"/>
  <c r="CR52" i="2"/>
  <c r="DW52" i="2"/>
  <c r="ER52" i="2"/>
  <c r="FM52" i="2"/>
  <c r="FN52" i="2"/>
  <c r="FO52" i="2"/>
  <c r="FV52" i="2"/>
  <c r="FX52" i="2"/>
  <c r="FY52" i="2"/>
  <c r="H53" i="2"/>
  <c r="I53" i="2"/>
  <c r="J53" i="2"/>
  <c r="AN53" i="2"/>
  <c r="BW53" i="2"/>
  <c r="CG53" i="2"/>
  <c r="CH53" i="2"/>
  <c r="CI53" i="2"/>
  <c r="CN53" i="2"/>
  <c r="CQ53" i="2"/>
  <c r="CR53" i="2"/>
  <c r="DW53" i="2"/>
  <c r="ER53" i="2"/>
  <c r="FJ53" i="2"/>
  <c r="FM53" i="2"/>
  <c r="FN53" i="2"/>
  <c r="FO53" i="2"/>
  <c r="FY53" i="2"/>
  <c r="H54" i="2"/>
  <c r="I54" i="2"/>
  <c r="J54" i="2"/>
  <c r="AN54" i="2"/>
  <c r="BW54" i="2"/>
  <c r="CF54" i="2"/>
  <c r="CG54" i="2"/>
  <c r="CH54" i="2"/>
  <c r="CI54" i="2"/>
  <c r="CK54" i="2"/>
  <c r="CN54" i="2"/>
  <c r="CQ54" i="2"/>
  <c r="CR54" i="2"/>
  <c r="DW54" i="2"/>
  <c r="FJ54" i="2"/>
  <c r="FL54" i="2"/>
  <c r="FM54" i="2"/>
  <c r="FN54" i="2"/>
  <c r="FO54" i="2"/>
  <c r="FV54" i="2"/>
  <c r="FY54" i="2"/>
  <c r="H55" i="2"/>
  <c r="I55" i="2"/>
  <c r="J55" i="2"/>
  <c r="AW55" i="2"/>
  <c r="BW55" i="2"/>
  <c r="CG55" i="2"/>
  <c r="CH55" i="2"/>
  <c r="CN55" i="2"/>
  <c r="CQ55" i="2"/>
  <c r="CR55" i="2"/>
  <c r="EF55" i="2"/>
  <c r="FG55" i="2"/>
  <c r="FJ55" i="2"/>
  <c r="FM55" i="2"/>
  <c r="FN55" i="2"/>
  <c r="FV55" i="2"/>
  <c r="FY55" i="2"/>
  <c r="H56" i="2"/>
  <c r="I56" i="2"/>
  <c r="J56" i="2"/>
  <c r="K56" i="2"/>
  <c r="AI56" i="2"/>
  <c r="BW56" i="2"/>
  <c r="CG56" i="2"/>
  <c r="CH56" i="2"/>
  <c r="CI56" i="2"/>
  <c r="CL56" i="2"/>
  <c r="CN56" i="2"/>
  <c r="CQ56" i="2"/>
  <c r="CR56" i="2"/>
  <c r="CS56" i="2"/>
  <c r="DR56" i="2"/>
  <c r="FG56" i="2"/>
  <c r="FJ56" i="2"/>
  <c r="FM56" i="2"/>
  <c r="FN56" i="2"/>
  <c r="FO56" i="2"/>
  <c r="FS56" i="2"/>
  <c r="FV56" i="2"/>
  <c r="FY56" i="2"/>
  <c r="H57" i="2"/>
  <c r="I57" i="2"/>
  <c r="J57" i="2"/>
  <c r="BW57" i="2"/>
  <c r="CG57" i="2"/>
  <c r="CH57" i="2"/>
  <c r="CI57" i="2"/>
  <c r="CL57" i="2"/>
  <c r="CN57" i="2"/>
  <c r="CQ57" i="2"/>
  <c r="CR57" i="2"/>
  <c r="FG57" i="2"/>
  <c r="FJ57" i="2"/>
  <c r="FM57" i="2"/>
  <c r="FN57" i="2"/>
  <c r="FO57" i="2"/>
  <c r="FS57" i="2"/>
  <c r="FV57" i="2"/>
  <c r="FY57" i="2"/>
  <c r="H58" i="2"/>
  <c r="I58" i="2"/>
  <c r="J58" i="2"/>
  <c r="AO58" i="2"/>
  <c r="BW58" i="2"/>
  <c r="CG58" i="2"/>
  <c r="CH58" i="2"/>
  <c r="CI58" i="2"/>
  <c r="CN58" i="2"/>
  <c r="CQ58" i="2"/>
  <c r="CR58" i="2"/>
  <c r="DX58" i="2"/>
  <c r="FG58" i="2"/>
  <c r="FJ58" i="2"/>
  <c r="FM58" i="2"/>
  <c r="FN58" i="2"/>
  <c r="FO58" i="2"/>
  <c r="FV58" i="2"/>
  <c r="FY58" i="2"/>
  <c r="H59" i="2"/>
  <c r="I59" i="2"/>
  <c r="J59" i="2"/>
  <c r="AO59" i="2"/>
  <c r="BW59" i="2"/>
  <c r="CG59" i="2"/>
  <c r="CH59" i="2"/>
  <c r="CI59" i="2"/>
  <c r="CN59" i="2"/>
  <c r="CQ59" i="2"/>
  <c r="CR59" i="2"/>
  <c r="DX59" i="2"/>
  <c r="FG59" i="2"/>
  <c r="FJ59" i="2"/>
  <c r="FM59" i="2"/>
  <c r="FN59" i="2"/>
  <c r="FO59" i="2"/>
  <c r="FV59" i="2"/>
  <c r="FY59" i="2"/>
  <c r="H60" i="2"/>
  <c r="I60" i="2"/>
  <c r="J60" i="2"/>
  <c r="BW60" i="2"/>
  <c r="CH60" i="2"/>
  <c r="CI60" i="2"/>
  <c r="CL60" i="2"/>
  <c r="CN60" i="2"/>
  <c r="CQ60" i="2"/>
  <c r="CR60" i="2"/>
  <c r="FG60" i="2"/>
  <c r="FJ60" i="2"/>
  <c r="FN60" i="2"/>
  <c r="FO60" i="2"/>
  <c r="FS60" i="2"/>
  <c r="FV60" i="2"/>
  <c r="FY60" i="2"/>
  <c r="H61" i="2"/>
  <c r="I61" i="2"/>
  <c r="J61" i="2"/>
  <c r="AO61" i="2"/>
  <c r="BW61" i="2"/>
  <c r="CG61" i="2"/>
  <c r="CH61" i="2"/>
  <c r="CI61" i="2"/>
  <c r="CN61" i="2"/>
  <c r="CP61" i="2"/>
  <c r="CQ61" i="2"/>
  <c r="CR61" i="2"/>
  <c r="DX61" i="2"/>
  <c r="FJ61" i="2"/>
  <c r="FM61" i="2"/>
  <c r="FN61" i="2"/>
  <c r="FV61" i="2"/>
  <c r="FX61" i="2"/>
  <c r="FY61" i="2"/>
  <c r="I62" i="2"/>
  <c r="L62" i="2"/>
  <c r="M62" i="2"/>
  <c r="AU62" i="2"/>
  <c r="AW62" i="2"/>
  <c r="AY62" i="2"/>
  <c r="AZ62" i="2"/>
  <c r="BL62" i="2"/>
  <c r="CB62" i="2"/>
  <c r="CQ62" i="2"/>
  <c r="CT62" i="2"/>
  <c r="CU62" i="2"/>
  <c r="ED62" i="2"/>
  <c r="EF62" i="2"/>
  <c r="EH62" i="2"/>
  <c r="EI62" i="2"/>
  <c r="EY62" i="2"/>
  <c r="FJ62" i="2"/>
  <c r="FT62" i="2"/>
  <c r="FY62" i="2"/>
  <c r="H63" i="2"/>
  <c r="I63" i="2"/>
  <c r="J63" i="2"/>
  <c r="AI63" i="2"/>
  <c r="AJ63" i="2"/>
  <c r="BW63" i="2"/>
  <c r="CG63" i="2"/>
  <c r="CH63" i="2"/>
  <c r="CI63" i="2"/>
  <c r="CN63" i="2"/>
  <c r="CQ63" i="2"/>
  <c r="CR63" i="2"/>
  <c r="DR63" i="2"/>
  <c r="DS63" i="2"/>
  <c r="FJ63" i="2"/>
  <c r="FM63" i="2"/>
  <c r="FN63" i="2"/>
  <c r="FO63" i="2"/>
  <c r="FV63" i="2"/>
  <c r="FY63" i="2"/>
  <c r="I64" i="2"/>
  <c r="R64" i="2"/>
  <c r="S64" i="2"/>
  <c r="AU64" i="2"/>
  <c r="AW64" i="2"/>
  <c r="AY64" i="2"/>
  <c r="BS64" i="2"/>
  <c r="BY64" i="2"/>
  <c r="CP64" i="2"/>
  <c r="CQ64" i="2"/>
  <c r="CZ64" i="2"/>
  <c r="DA64" i="2"/>
  <c r="ED64" i="2"/>
  <c r="EF64" i="2"/>
  <c r="EH64" i="2"/>
  <c r="FR64" i="2"/>
  <c r="FX64" i="2"/>
  <c r="FY64" i="2"/>
  <c r="I65" i="2"/>
  <c r="L65" i="2"/>
  <c r="M65" i="2"/>
  <c r="AU65" i="2"/>
  <c r="AW65" i="2"/>
  <c r="AX65" i="2"/>
  <c r="AY65" i="2"/>
  <c r="AZ65" i="2"/>
  <c r="CQ65" i="2"/>
  <c r="CT65" i="2"/>
  <c r="CU65" i="2"/>
  <c r="ED65" i="2"/>
  <c r="EF65" i="2"/>
  <c r="EG65" i="2"/>
  <c r="EH65" i="2"/>
  <c r="EI65" i="2"/>
  <c r="FJ65" i="2"/>
  <c r="FT65" i="2"/>
  <c r="FY65" i="2"/>
  <c r="I66" i="2"/>
  <c r="L66" i="2"/>
  <c r="M66" i="2"/>
  <c r="AU66" i="2"/>
  <c r="AW66" i="2"/>
  <c r="AX66" i="2"/>
  <c r="AY66" i="2"/>
  <c r="AZ66" i="2"/>
  <c r="CP66" i="2"/>
  <c r="CQ66" i="2"/>
  <c r="CT66" i="2"/>
  <c r="CU66" i="2"/>
  <c r="ED66" i="2"/>
  <c r="EF66" i="2"/>
  <c r="EG66" i="2"/>
  <c r="EH66" i="2"/>
  <c r="EI66" i="2"/>
  <c r="EV66" i="2"/>
  <c r="FJ66" i="2"/>
  <c r="FT66" i="2"/>
  <c r="FX66" i="2"/>
  <c r="FY66" i="2"/>
  <c r="I67" i="2"/>
  <c r="L67" i="2"/>
  <c r="M67" i="2"/>
  <c r="AU67" i="2"/>
  <c r="AW67" i="2"/>
  <c r="AY67" i="2"/>
  <c r="AZ67" i="2"/>
  <c r="BT67" i="2"/>
  <c r="BW67" i="2"/>
  <c r="CB67" i="2"/>
  <c r="CQ67" i="2"/>
  <c r="CT67" i="2"/>
  <c r="CU67" i="2"/>
  <c r="ED67" i="2"/>
  <c r="EF67" i="2"/>
  <c r="EH67" i="2"/>
  <c r="EI67" i="2"/>
  <c r="FJ67" i="2"/>
  <c r="FT67" i="2"/>
  <c r="FY67" i="2"/>
  <c r="I68" i="2"/>
  <c r="L68" i="2"/>
  <c r="M68" i="2"/>
  <c r="AU68" i="2"/>
  <c r="AW68" i="2"/>
  <c r="AY68" i="2"/>
  <c r="AZ68" i="2"/>
  <c r="BG68" i="2"/>
  <c r="CQ68" i="2"/>
  <c r="CT68" i="2"/>
  <c r="CU68" i="2"/>
  <c r="ED68" i="2"/>
  <c r="EF68" i="2"/>
  <c r="EH68" i="2"/>
  <c r="EI68" i="2"/>
  <c r="EQ68" i="2"/>
  <c r="FJ68" i="2"/>
  <c r="FT68" i="2"/>
  <c r="FY68" i="2"/>
  <c r="I69" i="2"/>
  <c r="L69" i="2"/>
  <c r="M69" i="2"/>
  <c r="AU69" i="2"/>
  <c r="AW69" i="2"/>
  <c r="AX69" i="2"/>
  <c r="AY69" i="2"/>
  <c r="AZ69" i="2"/>
  <c r="BB69" i="2"/>
  <c r="BG69" i="2"/>
  <c r="CQ69" i="2"/>
  <c r="CT69" i="2"/>
  <c r="CU69" i="2"/>
  <c r="ED69" i="2"/>
  <c r="EF69" i="2"/>
  <c r="EG69" i="2"/>
  <c r="EH69" i="2"/>
  <c r="EI69" i="2"/>
  <c r="EK69" i="2"/>
  <c r="EQ69" i="2"/>
  <c r="FJ69" i="2"/>
  <c r="FT69" i="2"/>
  <c r="FY69" i="2"/>
  <c r="I70" i="2"/>
  <c r="R70" i="2"/>
  <c r="S70" i="2"/>
  <c r="AU70" i="2"/>
  <c r="AW70" i="2"/>
  <c r="AY70" i="2"/>
  <c r="BB70" i="2"/>
  <c r="CQ70" i="2"/>
  <c r="CZ70" i="2"/>
  <c r="DA70" i="2"/>
  <c r="ED70" i="2"/>
  <c r="EF70" i="2"/>
  <c r="EH70" i="2"/>
  <c r="EK70" i="2"/>
  <c r="FJ70" i="2"/>
  <c r="FT70" i="2"/>
  <c r="FY70" i="2"/>
  <c r="I71" i="2"/>
  <c r="R71" i="2"/>
  <c r="S71" i="2"/>
  <c r="AU71" i="2"/>
  <c r="AW71" i="2"/>
  <c r="AY71" i="2"/>
  <c r="BB71" i="2"/>
  <c r="BS71" i="2"/>
  <c r="BU71" i="2"/>
  <c r="BY71" i="2"/>
  <c r="CQ71" i="2"/>
  <c r="CZ71" i="2"/>
  <c r="DA71" i="2"/>
  <c r="ED71" i="2"/>
  <c r="EF71" i="2"/>
  <c r="EH71" i="2"/>
  <c r="EK71" i="2"/>
  <c r="FJ71" i="2"/>
  <c r="FT71" i="2"/>
  <c r="FY71" i="2"/>
  <c r="I73" i="2"/>
  <c r="R73" i="2"/>
  <c r="S73" i="2"/>
  <c r="AU73" i="2"/>
  <c r="AW73" i="2"/>
  <c r="AY73" i="2"/>
  <c r="CQ73" i="2"/>
  <c r="CZ73" i="2"/>
  <c r="DA73" i="2"/>
  <c r="ED73" i="2"/>
  <c r="EF73" i="2"/>
  <c r="EH73" i="2"/>
  <c r="FJ73" i="2"/>
  <c r="FT73" i="2"/>
  <c r="FY73" i="2"/>
  <c r="I74" i="2"/>
  <c r="L74" i="2"/>
  <c r="M74" i="2"/>
  <c r="AU74" i="2"/>
  <c r="AW74" i="2"/>
  <c r="AX74" i="2"/>
  <c r="AY74" i="2"/>
  <c r="AZ74" i="2"/>
  <c r="CQ74" i="2"/>
  <c r="CT74" i="2"/>
  <c r="CU74" i="2"/>
  <c r="ED74" i="2"/>
  <c r="EF74" i="2"/>
  <c r="EG74" i="2"/>
  <c r="EH74" i="2"/>
  <c r="EI74" i="2"/>
  <c r="FJ74" i="2"/>
  <c r="FT74" i="2"/>
  <c r="FY74" i="2"/>
  <c r="I75" i="2"/>
  <c r="R75" i="2"/>
  <c r="S75" i="2"/>
  <c r="AU75" i="2"/>
  <c r="AW75" i="2"/>
  <c r="AY75" i="2"/>
  <c r="BG75" i="2"/>
  <c r="CQ75" i="2"/>
  <c r="CZ75" i="2"/>
  <c r="DA75" i="2"/>
  <c r="ED75" i="2"/>
  <c r="EF75" i="2"/>
  <c r="EH75" i="2"/>
  <c r="EQ75" i="2"/>
  <c r="FJ75" i="2"/>
  <c r="FT75" i="2"/>
  <c r="FY75" i="2"/>
  <c r="I76" i="2"/>
  <c r="L76" i="2"/>
  <c r="M76" i="2"/>
  <c r="AU76" i="2"/>
  <c r="AW76" i="2"/>
  <c r="AY76" i="2"/>
  <c r="BT76" i="2"/>
  <c r="BW76" i="2"/>
  <c r="BZ76" i="2"/>
  <c r="CC76" i="2"/>
  <c r="CP76" i="2"/>
  <c r="CQ76" i="2"/>
  <c r="CT76" i="2"/>
  <c r="CU76" i="2"/>
  <c r="ED76" i="2"/>
  <c r="EF76" i="2"/>
  <c r="EH76" i="2"/>
  <c r="FJ76" i="2"/>
  <c r="FX76" i="2"/>
  <c r="FY76" i="2"/>
  <c r="I77" i="2"/>
  <c r="L77" i="2"/>
  <c r="M77" i="2"/>
  <c r="AU77" i="2"/>
  <c r="AW77" i="2"/>
  <c r="AX77" i="2"/>
  <c r="AY77" i="2"/>
  <c r="AZ77" i="2"/>
  <c r="CQ77" i="2"/>
  <c r="CT77" i="2"/>
  <c r="CU77" i="2"/>
  <c r="ED77" i="2"/>
  <c r="EF77" i="2"/>
  <c r="EG77" i="2"/>
  <c r="EH77" i="2"/>
  <c r="EI77" i="2"/>
  <c r="FJ77" i="2"/>
  <c r="FT77" i="2"/>
  <c r="FY77" i="2"/>
  <c r="I78" i="2"/>
  <c r="O78" i="2"/>
  <c r="P78" i="2"/>
  <c r="R78" i="2"/>
  <c r="S78" i="2"/>
  <c r="AU78" i="2"/>
  <c r="AW78" i="2"/>
  <c r="AY78" i="2"/>
  <c r="BB78" i="2"/>
  <c r="BS78" i="2"/>
  <c r="BT78" i="2"/>
  <c r="BY78" i="2"/>
  <c r="CA78" i="2"/>
  <c r="CQ78" i="2"/>
  <c r="CW78" i="2"/>
  <c r="CX78" i="2"/>
  <c r="CZ78" i="2"/>
  <c r="DA78" i="2"/>
  <c r="ED78" i="2"/>
  <c r="EF78" i="2"/>
  <c r="EH78" i="2"/>
  <c r="EK78" i="2"/>
  <c r="FJ78" i="2"/>
  <c r="FT78" i="2"/>
  <c r="FY78" i="2"/>
  <c r="I79" i="2"/>
  <c r="L79" i="2"/>
  <c r="M79" i="2"/>
  <c r="O79" i="2"/>
  <c r="AU79" i="2"/>
  <c r="AW79" i="2"/>
  <c r="AY79" i="2"/>
  <c r="CQ79" i="2"/>
  <c r="CT79" i="2"/>
  <c r="CU79" i="2"/>
  <c r="CW79" i="2"/>
  <c r="ED79" i="2"/>
  <c r="EF79" i="2"/>
  <c r="EH79" i="2"/>
  <c r="FJ79" i="2"/>
  <c r="FT79" i="2"/>
  <c r="FY79" i="2"/>
  <c r="I80" i="2"/>
  <c r="O80" i="2"/>
  <c r="P80" i="2"/>
  <c r="AU80" i="2"/>
  <c r="AW80" i="2"/>
  <c r="AY80" i="2"/>
  <c r="BS80" i="2"/>
  <c r="BT80" i="2"/>
  <c r="BW80" i="2"/>
  <c r="CQ80" i="2"/>
  <c r="CW80" i="2"/>
  <c r="CX80" i="2"/>
  <c r="ED80" i="2"/>
  <c r="EF80" i="2"/>
  <c r="EH80" i="2"/>
  <c r="FJ80" i="2"/>
  <c r="FT80" i="2"/>
  <c r="FY80" i="2"/>
  <c r="I81" i="2"/>
  <c r="R81" i="2"/>
  <c r="S81" i="2"/>
  <c r="AU81" i="2"/>
  <c r="AW81" i="2"/>
  <c r="AY81" i="2"/>
  <c r="AZ81" i="2"/>
  <c r="CQ81" i="2"/>
  <c r="CZ81" i="2"/>
  <c r="DA81" i="2"/>
  <c r="ED81" i="2"/>
  <c r="EF81" i="2"/>
  <c r="EH81" i="2"/>
  <c r="EI81" i="2"/>
  <c r="FJ81" i="2"/>
  <c r="FT81" i="2"/>
  <c r="FY81" i="2"/>
  <c r="I82" i="2"/>
  <c r="R82" i="2"/>
  <c r="S82" i="2"/>
  <c r="AU82" i="2"/>
  <c r="AW82" i="2"/>
  <c r="AY82" i="2"/>
  <c r="AZ82" i="2"/>
  <c r="BG82" i="2"/>
  <c r="CQ82" i="2"/>
  <c r="CZ82" i="2"/>
  <c r="DA82" i="2"/>
  <c r="ED82" i="2"/>
  <c r="EF82" i="2"/>
  <c r="EH82" i="2"/>
  <c r="EI82" i="2"/>
  <c r="EQ82" i="2"/>
  <c r="FJ82" i="2"/>
  <c r="FT82" i="2"/>
  <c r="FY82" i="2"/>
  <c r="I83" i="2"/>
  <c r="R83" i="2"/>
  <c r="S83" i="2"/>
  <c r="AU83" i="2"/>
  <c r="AW83" i="2"/>
  <c r="AY83" i="2"/>
  <c r="BB83" i="2"/>
  <c r="BG83" i="2"/>
  <c r="BU83" i="2"/>
  <c r="CB83" i="2"/>
  <c r="CQ83" i="2"/>
  <c r="CZ83" i="2"/>
  <c r="DA83" i="2"/>
  <c r="ED83" i="2"/>
  <c r="EF83" i="2"/>
  <c r="EH83" i="2"/>
  <c r="EK83" i="2"/>
  <c r="EQ83" i="2"/>
  <c r="ER83" i="2"/>
  <c r="FJ83" i="2"/>
  <c r="FT83" i="2"/>
  <c r="FY83" i="2"/>
  <c r="I84" i="2"/>
  <c r="L84" i="2"/>
  <c r="M84" i="2"/>
  <c r="AU84" i="2"/>
  <c r="AW84" i="2"/>
  <c r="AY84" i="2"/>
  <c r="BS84" i="2"/>
  <c r="BY84" i="2"/>
  <c r="CC84" i="2"/>
  <c r="CQ84" i="2"/>
  <c r="CT84" i="2"/>
  <c r="CU84" i="2"/>
  <c r="ED84" i="2"/>
  <c r="EF84" i="2"/>
  <c r="EH84" i="2"/>
  <c r="EV84" i="2"/>
  <c r="FJ84" i="2"/>
  <c r="FT84" i="2"/>
  <c r="FY84" i="2"/>
  <c r="I85" i="2"/>
  <c r="L85" i="2"/>
  <c r="M85" i="2"/>
  <c r="AU85" i="2"/>
  <c r="AW85" i="2"/>
  <c r="AY85" i="2"/>
  <c r="AZ85" i="2"/>
  <c r="BT85" i="2"/>
  <c r="CA85" i="2"/>
  <c r="CQ85" i="2"/>
  <c r="CT85" i="2"/>
  <c r="CU85" i="2"/>
  <c r="ED85" i="2"/>
  <c r="EF85" i="2"/>
  <c r="EH85" i="2"/>
  <c r="EI85" i="2"/>
  <c r="FJ85" i="2"/>
  <c r="FT85" i="2"/>
  <c r="FY85" i="2"/>
  <c r="I86" i="2"/>
  <c r="R86" i="2"/>
  <c r="S86" i="2"/>
  <c r="AU86" i="2"/>
  <c r="AW86" i="2"/>
  <c r="AX86" i="2"/>
  <c r="AY86" i="2"/>
  <c r="AZ86" i="2"/>
  <c r="BS86" i="2"/>
  <c r="CQ86" i="2"/>
  <c r="CZ86" i="2"/>
  <c r="DA86" i="2"/>
  <c r="ED86" i="2"/>
  <c r="EF86" i="2"/>
  <c r="EG86" i="2"/>
  <c r="EH86" i="2"/>
  <c r="EI86" i="2"/>
  <c r="FJ86" i="2"/>
  <c r="FT86" i="2"/>
  <c r="FY86" i="2"/>
  <c r="I87" i="2"/>
  <c r="L87" i="2"/>
  <c r="M87" i="2"/>
  <c r="AU87" i="2"/>
  <c r="AW87" i="2"/>
  <c r="AX87" i="2"/>
  <c r="AY87" i="2"/>
  <c r="AZ87" i="2"/>
  <c r="CQ87" i="2"/>
  <c r="CT87" i="2"/>
  <c r="CU87" i="2"/>
  <c r="ED87" i="2"/>
  <c r="EF87" i="2"/>
  <c r="EG87" i="2"/>
  <c r="EH87" i="2"/>
  <c r="EI87" i="2"/>
  <c r="FJ87" i="2"/>
  <c r="FT87" i="2"/>
  <c r="FY87" i="2"/>
  <c r="I88" i="2"/>
  <c r="R88" i="2"/>
  <c r="S88" i="2"/>
  <c r="T88" i="2"/>
  <c r="AU88" i="2"/>
  <c r="AW88" i="2"/>
  <c r="AY88" i="2"/>
  <c r="CQ88" i="2"/>
  <c r="CZ88" i="2"/>
  <c r="DA88" i="2"/>
  <c r="DB88" i="2"/>
  <c r="ED88" i="2"/>
  <c r="EF88" i="2"/>
  <c r="EH88" i="2"/>
  <c r="FJ88" i="2"/>
  <c r="FT88" i="2"/>
  <c r="FY88" i="2"/>
  <c r="I89" i="2"/>
  <c r="L89" i="2"/>
  <c r="M89" i="2"/>
  <c r="AU89" i="2"/>
  <c r="AW89" i="2"/>
  <c r="AX89" i="2"/>
  <c r="AY89" i="2"/>
  <c r="AZ89" i="2"/>
  <c r="CQ89" i="2"/>
  <c r="CT89" i="2"/>
  <c r="CU89" i="2"/>
  <c r="ED89" i="2"/>
  <c r="EF89" i="2"/>
  <c r="EG89" i="2"/>
  <c r="EH89" i="2"/>
  <c r="EI89" i="2"/>
  <c r="FJ89" i="2"/>
  <c r="FT89" i="2"/>
  <c r="FY89" i="2"/>
  <c r="I90" i="2"/>
  <c r="R90" i="2"/>
  <c r="AU90" i="2"/>
  <c r="AW90" i="2"/>
  <c r="AY90" i="2"/>
  <c r="CQ90" i="2"/>
  <c r="CZ90" i="2"/>
  <c r="ED90" i="2"/>
  <c r="EF90" i="2"/>
  <c r="EH90" i="2"/>
  <c r="FJ90" i="2"/>
  <c r="FT90" i="2"/>
  <c r="FY90" i="2"/>
  <c r="I91" i="2"/>
  <c r="R91" i="2"/>
  <c r="AU91" i="2"/>
  <c r="AW91" i="2"/>
  <c r="AY91" i="2"/>
  <c r="CQ91" i="2"/>
  <c r="CZ91" i="2"/>
  <c r="ED91" i="2"/>
  <c r="EF91" i="2"/>
  <c r="EH91" i="2"/>
  <c r="FJ91" i="2"/>
  <c r="FT91" i="2"/>
  <c r="FY91" i="2"/>
  <c r="I92" i="2"/>
  <c r="L92" i="2"/>
  <c r="M92" i="2"/>
  <c r="AU92" i="2"/>
  <c r="AW92" i="2"/>
  <c r="AX92" i="2"/>
  <c r="AY92" i="2"/>
  <c r="AZ92" i="2"/>
  <c r="BV92" i="2"/>
  <c r="CQ92" i="2"/>
  <c r="CT92" i="2"/>
  <c r="CU92" i="2"/>
  <c r="ED92" i="2"/>
  <c r="EF92" i="2"/>
  <c r="EG92" i="2"/>
  <c r="EH92" i="2"/>
  <c r="EI92" i="2"/>
  <c r="FJ92" i="2"/>
  <c r="FT92" i="2"/>
  <c r="FY92" i="2"/>
  <c r="I93" i="2"/>
  <c r="L93" i="2"/>
  <c r="M93" i="2"/>
  <c r="AU93" i="2"/>
  <c r="AW93" i="2"/>
  <c r="AX93" i="2"/>
  <c r="AY93" i="2"/>
  <c r="AZ93" i="2"/>
  <c r="BS93" i="2"/>
  <c r="BU93" i="2"/>
  <c r="BV93" i="2"/>
  <c r="BW93" i="2"/>
  <c r="CQ93" i="2"/>
  <c r="CT93" i="2"/>
  <c r="CU93" i="2"/>
  <c r="ED93" i="2"/>
  <c r="EF93" i="2"/>
  <c r="EG93" i="2"/>
  <c r="EH93" i="2"/>
  <c r="EI93" i="2"/>
  <c r="FJ93" i="2"/>
  <c r="FT93" i="2"/>
  <c r="FY93" i="2"/>
  <c r="I94" i="2"/>
  <c r="R94" i="2"/>
  <c r="S94" i="2"/>
  <c r="AU94" i="2"/>
  <c r="AW94" i="2"/>
  <c r="AX94" i="2"/>
  <c r="AY94" i="2"/>
  <c r="AZ94" i="2"/>
  <c r="BB94" i="2"/>
  <c r="BS94" i="2"/>
  <c r="BV94" i="2"/>
  <c r="BW94" i="2"/>
  <c r="CQ94" i="2"/>
  <c r="CZ94" i="2"/>
  <c r="DA94" i="2"/>
  <c r="ED94" i="2"/>
  <c r="EF94" i="2"/>
  <c r="EG94" i="2"/>
  <c r="EH94" i="2"/>
  <c r="EI94" i="2"/>
  <c r="EK94" i="2"/>
  <c r="FJ94" i="2"/>
  <c r="FT94" i="2"/>
  <c r="FY94" i="2"/>
  <c r="H95" i="2"/>
  <c r="I95" i="2"/>
  <c r="J95" i="2"/>
  <c r="CH95" i="2"/>
  <c r="CQ95" i="2"/>
  <c r="CR95" i="2"/>
  <c r="FN95" i="2"/>
  <c r="FY95" i="2"/>
  <c r="H96" i="2"/>
  <c r="I96" i="2"/>
  <c r="J96" i="2"/>
  <c r="K96" i="2"/>
  <c r="BW96" i="2"/>
  <c r="CG96" i="2"/>
  <c r="CH96" i="2"/>
  <c r="CI96" i="2"/>
  <c r="CN96" i="2"/>
  <c r="CQ96" i="2"/>
  <c r="CR96" i="2"/>
  <c r="CS96" i="2"/>
  <c r="FG96" i="2"/>
  <c r="FJ96" i="2"/>
  <c r="FM96" i="2"/>
  <c r="FN96" i="2"/>
  <c r="FO96" i="2"/>
  <c r="FV96" i="2"/>
  <c r="FY96" i="2"/>
  <c r="H97" i="2"/>
  <c r="I97" i="2"/>
  <c r="J97" i="2"/>
  <c r="CQ97" i="2"/>
  <c r="CR97" i="2"/>
  <c r="FY97" i="2"/>
  <c r="H98" i="2"/>
  <c r="I98" i="2"/>
  <c r="J98" i="2"/>
  <c r="AQ98" i="2"/>
  <c r="BW98" i="2"/>
  <c r="CF98" i="2"/>
  <c r="CG98" i="2"/>
  <c r="CH98" i="2"/>
  <c r="CI98" i="2"/>
  <c r="CN98" i="2"/>
  <c r="CQ98" i="2"/>
  <c r="CR98" i="2"/>
  <c r="DZ98" i="2"/>
  <c r="FJ98" i="2"/>
  <c r="FM98" i="2"/>
  <c r="FN98" i="2"/>
  <c r="FV98" i="2"/>
  <c r="FY98" i="2"/>
  <c r="H99" i="2"/>
  <c r="I99" i="2"/>
  <c r="J99" i="2"/>
  <c r="AQ99" i="2"/>
  <c r="BW99" i="2"/>
  <c r="CF99" i="2"/>
  <c r="CG99" i="2"/>
  <c r="CH99" i="2"/>
  <c r="CI99" i="2"/>
  <c r="CN99" i="2"/>
  <c r="CQ99" i="2"/>
  <c r="CR99" i="2"/>
  <c r="DZ99" i="2"/>
  <c r="FG99" i="2"/>
  <c r="FJ99" i="2"/>
  <c r="FL99" i="2"/>
  <c r="FM99" i="2"/>
  <c r="FN99" i="2"/>
  <c r="FO99" i="2"/>
  <c r="FV99" i="2"/>
  <c r="FY99" i="2"/>
  <c r="H100" i="2"/>
  <c r="I100" i="2"/>
  <c r="J100" i="2"/>
  <c r="CH100" i="2"/>
  <c r="CQ100" i="2"/>
  <c r="CR100" i="2"/>
  <c r="FN100" i="2"/>
  <c r="FY100" i="2"/>
  <c r="H101" i="2"/>
  <c r="I101" i="2"/>
  <c r="J101" i="2"/>
  <c r="CH101" i="2"/>
  <c r="CN101" i="2"/>
  <c r="CP101" i="2"/>
  <c r="CQ101" i="2"/>
  <c r="CR101" i="2"/>
  <c r="ER101" i="2"/>
  <c r="FJ101" i="2"/>
  <c r="FX101" i="2"/>
  <c r="FY101" i="2"/>
  <c r="H102" i="2"/>
  <c r="I102" i="2"/>
  <c r="J102" i="2"/>
  <c r="AQ102" i="2"/>
  <c r="BW102" i="2"/>
  <c r="CG102" i="2"/>
  <c r="CH102" i="2"/>
  <c r="CI102" i="2"/>
  <c r="CN102" i="2"/>
  <c r="CQ102" i="2"/>
  <c r="CR102" i="2"/>
  <c r="DZ102" i="2"/>
  <c r="EW102" i="2"/>
  <c r="FG102" i="2"/>
  <c r="FJ102" i="2"/>
  <c r="FM102" i="2"/>
  <c r="FN102" i="2"/>
  <c r="FO102" i="2"/>
  <c r="FV102" i="2"/>
  <c r="FY102" i="2"/>
  <c r="H103" i="2"/>
  <c r="I103" i="2"/>
  <c r="J103" i="2"/>
  <c r="AQ103" i="2"/>
  <c r="BW103" i="2"/>
  <c r="CG103" i="2"/>
  <c r="CH103" i="2"/>
  <c r="CI103" i="2"/>
  <c r="CN103" i="2"/>
  <c r="CQ103" i="2"/>
  <c r="CR103" i="2"/>
  <c r="DZ103" i="2"/>
  <c r="EW103" i="2"/>
  <c r="FG103" i="2"/>
  <c r="FJ103" i="2"/>
  <c r="FM103" i="2"/>
  <c r="FN103" i="2"/>
  <c r="FO103" i="2"/>
  <c r="FV103" i="2"/>
  <c r="FY103" i="2"/>
  <c r="H104" i="2"/>
  <c r="I104" i="2"/>
  <c r="J104" i="2"/>
  <c r="AI104" i="2"/>
  <c r="AJ104" i="2"/>
  <c r="BW104" i="2"/>
  <c r="CG104" i="2"/>
  <c r="CH104" i="2"/>
  <c r="CI104" i="2"/>
  <c r="CN104" i="2"/>
  <c r="CQ104" i="2"/>
  <c r="CR104" i="2"/>
  <c r="DR104" i="2"/>
  <c r="DS104" i="2"/>
  <c r="EW104" i="2"/>
  <c r="FG104" i="2"/>
  <c r="FJ104" i="2"/>
  <c r="FM104" i="2"/>
  <c r="FN104" i="2"/>
  <c r="FO104" i="2"/>
  <c r="FV104" i="2"/>
  <c r="FY104" i="2"/>
  <c r="H105" i="2"/>
  <c r="I105" i="2"/>
  <c r="J105" i="2"/>
  <c r="AI105" i="2"/>
  <c r="AJ105" i="2"/>
  <c r="BW105" i="2"/>
  <c r="CH105" i="2"/>
  <c r="CI105" i="2"/>
  <c r="CN105" i="2"/>
  <c r="CO105" i="2"/>
  <c r="CP105" i="2"/>
  <c r="CQ105" i="2"/>
  <c r="CR105" i="2"/>
  <c r="DR105" i="2"/>
  <c r="DS105" i="2"/>
  <c r="FG105" i="2"/>
  <c r="FJ105" i="2"/>
  <c r="FN105" i="2"/>
  <c r="FV105" i="2"/>
  <c r="FX105" i="2"/>
  <c r="FY105" i="2"/>
  <c r="H106" i="2"/>
  <c r="I106" i="2"/>
  <c r="CE106" i="2"/>
  <c r="CH106" i="2"/>
  <c r="CQ106" i="2"/>
  <c r="CR106" i="2"/>
  <c r="FK106" i="2"/>
  <c r="FY106" i="2"/>
  <c r="H107" i="2"/>
  <c r="I107" i="2"/>
  <c r="J107" i="2"/>
  <c r="AJ107" i="2"/>
  <c r="BC107" i="2"/>
  <c r="BW107" i="2"/>
  <c r="CH107" i="2"/>
  <c r="CI107" i="2"/>
  <c r="CN107" i="2"/>
  <c r="CP107" i="2"/>
  <c r="CQ107" i="2"/>
  <c r="CR107" i="2"/>
  <c r="DS107" i="2"/>
  <c r="FO107" i="2"/>
  <c r="FX107" i="2"/>
  <c r="FY107" i="2"/>
  <c r="H108" i="2"/>
  <c r="I108" i="2"/>
  <c r="J108" i="2"/>
  <c r="AI108" i="2"/>
  <c r="BW108" i="2"/>
  <c r="CH108" i="2"/>
  <c r="CI108" i="2"/>
  <c r="CN108" i="2"/>
  <c r="CQ108" i="2"/>
  <c r="CR108" i="2"/>
  <c r="DR108" i="2"/>
  <c r="FJ108" i="2"/>
  <c r="FN108" i="2"/>
  <c r="FO108" i="2"/>
  <c r="FV108" i="2"/>
  <c r="FY108" i="2"/>
  <c r="H109" i="2"/>
  <c r="I109" i="2"/>
  <c r="J109" i="2"/>
  <c r="CG109" i="2"/>
  <c r="CH109" i="2"/>
  <c r="CN109" i="2"/>
  <c r="CQ109" i="2"/>
  <c r="CR109" i="2"/>
  <c r="FJ109" i="2"/>
  <c r="FM109" i="2"/>
  <c r="FN109" i="2"/>
  <c r="FV109" i="2"/>
  <c r="FY109" i="2"/>
  <c r="H110" i="2"/>
  <c r="I110" i="2"/>
  <c r="J110" i="2"/>
  <c r="CH110" i="2"/>
  <c r="CQ110" i="2"/>
  <c r="CR110" i="2"/>
  <c r="FJ110" i="2"/>
  <c r="FN110" i="2"/>
  <c r="FY110" i="2"/>
  <c r="H111" i="2"/>
  <c r="I111" i="2"/>
  <c r="J111" i="2"/>
  <c r="AI111" i="2"/>
  <c r="AJ111" i="2"/>
  <c r="BW111" i="2"/>
  <c r="CF111" i="2"/>
  <c r="CG111" i="2"/>
  <c r="CH111" i="2"/>
  <c r="CI111" i="2"/>
  <c r="CJ111" i="2"/>
  <c r="CN111" i="2"/>
  <c r="CQ111" i="2"/>
  <c r="CR111" i="2"/>
  <c r="DR111" i="2"/>
  <c r="DS111" i="2"/>
  <c r="FG111" i="2"/>
  <c r="FJ111" i="2"/>
  <c r="FL111" i="2"/>
  <c r="FM111" i="2"/>
  <c r="FN111" i="2"/>
  <c r="FO111" i="2"/>
  <c r="FP111" i="2"/>
  <c r="FV111" i="2"/>
  <c r="FY111" i="2"/>
  <c r="H112" i="2"/>
  <c r="I112" i="2"/>
  <c r="J112" i="2"/>
  <c r="AH112" i="2"/>
  <c r="AI112" i="2"/>
  <c r="AJ112" i="2"/>
  <c r="BW112" i="2"/>
  <c r="CG112" i="2"/>
  <c r="CH112" i="2"/>
  <c r="CI112" i="2"/>
  <c r="CN112" i="2"/>
  <c r="CQ112" i="2"/>
  <c r="CR112" i="2"/>
  <c r="DQ112" i="2"/>
  <c r="DR112" i="2"/>
  <c r="DS112" i="2"/>
  <c r="EW112" i="2"/>
  <c r="FJ112" i="2"/>
  <c r="FN112" i="2"/>
  <c r="FO112" i="2"/>
  <c r="FV112" i="2"/>
  <c r="FY112" i="2"/>
  <c r="H113" i="2"/>
  <c r="I113" i="2"/>
  <c r="J113" i="2"/>
  <c r="AI113" i="2"/>
  <c r="AJ113" i="2"/>
  <c r="BC113" i="2"/>
  <c r="BW113" i="2"/>
  <c r="CG113" i="2"/>
  <c r="CH113" i="2"/>
  <c r="CI113" i="2"/>
  <c r="CN113" i="2"/>
  <c r="CQ113" i="2"/>
  <c r="CR113" i="2"/>
  <c r="DR113" i="2"/>
  <c r="DS113" i="2"/>
  <c r="EL113" i="2"/>
  <c r="FJ113" i="2"/>
  <c r="FM113" i="2"/>
  <c r="FN113" i="2"/>
  <c r="FO113" i="2"/>
  <c r="FV113" i="2"/>
  <c r="FY113" i="2"/>
  <c r="H114" i="2"/>
  <c r="I114" i="2"/>
  <c r="J114" i="2"/>
  <c r="AB114" i="2"/>
  <c r="AC114" i="2"/>
  <c r="BW114" i="2"/>
  <c r="CG114" i="2"/>
  <c r="CH114" i="2"/>
  <c r="CI114" i="2"/>
  <c r="CN114" i="2"/>
  <c r="CO114" i="2"/>
  <c r="CP114" i="2"/>
  <c r="CQ114" i="2"/>
  <c r="CR114" i="2"/>
  <c r="DK114" i="2"/>
  <c r="DL114" i="2"/>
  <c r="FJ114" i="2"/>
  <c r="FM114" i="2"/>
  <c r="FN114" i="2"/>
  <c r="FV114" i="2"/>
  <c r="FX114" i="2"/>
  <c r="FY114" i="2"/>
  <c r="H115" i="2"/>
  <c r="I115" i="2"/>
  <c r="J115" i="2"/>
  <c r="AD115" i="2"/>
  <c r="BC115" i="2"/>
  <c r="CH115" i="2"/>
  <c r="CI115" i="2"/>
  <c r="CP115" i="2"/>
  <c r="CQ115" i="2"/>
  <c r="CR115" i="2"/>
  <c r="DM115" i="2"/>
  <c r="FJ115" i="2"/>
  <c r="FX115" i="2"/>
  <c r="FY115" i="2"/>
  <c r="H116" i="2"/>
  <c r="I116" i="2"/>
  <c r="J116" i="2"/>
  <c r="BC116" i="2"/>
  <c r="BW116" i="2"/>
  <c r="CG116" i="2"/>
  <c r="CH116" i="2"/>
  <c r="CI116" i="2"/>
  <c r="CN116" i="2"/>
  <c r="CQ116" i="2"/>
  <c r="CR116" i="2"/>
  <c r="FY116" i="2"/>
  <c r="H117" i="2"/>
  <c r="I117" i="2"/>
  <c r="CH117" i="2"/>
  <c r="CI117" i="2"/>
  <c r="CN117" i="2"/>
  <c r="CQ117" i="2"/>
  <c r="CR117" i="2"/>
  <c r="FY117" i="2"/>
  <c r="H118" i="2"/>
  <c r="I118" i="2"/>
  <c r="J118" i="2"/>
  <c r="AB118" i="2"/>
  <c r="AC118" i="2"/>
  <c r="AD118" i="2"/>
  <c r="BC118" i="2"/>
  <c r="BW118" i="2"/>
  <c r="CH118" i="2"/>
  <c r="CI118" i="2"/>
  <c r="CN118" i="2"/>
  <c r="CQ118" i="2"/>
  <c r="CR118" i="2"/>
  <c r="DK118" i="2"/>
  <c r="DL118" i="2"/>
  <c r="DM118" i="2"/>
  <c r="FG118" i="2"/>
  <c r="FJ118" i="2"/>
  <c r="FN118" i="2"/>
  <c r="FV118" i="2"/>
  <c r="FY118" i="2"/>
  <c r="H119" i="2"/>
  <c r="I119" i="2"/>
  <c r="J119" i="2"/>
  <c r="AB119" i="2"/>
  <c r="AC119" i="2"/>
  <c r="BW119" i="2"/>
  <c r="CG119" i="2"/>
  <c r="CH119" i="2"/>
  <c r="CN119" i="2"/>
  <c r="CQ119" i="2"/>
  <c r="CR119" i="2"/>
  <c r="DK119" i="2"/>
  <c r="DL119" i="2"/>
  <c r="FG119" i="2"/>
  <c r="FJ119" i="2"/>
  <c r="FM119" i="2"/>
  <c r="FN119" i="2"/>
  <c r="FV119" i="2"/>
  <c r="FY119" i="2"/>
  <c r="H120" i="2"/>
  <c r="I120" i="2"/>
  <c r="J120" i="2"/>
  <c r="AD120" i="2"/>
  <c r="BC120" i="2"/>
  <c r="CE120" i="2"/>
  <c r="CH120" i="2"/>
  <c r="CN120" i="2"/>
  <c r="CP120" i="2"/>
  <c r="CQ120" i="2"/>
  <c r="CR120" i="2"/>
  <c r="DM120" i="2"/>
  <c r="FK120" i="2"/>
  <c r="FX120" i="2"/>
  <c r="FY120" i="2"/>
  <c r="H121" i="2"/>
  <c r="I121" i="2"/>
  <c r="J121" i="2"/>
  <c r="AC121" i="2"/>
  <c r="AF121" i="2"/>
  <c r="BW121" i="2"/>
  <c r="CH121" i="2"/>
  <c r="CI121" i="2"/>
  <c r="CN121" i="2"/>
  <c r="CQ121" i="2"/>
  <c r="CR121" i="2"/>
  <c r="DL121" i="2"/>
  <c r="DO121" i="2"/>
  <c r="FG121" i="2"/>
  <c r="FJ121" i="2"/>
  <c r="FN121" i="2"/>
  <c r="FV121" i="2"/>
  <c r="FY121" i="2"/>
  <c r="H122" i="2"/>
  <c r="I122" i="2"/>
  <c r="J122" i="2"/>
  <c r="AB122" i="2"/>
  <c r="AC122" i="2"/>
  <c r="AD122" i="2"/>
  <c r="BW122" i="2"/>
  <c r="CH122" i="2"/>
  <c r="CI122" i="2"/>
  <c r="CN122" i="2"/>
  <c r="CP122" i="2"/>
  <c r="CQ122" i="2"/>
  <c r="CR122" i="2"/>
  <c r="DK122" i="2"/>
  <c r="DL122" i="2"/>
  <c r="DM122" i="2"/>
  <c r="FG122" i="2"/>
  <c r="FJ122" i="2"/>
  <c r="FN122" i="2"/>
  <c r="FV122" i="2"/>
  <c r="FX122" i="2"/>
  <c r="FY122" i="2"/>
  <c r="H123" i="2"/>
  <c r="I123" i="2"/>
  <c r="J123" i="2"/>
  <c r="AB123" i="2"/>
  <c r="AC123" i="2"/>
  <c r="AD123" i="2"/>
  <c r="BW123" i="2"/>
  <c r="CG123" i="2"/>
  <c r="CH123" i="2"/>
  <c r="CI123" i="2"/>
  <c r="CN123" i="2"/>
  <c r="CQ123" i="2"/>
  <c r="CR123" i="2"/>
  <c r="DK123" i="2"/>
  <c r="DL123" i="2"/>
  <c r="DM123" i="2"/>
  <c r="FJ123" i="2"/>
  <c r="FM123" i="2"/>
  <c r="FN123" i="2"/>
  <c r="FV123" i="2"/>
  <c r="FY123" i="2"/>
  <c r="H124" i="2"/>
  <c r="I124" i="2"/>
  <c r="J124" i="2"/>
  <c r="AD124" i="2"/>
  <c r="AF124" i="2"/>
  <c r="BW124" i="2"/>
  <c r="CG124" i="2"/>
  <c r="CH124" i="2"/>
  <c r="CI124" i="2"/>
  <c r="CN124" i="2"/>
  <c r="CQ124" i="2"/>
  <c r="CR124" i="2"/>
  <c r="DM124" i="2"/>
  <c r="DO124" i="2"/>
  <c r="FG124" i="2"/>
  <c r="FJ124" i="2"/>
  <c r="FM124" i="2"/>
  <c r="FN124" i="2"/>
  <c r="FV124" i="2"/>
  <c r="FY124" i="2"/>
  <c r="H125" i="2"/>
  <c r="I125" i="2"/>
  <c r="J125" i="2"/>
  <c r="AB125" i="2"/>
  <c r="AC125" i="2"/>
  <c r="AD125" i="2"/>
  <c r="BC125" i="2"/>
  <c r="BW125" i="2"/>
  <c r="CG125" i="2"/>
  <c r="CH125" i="2"/>
  <c r="CI125" i="2"/>
  <c r="CN125" i="2"/>
  <c r="CQ125" i="2"/>
  <c r="CR125" i="2"/>
  <c r="DK125" i="2"/>
  <c r="DL125" i="2"/>
  <c r="DM125" i="2"/>
  <c r="FJ125" i="2"/>
  <c r="FM125" i="2"/>
  <c r="FN125" i="2"/>
  <c r="FV125" i="2"/>
  <c r="FY125" i="2"/>
  <c r="H126" i="2"/>
  <c r="I126" i="2"/>
  <c r="J126" i="2"/>
  <c r="AD126" i="2"/>
  <c r="BW126" i="2"/>
  <c r="CG126" i="2"/>
  <c r="CH126" i="2"/>
  <c r="CI126" i="2"/>
  <c r="CN126" i="2"/>
  <c r="CQ126" i="2"/>
  <c r="CR126" i="2"/>
  <c r="DM126" i="2"/>
  <c r="FG126" i="2"/>
  <c r="FJ126" i="2"/>
  <c r="FM126" i="2"/>
  <c r="FN126" i="2"/>
  <c r="FV126" i="2"/>
  <c r="FY126" i="2"/>
  <c r="H127" i="2"/>
  <c r="I127" i="2"/>
  <c r="J127" i="2"/>
  <c r="AB127" i="2"/>
  <c r="AC127" i="2"/>
  <c r="AD127" i="2"/>
  <c r="BW127" i="2"/>
  <c r="CG127" i="2"/>
  <c r="CH127" i="2"/>
  <c r="CI127" i="2"/>
  <c r="CN127" i="2"/>
  <c r="CQ127" i="2"/>
  <c r="CR127" i="2"/>
  <c r="DK127" i="2"/>
  <c r="DL127" i="2"/>
  <c r="DM127" i="2"/>
  <c r="FJ127" i="2"/>
  <c r="FM127" i="2"/>
  <c r="FN127" i="2"/>
  <c r="FV127" i="2"/>
  <c r="FY127" i="2"/>
  <c r="H128" i="2"/>
  <c r="I128" i="2"/>
  <c r="J128" i="2"/>
  <c r="AB128" i="2"/>
  <c r="AC128" i="2"/>
  <c r="AD128" i="2"/>
  <c r="BC128" i="2"/>
  <c r="BW128" i="2"/>
  <c r="CH128" i="2"/>
  <c r="CI128" i="2"/>
  <c r="CN128" i="2"/>
  <c r="CP128" i="2"/>
  <c r="CQ128" i="2"/>
  <c r="CR128" i="2"/>
  <c r="DK128" i="2"/>
  <c r="DL128" i="2"/>
  <c r="DM128" i="2"/>
  <c r="FJ128" i="2"/>
  <c r="FN128" i="2"/>
  <c r="FO128" i="2"/>
  <c r="FV128" i="2"/>
  <c r="FX128" i="2"/>
  <c r="FY128" i="2"/>
  <c r="H129" i="2"/>
  <c r="I129" i="2"/>
  <c r="J129" i="2"/>
  <c r="N129" i="2"/>
  <c r="Q129" i="2"/>
  <c r="V129" i="2"/>
  <c r="X129" i="2"/>
  <c r="AE129" i="2"/>
  <c r="AG129" i="2"/>
  <c r="AP129" i="2"/>
  <c r="AR129" i="2"/>
  <c r="AU129" i="2"/>
  <c r="AW129" i="2"/>
  <c r="AY129" i="2"/>
  <c r="BD129" i="2"/>
  <c r="BE129" i="2"/>
  <c r="BO129" i="2"/>
  <c r="BQ129" i="2"/>
  <c r="BT129" i="2"/>
  <c r="BY129" i="2"/>
  <c r="CH129" i="2"/>
  <c r="CI129" i="2"/>
  <c r="CN129" i="2"/>
  <c r="CQ129" i="2"/>
  <c r="CR129" i="2"/>
  <c r="CV129" i="2"/>
  <c r="CY129" i="2"/>
  <c r="DD129" i="2"/>
  <c r="DF129" i="2"/>
  <c r="DN129" i="2"/>
  <c r="DP129" i="2"/>
  <c r="DY129" i="2"/>
  <c r="EA129" i="2"/>
  <c r="ED129" i="2"/>
  <c r="EF129" i="2"/>
  <c r="EH129" i="2"/>
  <c r="EN129" i="2"/>
  <c r="EO129" i="2"/>
  <c r="FB129" i="2"/>
  <c r="FD129" i="2"/>
  <c r="FJ129" i="2"/>
  <c r="FN129" i="2"/>
  <c r="FO129" i="2"/>
  <c r="FV129" i="2"/>
  <c r="FY129" i="2"/>
  <c r="H130" i="2"/>
  <c r="I130" i="2"/>
  <c r="J130" i="2"/>
  <c r="AB130" i="2"/>
  <c r="AD130" i="2"/>
  <c r="BC130" i="2"/>
  <c r="BW130" i="2"/>
  <c r="CG130" i="2"/>
  <c r="CH130" i="2"/>
  <c r="CI130" i="2"/>
  <c r="CN130" i="2"/>
  <c r="CQ130" i="2"/>
  <c r="CR130" i="2"/>
  <c r="DK130" i="2"/>
  <c r="DM130" i="2"/>
  <c r="ER130" i="2"/>
  <c r="FG130" i="2"/>
  <c r="FJ130" i="2"/>
  <c r="FM130" i="2"/>
  <c r="FN130" i="2"/>
  <c r="FO130" i="2"/>
  <c r="FV130" i="2"/>
  <c r="FY130" i="2"/>
  <c r="H131" i="2"/>
  <c r="I131" i="2"/>
  <c r="J131" i="2"/>
  <c r="AB131" i="2"/>
  <c r="AC131" i="2"/>
  <c r="AD131" i="2"/>
  <c r="BC131" i="2"/>
  <c r="BW131" i="2"/>
  <c r="CF131" i="2"/>
  <c r="CH131" i="2"/>
  <c r="CI131" i="2"/>
  <c r="CN131" i="2"/>
  <c r="CQ131" i="2"/>
  <c r="CR131" i="2"/>
  <c r="DK131" i="2"/>
  <c r="DL131" i="2"/>
  <c r="DM131" i="2"/>
  <c r="FG131" i="2"/>
  <c r="FJ131" i="2"/>
  <c r="FN131" i="2"/>
  <c r="FO131" i="2"/>
  <c r="FV131" i="2"/>
  <c r="FY131" i="2"/>
  <c r="H132" i="2"/>
  <c r="I132" i="2"/>
  <c r="J132" i="2"/>
  <c r="AB132" i="2"/>
  <c r="AC132" i="2"/>
  <c r="AD132" i="2"/>
  <c r="BW132" i="2"/>
  <c r="CH132" i="2"/>
  <c r="CI132" i="2"/>
  <c r="CN132" i="2"/>
  <c r="CQ132" i="2"/>
  <c r="CR132" i="2"/>
  <c r="DK132" i="2"/>
  <c r="DL132" i="2"/>
  <c r="DM132" i="2"/>
  <c r="FG132" i="2"/>
  <c r="FJ132" i="2"/>
  <c r="FN132" i="2"/>
  <c r="FO132" i="2"/>
  <c r="FV132" i="2"/>
  <c r="FY132" i="2"/>
  <c r="H133" i="2"/>
  <c r="I133" i="2"/>
  <c r="J133" i="2"/>
  <c r="AB133" i="2"/>
  <c r="AC133" i="2"/>
  <c r="AD133" i="2"/>
  <c r="BW133" i="2"/>
  <c r="CH133" i="2"/>
  <c r="CI133" i="2"/>
  <c r="CN133" i="2"/>
  <c r="CQ133" i="2"/>
  <c r="CR133" i="2"/>
  <c r="DK133" i="2"/>
  <c r="DL133" i="2"/>
  <c r="DM133" i="2"/>
  <c r="ER133" i="2"/>
  <c r="FJ133" i="2"/>
  <c r="FN133" i="2"/>
  <c r="FV133" i="2"/>
  <c r="FY133" i="2"/>
  <c r="H134" i="2"/>
  <c r="I134" i="2"/>
  <c r="J134" i="2"/>
  <c r="AB134" i="2"/>
  <c r="AC134" i="2"/>
  <c r="AD134" i="2"/>
  <c r="BC134" i="2"/>
  <c r="BW134" i="2"/>
  <c r="CG134" i="2"/>
  <c r="CH134" i="2"/>
  <c r="CN134" i="2"/>
  <c r="CQ134" i="2"/>
  <c r="CR134" i="2"/>
  <c r="DK134" i="2"/>
  <c r="DL134" i="2"/>
  <c r="DM134" i="2"/>
  <c r="EL134" i="2"/>
  <c r="FJ134" i="2"/>
  <c r="FM134" i="2"/>
  <c r="FN134" i="2"/>
  <c r="FV134" i="2"/>
  <c r="FY134" i="2"/>
  <c r="FY411" i="2"/>
  <c r="FJ411" i="2"/>
  <c r="FD411" i="2"/>
  <c r="EQ411" i="2"/>
  <c r="EN411" i="2"/>
  <c r="EK411" i="2"/>
  <c r="EH411" i="2"/>
  <c r="EF411" i="2"/>
  <c r="ED411" i="2"/>
  <c r="EA411" i="2"/>
  <c r="DY411" i="2"/>
  <c r="DP411" i="2"/>
  <c r="DN411" i="2"/>
  <c r="DI411" i="2"/>
  <c r="DE411" i="2"/>
  <c r="DD411" i="2"/>
  <c r="CY411" i="2"/>
  <c r="CV411" i="2"/>
  <c r="CQ411" i="2"/>
  <c r="CA411" i="2"/>
  <c r="BZ411" i="2"/>
  <c r="BY411" i="2"/>
  <c r="BT411" i="2"/>
  <c r="BQ411" i="2"/>
  <c r="BG411" i="2"/>
  <c r="BD411" i="2"/>
  <c r="BB411" i="2"/>
  <c r="AY411" i="2"/>
  <c r="AW411" i="2"/>
  <c r="AU411" i="2"/>
  <c r="AR411" i="2"/>
  <c r="AP411" i="2"/>
  <c r="AG411" i="2"/>
  <c r="AE411" i="2"/>
  <c r="W411" i="2"/>
  <c r="V411" i="2"/>
  <c r="Q411" i="2"/>
  <c r="N411" i="2"/>
  <c r="I411" i="2"/>
  <c r="FY410" i="2"/>
  <c r="FX410" i="2"/>
  <c r="FT410" i="2"/>
  <c r="FJ410" i="2"/>
  <c r="EV410" i="2"/>
  <c r="EO410" i="2"/>
  <c r="EN410" i="2"/>
  <c r="EG410" i="2"/>
  <c r="EF410" i="2"/>
  <c r="EE410" i="2"/>
  <c r="ED410" i="2"/>
  <c r="CY410" i="2"/>
  <c r="CV410" i="2"/>
  <c r="CQ410" i="2"/>
  <c r="CP410" i="2"/>
  <c r="BE410" i="2"/>
  <c r="BD410" i="2"/>
  <c r="AX410" i="2"/>
  <c r="AW410" i="2"/>
  <c r="AV410" i="2"/>
  <c r="AU410" i="2"/>
  <c r="Q410" i="2"/>
  <c r="N410" i="2"/>
  <c r="I410" i="2"/>
  <c r="FY409" i="2"/>
  <c r="FT409" i="2"/>
  <c r="FJ409" i="2"/>
  <c r="FD409" i="2"/>
  <c r="EV409" i="2"/>
  <c r="EN409" i="2"/>
  <c r="EK409" i="2"/>
  <c r="EJ409" i="2"/>
  <c r="EH409" i="2"/>
  <c r="EG409" i="2"/>
  <c r="EF409" i="2"/>
  <c r="ED409" i="2"/>
  <c r="EA409" i="2"/>
  <c r="DY409" i="2"/>
  <c r="DP409" i="2"/>
  <c r="DN409" i="2"/>
  <c r="DE409" i="2"/>
  <c r="DD409" i="2"/>
  <c r="CY409" i="2"/>
  <c r="CV409" i="2"/>
  <c r="CQ409" i="2"/>
  <c r="CA409" i="2"/>
  <c r="BY409" i="2"/>
  <c r="BT409" i="2"/>
  <c r="BS409" i="2"/>
  <c r="BQ409" i="2"/>
  <c r="BD409" i="2"/>
  <c r="BB409" i="2"/>
  <c r="BA409" i="2"/>
  <c r="AY409" i="2"/>
  <c r="AX409" i="2"/>
  <c r="AW409" i="2"/>
  <c r="AU409" i="2"/>
  <c r="AR409" i="2"/>
  <c r="AP409" i="2"/>
  <c r="AG409" i="2"/>
  <c r="AE409" i="2"/>
  <c r="W409" i="2"/>
  <c r="V409" i="2"/>
  <c r="Q409" i="2"/>
  <c r="N409" i="2"/>
  <c r="I409" i="2"/>
  <c r="FY408" i="2"/>
  <c r="FX408" i="2"/>
  <c r="FT408" i="2"/>
  <c r="FJ408" i="2"/>
  <c r="FE408" i="2"/>
  <c r="FD408" i="2"/>
  <c r="FC408" i="2"/>
  <c r="FB408" i="2"/>
  <c r="EN408" i="2"/>
  <c r="EH408" i="2"/>
  <c r="EF408" i="2"/>
  <c r="ED408" i="2"/>
  <c r="EA408" i="2"/>
  <c r="DY408" i="2"/>
  <c r="DP408" i="2"/>
  <c r="DN408" i="2"/>
  <c r="DF408" i="2"/>
  <c r="DE408" i="2"/>
  <c r="DD408" i="2"/>
  <c r="CY408" i="2"/>
  <c r="CV408" i="2"/>
  <c r="CQ408" i="2"/>
  <c r="CP408" i="2"/>
  <c r="CA408" i="2"/>
  <c r="BY408" i="2"/>
  <c r="BW408" i="2"/>
  <c r="BT408" i="2"/>
  <c r="BS408" i="2"/>
  <c r="BR408" i="2"/>
  <c r="BQ408" i="2"/>
  <c r="BP408" i="2"/>
  <c r="BO408" i="2"/>
  <c r="BD408" i="2"/>
  <c r="AY408" i="2"/>
  <c r="AW408" i="2"/>
  <c r="AU408" i="2"/>
  <c r="AR408" i="2"/>
  <c r="AP408" i="2"/>
  <c r="AG408" i="2"/>
  <c r="AE408" i="2"/>
  <c r="X408" i="2"/>
  <c r="W408" i="2"/>
  <c r="V408" i="2"/>
  <c r="Q408" i="2"/>
  <c r="N408" i="2"/>
  <c r="I408" i="2"/>
  <c r="FY407" i="2"/>
  <c r="FX407" i="2"/>
  <c r="FT407" i="2"/>
  <c r="FJ407" i="2"/>
  <c r="FD407" i="2"/>
  <c r="ET407" i="2"/>
  <c r="EP407" i="2"/>
  <c r="EN407" i="2"/>
  <c r="ED407" i="2"/>
  <c r="DN407" i="2"/>
  <c r="CY407" i="2"/>
  <c r="CV407" i="2"/>
  <c r="CQ407" i="2"/>
  <c r="CP407" i="2"/>
  <c r="CA407" i="2"/>
  <c r="BT407" i="2"/>
  <c r="BS407" i="2"/>
  <c r="BQ407" i="2"/>
  <c r="BI407" i="2"/>
  <c r="BF407" i="2"/>
  <c r="BD407" i="2"/>
  <c r="AU407" i="2"/>
  <c r="AE407" i="2"/>
  <c r="Q407" i="2"/>
  <c r="N407" i="2"/>
  <c r="I407" i="2"/>
  <c r="FY406" i="2"/>
  <c r="FX406" i="2"/>
  <c r="FT406" i="2"/>
  <c r="FJ406" i="2"/>
  <c r="FD406" i="2"/>
  <c r="FC406" i="2"/>
  <c r="FB406" i="2"/>
  <c r="EV406" i="2"/>
  <c r="ER406" i="2"/>
  <c r="EO406" i="2"/>
  <c r="EN406" i="2"/>
  <c r="EI406" i="2"/>
  <c r="EH406" i="2"/>
  <c r="EG406" i="2"/>
  <c r="EF406" i="2"/>
  <c r="EE406" i="2"/>
  <c r="ED406" i="2"/>
  <c r="EA406" i="2"/>
  <c r="DY406" i="2"/>
  <c r="DP406" i="2"/>
  <c r="DN406" i="2"/>
  <c r="DG406" i="2"/>
  <c r="DF406" i="2"/>
  <c r="DE406" i="2"/>
  <c r="DD406" i="2"/>
  <c r="CY406" i="2"/>
  <c r="CV406" i="2"/>
  <c r="CQ406" i="2"/>
  <c r="CP406" i="2"/>
  <c r="CA406" i="2"/>
  <c r="BZ406" i="2"/>
  <c r="BQ406" i="2"/>
  <c r="BP406" i="2"/>
  <c r="BO406" i="2"/>
  <c r="BE406" i="2"/>
  <c r="BD406" i="2"/>
  <c r="AZ406" i="2"/>
  <c r="AY406" i="2"/>
  <c r="AX406" i="2"/>
  <c r="AW406" i="2"/>
  <c r="AV406" i="2"/>
  <c r="AU406" i="2"/>
  <c r="AR406" i="2"/>
  <c r="AP406" i="2"/>
  <c r="AG406" i="2"/>
  <c r="AE406" i="2"/>
  <c r="Y406" i="2"/>
  <c r="X406" i="2"/>
  <c r="W406" i="2"/>
  <c r="V406" i="2"/>
  <c r="Q406" i="2"/>
  <c r="N406" i="2"/>
  <c r="I406" i="2"/>
  <c r="FY405" i="2"/>
  <c r="FT405" i="2"/>
  <c r="FJ405" i="2"/>
  <c r="FI405" i="2"/>
  <c r="FE405" i="2"/>
  <c r="FD405" i="2"/>
  <c r="FB405" i="2"/>
  <c r="EO405" i="2"/>
  <c r="EN405" i="2"/>
  <c r="EK405" i="2"/>
  <c r="EF405" i="2"/>
  <c r="ED405" i="2"/>
  <c r="EA405" i="2"/>
  <c r="DY405" i="2"/>
  <c r="DP405" i="2"/>
  <c r="DN405" i="2"/>
  <c r="DE405" i="2"/>
  <c r="DD405" i="2"/>
  <c r="CY405" i="2"/>
  <c r="CV405" i="2"/>
  <c r="CQ405" i="2"/>
  <c r="CD405" i="2"/>
  <c r="CA405" i="2"/>
  <c r="BZ405" i="2"/>
  <c r="BY405" i="2"/>
  <c r="BW405" i="2"/>
  <c r="BR405" i="2"/>
  <c r="BQ405" i="2"/>
  <c r="BO405" i="2"/>
  <c r="BE405" i="2"/>
  <c r="BD405" i="2"/>
  <c r="BB405" i="2"/>
  <c r="AW405" i="2"/>
  <c r="AU405" i="2"/>
  <c r="AR405" i="2"/>
  <c r="AP405" i="2"/>
  <c r="AG405" i="2"/>
  <c r="AE405" i="2"/>
  <c r="W405" i="2"/>
  <c r="V405" i="2"/>
  <c r="Q405" i="2"/>
  <c r="N405" i="2"/>
  <c r="I405" i="2"/>
  <c r="FY404" i="2"/>
  <c r="FT404" i="2"/>
  <c r="FJ404" i="2"/>
  <c r="FE404" i="2"/>
  <c r="FD404" i="2"/>
  <c r="FC404" i="2"/>
  <c r="FB404" i="2"/>
  <c r="EN404" i="2"/>
  <c r="EK404" i="2"/>
  <c r="EI404" i="2"/>
  <c r="EH404" i="2"/>
  <c r="EF404" i="2"/>
  <c r="EE404" i="2"/>
  <c r="ED404" i="2"/>
  <c r="EA404" i="2"/>
  <c r="DY404" i="2"/>
  <c r="DP404" i="2"/>
  <c r="DN404" i="2"/>
  <c r="DD404" i="2"/>
  <c r="CY404" i="2"/>
  <c r="CV404" i="2"/>
  <c r="CQ404" i="2"/>
  <c r="CA404" i="2"/>
  <c r="BT404" i="2"/>
  <c r="BS404" i="2"/>
  <c r="BR404" i="2"/>
  <c r="BQ404" i="2"/>
  <c r="BP404" i="2"/>
  <c r="BO404" i="2"/>
  <c r="BD404" i="2"/>
  <c r="BB404" i="2"/>
  <c r="AZ404" i="2"/>
  <c r="AY404" i="2"/>
  <c r="AW404" i="2"/>
  <c r="AV404" i="2"/>
  <c r="AU404" i="2"/>
  <c r="AR404" i="2"/>
  <c r="AP404" i="2"/>
  <c r="AG404" i="2"/>
  <c r="AE404" i="2"/>
  <c r="V404" i="2"/>
  <c r="Q404" i="2"/>
  <c r="N404" i="2"/>
  <c r="I404" i="2"/>
  <c r="FY403" i="2"/>
  <c r="FT403" i="2"/>
  <c r="FJ403" i="2"/>
  <c r="FE403" i="2"/>
  <c r="FD403" i="2"/>
  <c r="FC403" i="2"/>
  <c r="FB403" i="2"/>
  <c r="ER403" i="2"/>
  <c r="EN403" i="2"/>
  <c r="EK403" i="2"/>
  <c r="EI403" i="2"/>
  <c r="EH403" i="2"/>
  <c r="EF403" i="2"/>
  <c r="EE403" i="2"/>
  <c r="ED403" i="2"/>
  <c r="EA403" i="2"/>
  <c r="DY403" i="2"/>
  <c r="DP403" i="2"/>
  <c r="DN403" i="2"/>
  <c r="DG403" i="2"/>
  <c r="DF403" i="2"/>
  <c r="DE403" i="2"/>
  <c r="CY403" i="2"/>
  <c r="CV403" i="2"/>
  <c r="CQ403" i="2"/>
  <c r="CA403" i="2"/>
  <c r="BR403" i="2"/>
  <c r="BQ403" i="2"/>
  <c r="BP403" i="2"/>
  <c r="BO403" i="2"/>
  <c r="BD403" i="2"/>
  <c r="BB403" i="2"/>
  <c r="AZ403" i="2"/>
  <c r="AY403" i="2"/>
  <c r="AW403" i="2"/>
  <c r="AV403" i="2"/>
  <c r="AU403" i="2"/>
  <c r="AR403" i="2"/>
  <c r="AP403" i="2"/>
  <c r="AG403" i="2"/>
  <c r="AE403" i="2"/>
  <c r="Y403" i="2"/>
  <c r="X403" i="2"/>
  <c r="W403" i="2"/>
  <c r="Q403" i="2"/>
  <c r="N403" i="2"/>
  <c r="I403" i="2"/>
  <c r="FY402" i="2"/>
  <c r="FX402" i="2"/>
  <c r="FT402" i="2"/>
  <c r="FJ402" i="2"/>
  <c r="FB402" i="2"/>
  <c r="EV402" i="2"/>
  <c r="EO402" i="2"/>
  <c r="EN402" i="2"/>
  <c r="EK402" i="2"/>
  <c r="EF402" i="2"/>
  <c r="ED402" i="2"/>
  <c r="EA402" i="2"/>
  <c r="DY402" i="2"/>
  <c r="DP402" i="2"/>
  <c r="DN402" i="2"/>
  <c r="DG402" i="2"/>
  <c r="DF402" i="2"/>
  <c r="DE402" i="2"/>
  <c r="DD402" i="2"/>
  <c r="CY402" i="2"/>
  <c r="CV402" i="2"/>
  <c r="CQ402" i="2"/>
  <c r="CP402" i="2"/>
  <c r="CA402" i="2"/>
  <c r="BY402" i="2"/>
  <c r="BW402" i="2"/>
  <c r="BS402" i="2"/>
  <c r="BO402" i="2"/>
  <c r="BE402" i="2"/>
  <c r="BD402" i="2"/>
  <c r="BB402" i="2"/>
  <c r="AW402" i="2"/>
  <c r="AU402" i="2"/>
  <c r="AR402" i="2"/>
  <c r="AP402" i="2"/>
  <c r="AG402" i="2"/>
  <c r="AE402" i="2"/>
  <c r="Y402" i="2"/>
  <c r="X402" i="2"/>
  <c r="W402" i="2"/>
  <c r="V402" i="2"/>
  <c r="Q402" i="2"/>
  <c r="N402" i="2"/>
  <c r="I402" i="2"/>
  <c r="FY440" i="2"/>
  <c r="FX440" i="2"/>
  <c r="FV440" i="2"/>
  <c r="FN440" i="2"/>
  <c r="FM440" i="2"/>
  <c r="FJ440" i="2"/>
  <c r="EC440" i="2"/>
  <c r="CR440" i="2"/>
  <c r="CQ440" i="2"/>
  <c r="CP440" i="2"/>
  <c r="CN440" i="2"/>
  <c r="CI440" i="2"/>
  <c r="CH440" i="2"/>
  <c r="CG440" i="2"/>
  <c r="BW440" i="2"/>
  <c r="AT440" i="2"/>
  <c r="J440" i="2"/>
  <c r="I440" i="2"/>
  <c r="H440" i="2"/>
  <c r="FY401" i="2"/>
  <c r="FT401" i="2"/>
  <c r="FJ401" i="2"/>
  <c r="FB401" i="2"/>
  <c r="EN401" i="2"/>
  <c r="EK401" i="2"/>
  <c r="EH401" i="2"/>
  <c r="EF401" i="2"/>
  <c r="ED401" i="2"/>
  <c r="EA401" i="2"/>
  <c r="DY401" i="2"/>
  <c r="DP401" i="2"/>
  <c r="DN401" i="2"/>
  <c r="DF401" i="2"/>
  <c r="CY401" i="2"/>
  <c r="CV401" i="2"/>
  <c r="CQ401" i="2"/>
  <c r="CA401" i="2"/>
  <c r="BY401" i="2"/>
  <c r="BW401" i="2"/>
  <c r="BT401" i="2"/>
  <c r="BS401" i="2"/>
  <c r="BO401" i="2"/>
  <c r="BD401" i="2"/>
  <c r="BB401" i="2"/>
  <c r="AY401" i="2"/>
  <c r="AW401" i="2"/>
  <c r="AU401" i="2"/>
  <c r="AR401" i="2"/>
  <c r="AP401" i="2"/>
  <c r="AG401" i="2"/>
  <c r="AE401" i="2"/>
  <c r="X401" i="2"/>
  <c r="Q401" i="2"/>
  <c r="N401" i="2"/>
  <c r="I401" i="2"/>
  <c r="FY433" i="2"/>
  <c r="FV433" i="2"/>
  <c r="FP433" i="2"/>
  <c r="FO433" i="2"/>
  <c r="FN433" i="2"/>
  <c r="FM433" i="2"/>
  <c r="FJ433" i="2"/>
  <c r="CR433" i="2"/>
  <c r="CQ433" i="2"/>
  <c r="CN433" i="2"/>
  <c r="CJ433" i="2"/>
  <c r="CI433" i="2"/>
  <c r="CH433" i="2"/>
  <c r="CG433" i="2"/>
  <c r="J433" i="2"/>
  <c r="I433" i="2"/>
  <c r="H433" i="2"/>
  <c r="FY400" i="2"/>
  <c r="FX400" i="2"/>
  <c r="FT400" i="2"/>
  <c r="FJ400" i="2"/>
  <c r="EO400" i="2"/>
  <c r="EN400" i="2"/>
  <c r="EK400" i="2"/>
  <c r="EH400" i="2"/>
  <c r="EF400" i="2"/>
  <c r="ED400" i="2"/>
  <c r="EA400" i="2"/>
  <c r="DY400" i="2"/>
  <c r="DP400" i="2"/>
  <c r="DN400" i="2"/>
  <c r="DG400" i="2"/>
  <c r="DF400" i="2"/>
  <c r="DD400" i="2"/>
  <c r="CY400" i="2"/>
  <c r="CV400" i="2"/>
  <c r="CQ400" i="2"/>
  <c r="CP400" i="2"/>
  <c r="CA400" i="2"/>
  <c r="BY400" i="2"/>
  <c r="BU400" i="2"/>
  <c r="BT400" i="2"/>
  <c r="BE400" i="2"/>
  <c r="BD400" i="2"/>
  <c r="BB400" i="2"/>
  <c r="AY400" i="2"/>
  <c r="AW400" i="2"/>
  <c r="AU400" i="2"/>
  <c r="AR400" i="2"/>
  <c r="AP400" i="2"/>
  <c r="AG400" i="2"/>
  <c r="AE400" i="2"/>
  <c r="Y400" i="2"/>
  <c r="X400" i="2"/>
  <c r="V400" i="2"/>
  <c r="Q400" i="2"/>
  <c r="N400" i="2"/>
  <c r="I400" i="2"/>
  <c r="FY399" i="2"/>
  <c r="FT399" i="2"/>
  <c r="FJ399" i="2"/>
  <c r="FB399" i="2"/>
  <c r="EO399" i="2"/>
  <c r="EN399" i="2"/>
  <c r="EK399" i="2"/>
  <c r="EI399" i="2"/>
  <c r="EH399" i="2"/>
  <c r="EG399" i="2"/>
  <c r="EF399" i="2"/>
  <c r="ED399" i="2"/>
  <c r="EA399" i="2"/>
  <c r="DY399" i="2"/>
  <c r="DP399" i="2"/>
  <c r="DN399" i="2"/>
  <c r="DG399" i="2"/>
  <c r="DE399" i="2"/>
  <c r="DD399" i="2"/>
  <c r="CY399" i="2"/>
  <c r="CV399" i="2"/>
  <c r="CQ399" i="2"/>
  <c r="CA399" i="2"/>
  <c r="BY399" i="2"/>
  <c r="BX399" i="2"/>
  <c r="BT399" i="2"/>
  <c r="BS399" i="2"/>
  <c r="BO399" i="2"/>
  <c r="BE399" i="2"/>
  <c r="BD399" i="2"/>
  <c r="BB399" i="2"/>
  <c r="AZ399" i="2"/>
  <c r="AY399" i="2"/>
  <c r="AX399" i="2"/>
  <c r="AW399" i="2"/>
  <c r="AU399" i="2"/>
  <c r="AR399" i="2"/>
  <c r="AP399" i="2"/>
  <c r="AG399" i="2"/>
  <c r="AE399" i="2"/>
  <c r="Y399" i="2"/>
  <c r="W399" i="2"/>
  <c r="V399" i="2"/>
  <c r="Q399" i="2"/>
  <c r="N399" i="2"/>
  <c r="I399" i="2"/>
  <c r="FY398" i="2"/>
  <c r="FX398" i="2"/>
  <c r="FT398" i="2"/>
  <c r="FJ398" i="2"/>
  <c r="EN398" i="2"/>
  <c r="EK398" i="2"/>
  <c r="EI398" i="2"/>
  <c r="EH398" i="2"/>
  <c r="EG398" i="2"/>
  <c r="EF398" i="2"/>
  <c r="EE398" i="2"/>
  <c r="ED398" i="2"/>
  <c r="EA398" i="2"/>
  <c r="DF398" i="2"/>
  <c r="DE398" i="2"/>
  <c r="CY398" i="2"/>
  <c r="CV398" i="2"/>
  <c r="CQ398" i="2"/>
  <c r="CP398" i="2"/>
  <c r="CA398" i="2"/>
  <c r="BT398" i="2"/>
  <c r="BS398" i="2"/>
  <c r="BD398" i="2"/>
  <c r="BB398" i="2"/>
  <c r="AZ398" i="2"/>
  <c r="AY398" i="2"/>
  <c r="AX398" i="2"/>
  <c r="AW398" i="2"/>
  <c r="AV398" i="2"/>
  <c r="AU398" i="2"/>
  <c r="AR398" i="2"/>
  <c r="X398" i="2"/>
  <c r="W398" i="2"/>
  <c r="Q398" i="2"/>
  <c r="N398" i="2"/>
  <c r="I398" i="2"/>
  <c r="FY397" i="2"/>
  <c r="FX397" i="2"/>
  <c r="FT397" i="2"/>
  <c r="FJ397" i="2"/>
  <c r="FB397" i="2"/>
  <c r="EN397" i="2"/>
  <c r="EK397" i="2"/>
  <c r="EH397" i="2"/>
  <c r="EF397" i="2"/>
  <c r="ED397" i="2"/>
  <c r="EA397" i="2"/>
  <c r="DY397" i="2"/>
  <c r="DN397" i="2"/>
  <c r="DD397" i="2"/>
  <c r="CY397" i="2"/>
  <c r="CV397" i="2"/>
  <c r="CQ397" i="2"/>
  <c r="CP397" i="2"/>
  <c r="BO397" i="2"/>
  <c r="BD397" i="2"/>
  <c r="BB397" i="2"/>
  <c r="AY397" i="2"/>
  <c r="AW397" i="2"/>
  <c r="AU397" i="2"/>
  <c r="AR397" i="2"/>
  <c r="AP397" i="2"/>
  <c r="AE397" i="2"/>
  <c r="V397" i="2"/>
  <c r="Q397" i="2"/>
  <c r="N397" i="2"/>
  <c r="I397" i="2"/>
  <c r="FY396" i="2"/>
  <c r="FT396" i="2"/>
  <c r="FJ396" i="2"/>
  <c r="EO396" i="2"/>
  <c r="EN396" i="2"/>
  <c r="EI396" i="2"/>
  <c r="EH396" i="2"/>
  <c r="EF396" i="2"/>
  <c r="ED396" i="2"/>
  <c r="DP396" i="2"/>
  <c r="DN396" i="2"/>
  <c r="CY396" i="2"/>
  <c r="CV396" i="2"/>
  <c r="CQ396" i="2"/>
  <c r="CA396" i="2"/>
  <c r="BY396" i="2"/>
  <c r="BS396" i="2"/>
  <c r="BE396" i="2"/>
  <c r="BD396" i="2"/>
  <c r="AZ396" i="2"/>
  <c r="AY396" i="2"/>
  <c r="AW396" i="2"/>
  <c r="AU396" i="2"/>
  <c r="AG396" i="2"/>
  <c r="AE396" i="2"/>
  <c r="Q396" i="2"/>
  <c r="N396" i="2"/>
  <c r="I396" i="2"/>
  <c r="FY395" i="2"/>
  <c r="FT395" i="2"/>
  <c r="FJ395" i="2"/>
  <c r="EN395" i="2"/>
  <c r="EK395" i="2"/>
  <c r="EI395" i="2"/>
  <c r="EH395" i="2"/>
  <c r="EG395" i="2"/>
  <c r="EF395" i="2"/>
  <c r="ED395" i="2"/>
  <c r="DY395" i="2"/>
  <c r="CY395" i="2"/>
  <c r="CV395" i="2"/>
  <c r="CQ395" i="2"/>
  <c r="CA395" i="2"/>
  <c r="BZ395" i="2"/>
  <c r="BT395" i="2"/>
  <c r="BD395" i="2"/>
  <c r="BB395" i="2"/>
  <c r="AZ395" i="2"/>
  <c r="AY395" i="2"/>
  <c r="AX395" i="2"/>
  <c r="AW395" i="2"/>
  <c r="AU395" i="2"/>
  <c r="AP395" i="2"/>
  <c r="Q395" i="2"/>
  <c r="N395" i="2"/>
  <c r="I395" i="2"/>
  <c r="FY394" i="2"/>
  <c r="FX394" i="2"/>
  <c r="FT394" i="2"/>
  <c r="FJ394" i="2"/>
  <c r="FE394" i="2"/>
  <c r="FD394" i="2"/>
  <c r="FB394" i="2"/>
  <c r="EO394" i="2"/>
  <c r="EN394" i="2"/>
  <c r="EH394" i="2"/>
  <c r="EG394" i="2"/>
  <c r="EF394" i="2"/>
  <c r="ED394" i="2"/>
  <c r="EA394" i="2"/>
  <c r="DY394" i="2"/>
  <c r="DP394" i="2"/>
  <c r="DN394" i="2"/>
  <c r="DG394" i="2"/>
  <c r="DF394" i="2"/>
  <c r="DE394" i="2"/>
  <c r="DD394" i="2"/>
  <c r="CY394" i="2"/>
  <c r="CV394" i="2"/>
  <c r="CQ394" i="2"/>
  <c r="CP394" i="2"/>
  <c r="CA394" i="2"/>
  <c r="BT394" i="2"/>
  <c r="BR394" i="2"/>
  <c r="BQ394" i="2"/>
  <c r="BO394" i="2"/>
  <c r="BE394" i="2"/>
  <c r="BD394" i="2"/>
  <c r="AY394" i="2"/>
  <c r="AX394" i="2"/>
  <c r="AW394" i="2"/>
  <c r="AU394" i="2"/>
  <c r="AR394" i="2"/>
  <c r="AP394" i="2"/>
  <c r="AG394" i="2"/>
  <c r="AE394" i="2"/>
  <c r="Y394" i="2"/>
  <c r="X394" i="2"/>
  <c r="W394" i="2"/>
  <c r="V394" i="2"/>
  <c r="Q394" i="2"/>
  <c r="N394" i="2"/>
  <c r="I394" i="2"/>
  <c r="FY393" i="2"/>
  <c r="FX393" i="2"/>
  <c r="FT393" i="2"/>
  <c r="FJ393" i="2"/>
  <c r="FD393" i="2"/>
  <c r="ET393" i="2"/>
  <c r="EP393" i="2"/>
  <c r="EO393" i="2"/>
  <c r="EN393" i="2"/>
  <c r="ED393" i="2"/>
  <c r="DY393" i="2"/>
  <c r="DN393" i="2"/>
  <c r="DD393" i="2"/>
  <c r="CY393" i="2"/>
  <c r="CV393" i="2"/>
  <c r="CQ393" i="2"/>
  <c r="CP393" i="2"/>
  <c r="CA393" i="2"/>
  <c r="BT393" i="2"/>
  <c r="BQ393" i="2"/>
  <c r="BI393" i="2"/>
  <c r="BF393" i="2"/>
  <c r="BE393" i="2"/>
  <c r="BD393" i="2"/>
  <c r="AU393" i="2"/>
  <c r="AP393" i="2"/>
  <c r="AE393" i="2"/>
  <c r="V393" i="2"/>
  <c r="Q393" i="2"/>
  <c r="N393" i="2"/>
  <c r="I393" i="2"/>
  <c r="FY392" i="2"/>
  <c r="FX392" i="2"/>
  <c r="FT392" i="2"/>
  <c r="FJ392" i="2"/>
  <c r="EX392" i="2"/>
  <c r="EO392" i="2"/>
  <c r="EN392" i="2"/>
  <c r="EK392" i="2"/>
  <c r="EI392" i="2"/>
  <c r="EH392" i="2"/>
  <c r="EG392" i="2"/>
  <c r="EF392" i="2"/>
  <c r="EE392" i="2"/>
  <c r="ED392" i="2"/>
  <c r="EA392" i="2"/>
  <c r="DP392" i="2"/>
  <c r="DN392" i="2"/>
  <c r="DF392" i="2"/>
  <c r="DE392" i="2"/>
  <c r="CY392" i="2"/>
  <c r="CV392" i="2"/>
  <c r="CQ392" i="2"/>
  <c r="CP392" i="2"/>
  <c r="BT392" i="2"/>
  <c r="BK392" i="2"/>
  <c r="BE392" i="2"/>
  <c r="BD392" i="2"/>
  <c r="BB392" i="2"/>
  <c r="AZ392" i="2"/>
  <c r="AY392" i="2"/>
  <c r="AX392" i="2"/>
  <c r="AW392" i="2"/>
  <c r="AV392" i="2"/>
  <c r="AU392" i="2"/>
  <c r="AR392" i="2"/>
  <c r="AG392" i="2"/>
  <c r="AE392" i="2"/>
  <c r="X392" i="2"/>
  <c r="W392" i="2"/>
  <c r="Q392" i="2"/>
  <c r="N392" i="2"/>
  <c r="I392" i="2"/>
  <c r="FY391" i="2"/>
  <c r="FX391" i="2"/>
  <c r="FT391" i="2"/>
  <c r="FJ391" i="2"/>
  <c r="ES391" i="2"/>
  <c r="EP391" i="2"/>
  <c r="EO391" i="2"/>
  <c r="EN391" i="2"/>
  <c r="EK391" i="2"/>
  <c r="EH391" i="2"/>
  <c r="EF391" i="2"/>
  <c r="ED391" i="2"/>
  <c r="DY391" i="2"/>
  <c r="DN391" i="2"/>
  <c r="CY391" i="2"/>
  <c r="CV391" i="2"/>
  <c r="CQ391" i="2"/>
  <c r="CP391" i="2"/>
  <c r="BW391" i="2"/>
  <c r="BH391" i="2"/>
  <c r="BF391" i="2"/>
  <c r="BE391" i="2"/>
  <c r="BD391" i="2"/>
  <c r="BB391" i="2"/>
  <c r="AY391" i="2"/>
  <c r="AW391" i="2"/>
  <c r="AU391" i="2"/>
  <c r="AP391" i="2"/>
  <c r="AE391" i="2"/>
  <c r="Q391" i="2"/>
  <c r="N391" i="2"/>
  <c r="I391" i="2"/>
  <c r="FY390" i="2"/>
  <c r="FT390" i="2"/>
  <c r="FJ390" i="2"/>
  <c r="FE390" i="2"/>
  <c r="FD390" i="2"/>
  <c r="FB390" i="2"/>
  <c r="EQ390" i="2"/>
  <c r="EO390" i="2"/>
  <c r="EN390" i="2"/>
  <c r="EK390" i="2"/>
  <c r="EH390" i="2"/>
  <c r="EF390" i="2"/>
  <c r="ED390" i="2"/>
  <c r="EA390" i="2"/>
  <c r="DY390" i="2"/>
  <c r="DP390" i="2"/>
  <c r="DN390" i="2"/>
  <c r="DF390" i="2"/>
  <c r="DD390" i="2"/>
  <c r="CY390" i="2"/>
  <c r="CV390" i="2"/>
  <c r="CQ390" i="2"/>
  <c r="CA390" i="2"/>
  <c r="BZ390" i="2"/>
  <c r="BY390" i="2"/>
  <c r="BX390" i="2"/>
  <c r="BT390" i="2"/>
  <c r="BS390" i="2"/>
  <c r="BR390" i="2"/>
  <c r="BQ390" i="2"/>
  <c r="BO390" i="2"/>
  <c r="BG390" i="2"/>
  <c r="BE390" i="2"/>
  <c r="BD390" i="2"/>
  <c r="BB390" i="2"/>
  <c r="AY390" i="2"/>
  <c r="AW390" i="2"/>
  <c r="AU390" i="2"/>
  <c r="AR390" i="2"/>
  <c r="AP390" i="2"/>
  <c r="AG390" i="2"/>
  <c r="AE390" i="2"/>
  <c r="X390" i="2"/>
  <c r="V390" i="2"/>
  <c r="Q390" i="2"/>
  <c r="N390" i="2"/>
  <c r="I390" i="2"/>
  <c r="FY389" i="2"/>
  <c r="FX389" i="2"/>
  <c r="FT389" i="2"/>
  <c r="FJ389" i="2"/>
  <c r="FF389" i="2"/>
  <c r="FD389" i="2"/>
  <c r="FC389" i="2"/>
  <c r="FB389" i="2"/>
  <c r="EO389" i="2"/>
  <c r="EN389" i="2"/>
  <c r="EK389" i="2"/>
  <c r="EH389" i="2"/>
  <c r="EF389" i="2"/>
  <c r="ED389" i="2"/>
  <c r="EA389" i="2"/>
  <c r="DY389" i="2"/>
  <c r="DN389" i="2"/>
  <c r="DF389" i="2"/>
  <c r="DE389" i="2"/>
  <c r="DD389" i="2"/>
  <c r="CY389" i="2"/>
  <c r="CV389" i="2"/>
  <c r="CQ389" i="2"/>
  <c r="CP389" i="2"/>
  <c r="CA389" i="2"/>
  <c r="BY389" i="2"/>
  <c r="BX389" i="2"/>
  <c r="BV389" i="2"/>
  <c r="BU389" i="2"/>
  <c r="BT389" i="2"/>
  <c r="BS389" i="2"/>
  <c r="BQ389" i="2"/>
  <c r="BP389" i="2"/>
  <c r="BO389" i="2"/>
  <c r="BE389" i="2"/>
  <c r="BD389" i="2"/>
  <c r="BB389" i="2"/>
  <c r="AY389" i="2"/>
  <c r="AW389" i="2"/>
  <c r="AU389" i="2"/>
  <c r="AR389" i="2"/>
  <c r="AP389" i="2"/>
  <c r="AE389" i="2"/>
  <c r="X389" i="2"/>
  <c r="W389" i="2"/>
  <c r="V389" i="2"/>
  <c r="Q389" i="2"/>
  <c r="N389" i="2"/>
  <c r="I389" i="2"/>
  <c r="FY388" i="2"/>
  <c r="FX388" i="2"/>
  <c r="FT388" i="2"/>
  <c r="FJ388" i="2"/>
  <c r="FF388" i="2"/>
  <c r="EP388" i="2"/>
  <c r="EK388" i="2"/>
  <c r="EI388" i="2"/>
  <c r="EH388" i="2"/>
  <c r="EF388" i="2"/>
  <c r="EE388" i="2"/>
  <c r="ED388" i="2"/>
  <c r="DP388" i="2"/>
  <c r="DN388" i="2"/>
  <c r="CY388" i="2"/>
  <c r="CQ388" i="2"/>
  <c r="CP388" i="2"/>
  <c r="BV388" i="2"/>
  <c r="BU388" i="2"/>
  <c r="BT388" i="2"/>
  <c r="BS388" i="2"/>
  <c r="BF388" i="2"/>
  <c r="BB388" i="2"/>
  <c r="AZ388" i="2"/>
  <c r="AY388" i="2"/>
  <c r="AW388" i="2"/>
  <c r="AV388" i="2"/>
  <c r="AU388" i="2"/>
  <c r="AG388" i="2"/>
  <c r="AE388" i="2"/>
  <c r="Q388" i="2"/>
  <c r="I388" i="2"/>
  <c r="FY387" i="2"/>
  <c r="FT387" i="2"/>
  <c r="FJ387" i="2"/>
  <c r="EO387" i="2"/>
  <c r="EN387" i="2"/>
  <c r="EH387" i="2"/>
  <c r="EG387" i="2"/>
  <c r="EF387" i="2"/>
  <c r="ED387" i="2"/>
  <c r="DY387" i="2"/>
  <c r="DN387" i="2"/>
  <c r="CY387" i="2"/>
  <c r="CV387" i="2"/>
  <c r="CQ387" i="2"/>
  <c r="CA387" i="2"/>
  <c r="BY387" i="2"/>
  <c r="BX387" i="2"/>
  <c r="BW387" i="2"/>
  <c r="BT387" i="2"/>
  <c r="BS387" i="2"/>
  <c r="BE387" i="2"/>
  <c r="BD387" i="2"/>
  <c r="AY387" i="2"/>
  <c r="AX387" i="2"/>
  <c r="AW387" i="2"/>
  <c r="AU387" i="2"/>
  <c r="AP387" i="2"/>
  <c r="AE387" i="2"/>
  <c r="Q387" i="2"/>
  <c r="N387" i="2"/>
  <c r="I387" i="2"/>
  <c r="FY386" i="2"/>
  <c r="FX386" i="2"/>
  <c r="FT386" i="2"/>
  <c r="FJ386" i="2"/>
  <c r="FD386" i="2"/>
  <c r="EP386" i="2"/>
  <c r="EN386" i="2"/>
  <c r="EK386" i="2"/>
  <c r="EF386" i="2"/>
  <c r="ED386" i="2"/>
  <c r="DN386" i="2"/>
  <c r="CY386" i="2"/>
  <c r="CV386" i="2"/>
  <c r="CQ386" i="2"/>
  <c r="CP386" i="2"/>
  <c r="BY386" i="2"/>
  <c r="BQ386" i="2"/>
  <c r="BF386" i="2"/>
  <c r="BD386" i="2"/>
  <c r="BB386" i="2"/>
  <c r="AW386" i="2"/>
  <c r="AU386" i="2"/>
  <c r="AE386" i="2"/>
  <c r="Q386" i="2"/>
  <c r="N386" i="2"/>
  <c r="I386" i="2"/>
  <c r="FY385" i="2"/>
  <c r="FT385" i="2"/>
  <c r="FJ385" i="2"/>
  <c r="FB385" i="2"/>
  <c r="EO385" i="2"/>
  <c r="EN385" i="2"/>
  <c r="EK385" i="2"/>
  <c r="EH385" i="2"/>
  <c r="EF385" i="2"/>
  <c r="ED385" i="2"/>
  <c r="EA385" i="2"/>
  <c r="DY385" i="2"/>
  <c r="DP385" i="2"/>
  <c r="DN385" i="2"/>
  <c r="CY385" i="2"/>
  <c r="CV385" i="2"/>
  <c r="CQ385" i="2"/>
  <c r="BT385" i="2"/>
  <c r="BO385" i="2"/>
  <c r="BE385" i="2"/>
  <c r="BD385" i="2"/>
  <c r="BB385" i="2"/>
  <c r="AY385" i="2"/>
  <c r="AW385" i="2"/>
  <c r="AU385" i="2"/>
  <c r="AR385" i="2"/>
  <c r="AP385" i="2"/>
  <c r="AG385" i="2"/>
  <c r="AE385" i="2"/>
  <c r="Q385" i="2"/>
  <c r="N385" i="2"/>
  <c r="I385" i="2"/>
  <c r="FY384" i="2"/>
  <c r="FX384" i="2"/>
  <c r="FT384" i="2"/>
  <c r="FJ384" i="2"/>
  <c r="FF384" i="2"/>
  <c r="FD384" i="2"/>
  <c r="FC384" i="2"/>
  <c r="FB384" i="2"/>
  <c r="EN384" i="2"/>
  <c r="EK384" i="2"/>
  <c r="EI384" i="2"/>
  <c r="EH384" i="2"/>
  <c r="EG384" i="2"/>
  <c r="EF384" i="2"/>
  <c r="EE384" i="2"/>
  <c r="ED384" i="2"/>
  <c r="EA384" i="2"/>
  <c r="DY384" i="2"/>
  <c r="DP384" i="2"/>
  <c r="DN384" i="2"/>
  <c r="DH384" i="2"/>
  <c r="DG384" i="2"/>
  <c r="DF384" i="2"/>
  <c r="DE384" i="2"/>
  <c r="DD384" i="2"/>
  <c r="CY384" i="2"/>
  <c r="CV384" i="2"/>
  <c r="CQ384" i="2"/>
  <c r="CP384" i="2"/>
  <c r="CA384" i="2"/>
  <c r="BY384" i="2"/>
  <c r="BU384" i="2"/>
  <c r="BT384" i="2"/>
  <c r="BQ384" i="2"/>
  <c r="BP384" i="2"/>
  <c r="BO384" i="2"/>
  <c r="BD384" i="2"/>
  <c r="BB384" i="2"/>
  <c r="AZ384" i="2"/>
  <c r="AY384" i="2"/>
  <c r="AX384" i="2"/>
  <c r="AW384" i="2"/>
  <c r="AV384" i="2"/>
  <c r="AU384" i="2"/>
  <c r="AR384" i="2"/>
  <c r="AP384" i="2"/>
  <c r="AG384" i="2"/>
  <c r="AE384" i="2"/>
  <c r="Z384" i="2"/>
  <c r="Y384" i="2"/>
  <c r="X384" i="2"/>
  <c r="W384" i="2"/>
  <c r="V384" i="2"/>
  <c r="Q384" i="2"/>
  <c r="N384" i="2"/>
  <c r="I384" i="2"/>
  <c r="FY383" i="2"/>
  <c r="FX383" i="2"/>
  <c r="FF383" i="2"/>
  <c r="EV383" i="2"/>
  <c r="EN383" i="2"/>
  <c r="EK383" i="2"/>
  <c r="EH383" i="2"/>
  <c r="DY383" i="2"/>
  <c r="CV383" i="2"/>
  <c r="CQ383" i="2"/>
  <c r="CP383" i="2"/>
  <c r="CA383" i="2"/>
  <c r="BY383" i="2"/>
  <c r="BX383" i="2"/>
  <c r="BW383" i="2"/>
  <c r="BU383" i="2"/>
  <c r="BS383" i="2"/>
  <c r="BD383" i="2"/>
  <c r="BB383" i="2"/>
  <c r="AY383" i="2"/>
  <c r="AP383" i="2"/>
  <c r="N383" i="2"/>
  <c r="I383" i="2"/>
  <c r="FY382" i="2"/>
  <c r="FX382" i="2"/>
  <c r="FT382" i="2"/>
  <c r="FJ382" i="2"/>
  <c r="ES382" i="2"/>
  <c r="EN382" i="2"/>
  <c r="EI382" i="2"/>
  <c r="EH382" i="2"/>
  <c r="EG382" i="2"/>
  <c r="EF382" i="2"/>
  <c r="ED382" i="2"/>
  <c r="DH382" i="2"/>
  <c r="CY382" i="2"/>
  <c r="CV382" i="2"/>
  <c r="CQ382" i="2"/>
  <c r="CP382" i="2"/>
  <c r="BH382" i="2"/>
  <c r="BD382" i="2"/>
  <c r="AZ382" i="2"/>
  <c r="AY382" i="2"/>
  <c r="AX382" i="2"/>
  <c r="AW382" i="2"/>
  <c r="AU382" i="2"/>
  <c r="Z382" i="2"/>
  <c r="Q382" i="2"/>
  <c r="N382" i="2"/>
  <c r="I382" i="2"/>
  <c r="FY381" i="2"/>
  <c r="FX381" i="2"/>
  <c r="FJ381" i="2"/>
  <c r="EN381" i="2"/>
  <c r="EH381" i="2"/>
  <c r="ED381" i="2"/>
  <c r="CV381" i="2"/>
  <c r="CQ381" i="2"/>
  <c r="CP381" i="2"/>
  <c r="CA381" i="2"/>
  <c r="BY381" i="2"/>
  <c r="BD381" i="2"/>
  <c r="AY381" i="2"/>
  <c r="AU381" i="2"/>
  <c r="N381" i="2"/>
  <c r="I381" i="2"/>
  <c r="FY380" i="2"/>
  <c r="FX380" i="2"/>
  <c r="FT380" i="2"/>
  <c r="FJ380" i="2"/>
  <c r="EN380" i="2"/>
  <c r="EK380" i="2"/>
  <c r="EI380" i="2"/>
  <c r="EH380" i="2"/>
  <c r="EG380" i="2"/>
  <c r="EF380" i="2"/>
  <c r="ED380" i="2"/>
  <c r="CY380" i="2"/>
  <c r="CV380" i="2"/>
  <c r="CQ380" i="2"/>
  <c r="CP380" i="2"/>
  <c r="BD380" i="2"/>
  <c r="BB380" i="2"/>
  <c r="AZ380" i="2"/>
  <c r="AY380" i="2"/>
  <c r="AX380" i="2"/>
  <c r="AW380" i="2"/>
  <c r="AU380" i="2"/>
  <c r="Q380" i="2"/>
  <c r="N380" i="2"/>
  <c r="I380" i="2"/>
  <c r="FY379" i="2"/>
  <c r="FX379" i="2"/>
  <c r="FT379" i="2"/>
  <c r="FJ379" i="2"/>
  <c r="EU379" i="2"/>
  <c r="ET379" i="2"/>
  <c r="EP379" i="2"/>
  <c r="EO379" i="2"/>
  <c r="EN379" i="2"/>
  <c r="ED379" i="2"/>
  <c r="CV379" i="2"/>
  <c r="CQ379" i="2"/>
  <c r="CP379" i="2"/>
  <c r="BJ379" i="2"/>
  <c r="BI379" i="2"/>
  <c r="BF379" i="2"/>
  <c r="BE379" i="2"/>
  <c r="BD379" i="2"/>
  <c r="AU379" i="2"/>
  <c r="N379" i="2"/>
  <c r="I379" i="2"/>
  <c r="FY378" i="2"/>
  <c r="FT378" i="2"/>
  <c r="FJ378" i="2"/>
  <c r="FF378" i="2"/>
  <c r="EV378" i="2"/>
  <c r="EO378" i="2"/>
  <c r="EN378" i="2"/>
  <c r="EK378" i="2"/>
  <c r="EI378" i="2"/>
  <c r="EH378" i="2"/>
  <c r="EG378" i="2"/>
  <c r="EF378" i="2"/>
  <c r="ED378" i="2"/>
  <c r="CY378" i="2"/>
  <c r="CV378" i="2"/>
  <c r="CQ378" i="2"/>
  <c r="CA378" i="2"/>
  <c r="BY378" i="2"/>
  <c r="BU378" i="2"/>
  <c r="BT378" i="2"/>
  <c r="BE378" i="2"/>
  <c r="BD378" i="2"/>
  <c r="BB378" i="2"/>
  <c r="AZ378" i="2"/>
  <c r="AY378" i="2"/>
  <c r="AX378" i="2"/>
  <c r="AW378" i="2"/>
  <c r="AU378" i="2"/>
  <c r="Q378" i="2"/>
  <c r="N378" i="2"/>
  <c r="I378" i="2"/>
  <c r="FY377" i="2"/>
  <c r="FT377" i="2"/>
  <c r="FF377" i="2"/>
  <c r="EV377" i="2"/>
  <c r="EN377" i="2"/>
  <c r="EH377" i="2"/>
  <c r="EF377" i="2"/>
  <c r="ED377" i="2"/>
  <c r="CY377" i="2"/>
  <c r="CV377" i="2"/>
  <c r="CQ377" i="2"/>
  <c r="CC377" i="2"/>
  <c r="CA377" i="2"/>
  <c r="BY377" i="2"/>
  <c r="BW377" i="2"/>
  <c r="BV377" i="2"/>
  <c r="BU377" i="2"/>
  <c r="BT377" i="2"/>
  <c r="BS377" i="2"/>
  <c r="BD377" i="2"/>
  <c r="AY377" i="2"/>
  <c r="AW377" i="2"/>
  <c r="AU377" i="2"/>
  <c r="Q377" i="2"/>
  <c r="N377" i="2"/>
  <c r="I377" i="2"/>
  <c r="FY376" i="2"/>
  <c r="FX376" i="2"/>
  <c r="FT376" i="2"/>
  <c r="FJ376" i="2"/>
  <c r="EQ376" i="2"/>
  <c r="EN376" i="2"/>
  <c r="EK376" i="2"/>
  <c r="EH376" i="2"/>
  <c r="EG376" i="2"/>
  <c r="EF376" i="2"/>
  <c r="ED376" i="2"/>
  <c r="EA376" i="2"/>
  <c r="DY376" i="2"/>
  <c r="DN376" i="2"/>
  <c r="CY376" i="2"/>
  <c r="CV376" i="2"/>
  <c r="CQ376" i="2"/>
  <c r="CP376" i="2"/>
  <c r="BU376" i="2"/>
  <c r="BT376" i="2"/>
  <c r="BS376" i="2"/>
  <c r="BG376" i="2"/>
  <c r="BD376" i="2"/>
  <c r="BB376" i="2"/>
  <c r="AY376" i="2"/>
  <c r="AX376" i="2"/>
  <c r="AW376" i="2"/>
  <c r="AU376" i="2"/>
  <c r="AR376" i="2"/>
  <c r="AP376" i="2"/>
  <c r="AE376" i="2"/>
  <c r="Q376" i="2"/>
  <c r="N376" i="2"/>
  <c r="I376" i="2"/>
  <c r="FY375" i="2"/>
  <c r="EN375" i="2"/>
  <c r="CQ375" i="2"/>
  <c r="CA375" i="2"/>
  <c r="BD375" i="2"/>
  <c r="I375" i="2"/>
  <c r="FY374" i="2"/>
  <c r="FT374" i="2"/>
  <c r="FJ374" i="2"/>
  <c r="FF374" i="2"/>
  <c r="EP374" i="2"/>
  <c r="EO374" i="2"/>
  <c r="EN374" i="2"/>
  <c r="EK374" i="2"/>
  <c r="EI374" i="2"/>
  <c r="EH374" i="2"/>
  <c r="EF374" i="2"/>
  <c r="EE374" i="2"/>
  <c r="ED374" i="2"/>
  <c r="CY374" i="2"/>
  <c r="CV374" i="2"/>
  <c r="CS374" i="2"/>
  <c r="CR374" i="2"/>
  <c r="CQ374" i="2"/>
  <c r="BV374" i="2"/>
  <c r="BU374" i="2"/>
  <c r="BT374" i="2"/>
  <c r="BF374" i="2"/>
  <c r="BE374" i="2"/>
  <c r="BD374" i="2"/>
  <c r="BB374" i="2"/>
  <c r="AZ374" i="2"/>
  <c r="AY374" i="2"/>
  <c r="AW374" i="2"/>
  <c r="AV374" i="2"/>
  <c r="AU374" i="2"/>
  <c r="Q374" i="2"/>
  <c r="N374" i="2"/>
  <c r="K374" i="2"/>
  <c r="J374" i="2"/>
  <c r="I374" i="2"/>
  <c r="FY373" i="2"/>
  <c r="FT373" i="2"/>
  <c r="FJ373" i="2"/>
  <c r="FB373" i="2"/>
  <c r="EZ373" i="2"/>
  <c r="EN373" i="2"/>
  <c r="EI373" i="2"/>
  <c r="EH373" i="2"/>
  <c r="EF373" i="2"/>
  <c r="ED373" i="2"/>
  <c r="EA373" i="2"/>
  <c r="DY373" i="2"/>
  <c r="DP373" i="2"/>
  <c r="DN373" i="2"/>
  <c r="DF373" i="2"/>
  <c r="DE373" i="2"/>
  <c r="DD373" i="2"/>
  <c r="CY373" i="2"/>
  <c r="CV373" i="2"/>
  <c r="CQ373" i="2"/>
  <c r="CA373" i="2"/>
  <c r="BY373" i="2"/>
  <c r="BU373" i="2"/>
  <c r="BT373" i="2"/>
  <c r="BS373" i="2"/>
  <c r="BO373" i="2"/>
  <c r="BM373" i="2"/>
  <c r="BD373" i="2"/>
  <c r="AZ373" i="2"/>
  <c r="AY373" i="2"/>
  <c r="AW373" i="2"/>
  <c r="AU373" i="2"/>
  <c r="AR373" i="2"/>
  <c r="AP373" i="2"/>
  <c r="AG373" i="2"/>
  <c r="AE373" i="2"/>
  <c r="X373" i="2"/>
  <c r="W373" i="2"/>
  <c r="V373" i="2"/>
  <c r="Q373" i="2"/>
  <c r="N373" i="2"/>
  <c r="I373" i="2"/>
  <c r="FY372" i="2"/>
  <c r="FX372" i="2"/>
  <c r="FT372" i="2"/>
  <c r="FJ372" i="2"/>
  <c r="EK372" i="2"/>
  <c r="EI372" i="2"/>
  <c r="EH372" i="2"/>
  <c r="EF372" i="2"/>
  <c r="ED372" i="2"/>
  <c r="DN372" i="2"/>
  <c r="CY372" i="2"/>
  <c r="CV372" i="2"/>
  <c r="CQ372" i="2"/>
  <c r="CP372" i="2"/>
  <c r="CA372" i="2"/>
  <c r="BW372" i="2"/>
  <c r="BU372" i="2"/>
  <c r="BT372" i="2"/>
  <c r="BS372" i="2"/>
  <c r="BB372" i="2"/>
  <c r="AZ372" i="2"/>
  <c r="AY372" i="2"/>
  <c r="AW372" i="2"/>
  <c r="AU372" i="2"/>
  <c r="AE372" i="2"/>
  <c r="Q372" i="2"/>
  <c r="N372" i="2"/>
  <c r="I372" i="2"/>
  <c r="FY371" i="2"/>
  <c r="FX371" i="2"/>
  <c r="FT371" i="2"/>
  <c r="FJ371" i="2"/>
  <c r="FE371" i="2"/>
  <c r="FD371" i="2"/>
  <c r="FB371" i="2"/>
  <c r="EN371" i="2"/>
  <c r="EK371" i="2"/>
  <c r="EH371" i="2"/>
  <c r="EF371" i="2"/>
  <c r="ED371" i="2"/>
  <c r="DP371" i="2"/>
  <c r="DN371" i="2"/>
  <c r="CQ371" i="2"/>
  <c r="CP371" i="2"/>
  <c r="CC371" i="2"/>
  <c r="CA371" i="2"/>
  <c r="BY371" i="2"/>
  <c r="BW371" i="2"/>
  <c r="BT371" i="2"/>
  <c r="BS371" i="2"/>
  <c r="BR371" i="2"/>
  <c r="BQ371" i="2"/>
  <c r="BO371" i="2"/>
  <c r="BD371" i="2"/>
  <c r="BB371" i="2"/>
  <c r="AY371" i="2"/>
  <c r="AW371" i="2"/>
  <c r="AU371" i="2"/>
  <c r="AG371" i="2"/>
  <c r="AE371" i="2"/>
  <c r="I371" i="2"/>
  <c r="FY370" i="2"/>
  <c r="FT370" i="2"/>
  <c r="FJ370" i="2"/>
  <c r="FI370" i="2"/>
  <c r="FE370" i="2"/>
  <c r="FD370" i="2"/>
  <c r="FC370" i="2"/>
  <c r="FB370" i="2"/>
  <c r="EP370" i="2"/>
  <c r="EN370" i="2"/>
  <c r="EI370" i="2"/>
  <c r="EH370" i="2"/>
  <c r="EG370" i="2"/>
  <c r="EF370" i="2"/>
  <c r="ED370" i="2"/>
  <c r="EA370" i="2"/>
  <c r="DY370" i="2"/>
  <c r="DP370" i="2"/>
  <c r="DN370" i="2"/>
  <c r="DG370" i="2"/>
  <c r="DF370" i="2"/>
  <c r="DE370" i="2"/>
  <c r="DD370" i="2"/>
  <c r="CY370" i="2"/>
  <c r="CV370" i="2"/>
  <c r="CQ370" i="2"/>
  <c r="CD370" i="2"/>
  <c r="BR370" i="2"/>
  <c r="BQ370" i="2"/>
  <c r="BP370" i="2"/>
  <c r="BO370" i="2"/>
  <c r="BF370" i="2"/>
  <c r="BD370" i="2"/>
  <c r="AZ370" i="2"/>
  <c r="AY370" i="2"/>
  <c r="AX370" i="2"/>
  <c r="AW370" i="2"/>
  <c r="AU370" i="2"/>
  <c r="AR370" i="2"/>
  <c r="AP370" i="2"/>
  <c r="AG370" i="2"/>
  <c r="AE370" i="2"/>
  <c r="Y370" i="2"/>
  <c r="X370" i="2"/>
  <c r="W370" i="2"/>
  <c r="V370" i="2"/>
  <c r="Q370" i="2"/>
  <c r="N370" i="2"/>
  <c r="I370" i="2"/>
  <c r="FY369" i="2"/>
  <c r="FI369" i="2"/>
  <c r="EN369" i="2"/>
  <c r="CQ369" i="2"/>
  <c r="CA369" i="2"/>
  <c r="BD369" i="2"/>
  <c r="J369" i="2"/>
  <c r="I369" i="2"/>
  <c r="FY368" i="2"/>
  <c r="FT368" i="2"/>
  <c r="FJ368" i="2"/>
  <c r="EO368" i="2"/>
  <c r="EN368" i="2"/>
  <c r="EK368" i="2"/>
  <c r="EI368" i="2"/>
  <c r="EH368" i="2"/>
  <c r="EG368" i="2"/>
  <c r="EF368" i="2"/>
  <c r="ED368" i="2"/>
  <c r="DD368" i="2"/>
  <c r="CY368" i="2"/>
  <c r="CV368" i="2"/>
  <c r="CQ368" i="2"/>
  <c r="BY368" i="2"/>
  <c r="BE368" i="2"/>
  <c r="BD368" i="2"/>
  <c r="BB368" i="2"/>
  <c r="AZ368" i="2"/>
  <c r="AY368" i="2"/>
  <c r="AX368" i="2"/>
  <c r="AW368" i="2"/>
  <c r="AU368" i="2"/>
  <c r="V368" i="2"/>
  <c r="Q368" i="2"/>
  <c r="N368" i="2"/>
  <c r="I368" i="2"/>
  <c r="FY432" i="2"/>
  <c r="FV432" i="2"/>
  <c r="FS432" i="2"/>
  <c r="FO432" i="2"/>
  <c r="FN432" i="2"/>
  <c r="FJ432" i="2"/>
  <c r="FG432" i="2"/>
  <c r="CS432" i="2"/>
  <c r="CR432" i="2"/>
  <c r="CQ432" i="2"/>
  <c r="CN432" i="2"/>
  <c r="CL432" i="2"/>
  <c r="CI432" i="2"/>
  <c r="CH432" i="2"/>
  <c r="BW432" i="2"/>
  <c r="K432" i="2"/>
  <c r="J432" i="2"/>
  <c r="I432" i="2"/>
  <c r="H432" i="2"/>
  <c r="FY367" i="2"/>
  <c r="FT367" i="2"/>
  <c r="FJ367" i="2"/>
  <c r="FE367" i="2"/>
  <c r="FD367" i="2"/>
  <c r="EN367" i="2"/>
  <c r="EK367" i="2"/>
  <c r="EI367" i="2"/>
  <c r="EH367" i="2"/>
  <c r="EF367" i="2"/>
  <c r="ED367" i="2"/>
  <c r="EA367" i="2"/>
  <c r="DY367" i="2"/>
  <c r="DP367" i="2"/>
  <c r="DN367" i="2"/>
  <c r="CY367" i="2"/>
  <c r="CV367" i="2"/>
  <c r="CQ367" i="2"/>
  <c r="BT367" i="2"/>
  <c r="BS367" i="2"/>
  <c r="BR367" i="2"/>
  <c r="BQ367" i="2"/>
  <c r="BD367" i="2"/>
  <c r="BB367" i="2"/>
  <c r="AZ367" i="2"/>
  <c r="AY367" i="2"/>
  <c r="AW367" i="2"/>
  <c r="AU367" i="2"/>
  <c r="AR367" i="2"/>
  <c r="AP367" i="2"/>
  <c r="AG367" i="2"/>
  <c r="AE367" i="2"/>
  <c r="Q367" i="2"/>
  <c r="N367" i="2"/>
  <c r="I367" i="2"/>
  <c r="FY366" i="2"/>
  <c r="FX366" i="2"/>
  <c r="FT366" i="2"/>
  <c r="FJ366" i="2"/>
  <c r="FD366" i="2"/>
  <c r="FB366" i="2"/>
  <c r="EV366" i="2"/>
  <c r="EP366" i="2"/>
  <c r="EO366" i="2"/>
  <c r="EN366" i="2"/>
  <c r="EI366" i="2"/>
  <c r="EH366" i="2"/>
  <c r="EF366" i="2"/>
  <c r="EE366" i="2"/>
  <c r="ED366" i="2"/>
  <c r="EA366" i="2"/>
  <c r="DY366" i="2"/>
  <c r="DP366" i="2"/>
  <c r="DN366" i="2"/>
  <c r="DG366" i="2"/>
  <c r="DF366" i="2"/>
  <c r="DE366" i="2"/>
  <c r="DD366" i="2"/>
  <c r="CY366" i="2"/>
  <c r="CV366" i="2"/>
  <c r="CQ366" i="2"/>
  <c r="CP366" i="2"/>
  <c r="CB366" i="2"/>
  <c r="BQ366" i="2"/>
  <c r="BO366" i="2"/>
  <c r="BF366" i="2"/>
  <c r="BE366" i="2"/>
  <c r="BD366" i="2"/>
  <c r="AZ366" i="2"/>
  <c r="AY366" i="2"/>
  <c r="AW366" i="2"/>
  <c r="AV366" i="2"/>
  <c r="AU366" i="2"/>
  <c r="AR366" i="2"/>
  <c r="AP366" i="2"/>
  <c r="AG366" i="2"/>
  <c r="AE366" i="2"/>
  <c r="Y366" i="2"/>
  <c r="X366" i="2"/>
  <c r="W366" i="2"/>
  <c r="V366" i="2"/>
  <c r="Q366" i="2"/>
  <c r="N366" i="2"/>
  <c r="I366" i="2"/>
  <c r="FY365" i="2"/>
  <c r="FX365" i="2"/>
  <c r="FT365" i="2"/>
  <c r="FJ365" i="2"/>
  <c r="EQ365" i="2"/>
  <c r="EN365" i="2"/>
  <c r="EK365" i="2"/>
  <c r="EH365" i="2"/>
  <c r="ED365" i="2"/>
  <c r="CV365" i="2"/>
  <c r="CQ365" i="2"/>
  <c r="CP365" i="2"/>
  <c r="CA365" i="2"/>
  <c r="BZ365" i="2"/>
  <c r="BY365" i="2"/>
  <c r="BS365" i="2"/>
  <c r="BG365" i="2"/>
  <c r="BD365" i="2"/>
  <c r="BB365" i="2"/>
  <c r="AY365" i="2"/>
  <c r="AU365" i="2"/>
  <c r="N365" i="2"/>
  <c r="I365" i="2"/>
  <c r="FY364" i="2"/>
  <c r="FT364" i="2"/>
  <c r="FJ364" i="2"/>
  <c r="FC364" i="2"/>
  <c r="FB364" i="2"/>
  <c r="EN364" i="2"/>
  <c r="EK364" i="2"/>
  <c r="EI364" i="2"/>
  <c r="EH364" i="2"/>
  <c r="EF364" i="2"/>
  <c r="ED364" i="2"/>
  <c r="CQ364" i="2"/>
  <c r="CA364" i="2"/>
  <c r="BW364" i="2"/>
  <c r="BT364" i="2"/>
  <c r="BS364" i="2"/>
  <c r="BP364" i="2"/>
  <c r="BO364" i="2"/>
  <c r="BD364" i="2"/>
  <c r="BB364" i="2"/>
  <c r="AZ364" i="2"/>
  <c r="AY364" i="2"/>
  <c r="AW364" i="2"/>
  <c r="AU364" i="2"/>
  <c r="I364" i="2"/>
  <c r="FY363" i="2"/>
  <c r="FX363" i="2"/>
  <c r="FT363" i="2"/>
  <c r="FJ363" i="2"/>
  <c r="EO363" i="2"/>
  <c r="EN363" i="2"/>
  <c r="EK363" i="2"/>
  <c r="EI363" i="2"/>
  <c r="EH363" i="2"/>
  <c r="EF363" i="2"/>
  <c r="EE363" i="2"/>
  <c r="ED363" i="2"/>
  <c r="EA363" i="2"/>
  <c r="DY363" i="2"/>
  <c r="DP363" i="2"/>
  <c r="DN363" i="2"/>
  <c r="DG363" i="2"/>
  <c r="DE363" i="2"/>
  <c r="CY363" i="2"/>
  <c r="CV363" i="2"/>
  <c r="CQ363" i="2"/>
  <c r="CP363" i="2"/>
  <c r="CA363" i="2"/>
  <c r="BW363" i="2"/>
  <c r="BT363" i="2"/>
  <c r="BS363" i="2"/>
  <c r="BE363" i="2"/>
  <c r="BD363" i="2"/>
  <c r="BB363" i="2"/>
  <c r="AZ363" i="2"/>
  <c r="AY363" i="2"/>
  <c r="AW363" i="2"/>
  <c r="AV363" i="2"/>
  <c r="AU363" i="2"/>
  <c r="AR363" i="2"/>
  <c r="AP363" i="2"/>
  <c r="AG363" i="2"/>
  <c r="AE363" i="2"/>
  <c r="Y363" i="2"/>
  <c r="W363" i="2"/>
  <c r="Q363" i="2"/>
  <c r="N363" i="2"/>
  <c r="I363" i="2"/>
  <c r="FY362" i="2"/>
  <c r="FX362" i="2"/>
  <c r="FT362" i="2"/>
  <c r="FJ362" i="2"/>
  <c r="FB362" i="2"/>
  <c r="EV362" i="2"/>
  <c r="ER362" i="2"/>
  <c r="EQ362" i="2"/>
  <c r="EO362" i="2"/>
  <c r="EN362" i="2"/>
  <c r="EK362" i="2"/>
  <c r="EI362" i="2"/>
  <c r="EH362" i="2"/>
  <c r="EF362" i="2"/>
  <c r="EE362" i="2"/>
  <c r="ED362" i="2"/>
  <c r="EA362" i="2"/>
  <c r="DY362" i="2"/>
  <c r="DP362" i="2"/>
  <c r="DN362" i="2"/>
  <c r="DH362" i="2"/>
  <c r="DG362" i="2"/>
  <c r="DF362" i="2"/>
  <c r="DE362" i="2"/>
  <c r="DD362" i="2"/>
  <c r="CY362" i="2"/>
  <c r="CV362" i="2"/>
  <c r="CQ362" i="2"/>
  <c r="CP362" i="2"/>
  <c r="BY362" i="2"/>
  <c r="BT362" i="2"/>
  <c r="BO362" i="2"/>
  <c r="BG362" i="2"/>
  <c r="BE362" i="2"/>
  <c r="BD362" i="2"/>
  <c r="BB362" i="2"/>
  <c r="AZ362" i="2"/>
  <c r="AY362" i="2"/>
  <c r="AW362" i="2"/>
  <c r="AV362" i="2"/>
  <c r="AU362" i="2"/>
  <c r="AR362" i="2"/>
  <c r="AP362" i="2"/>
  <c r="AG362" i="2"/>
  <c r="AE362" i="2"/>
  <c r="Z362" i="2"/>
  <c r="Y362" i="2"/>
  <c r="X362" i="2"/>
  <c r="W362" i="2"/>
  <c r="V362" i="2"/>
  <c r="Q362" i="2"/>
  <c r="N362" i="2"/>
  <c r="I362" i="2"/>
  <c r="FY361" i="2"/>
  <c r="FK361" i="2"/>
  <c r="EK361" i="2"/>
  <c r="EH361" i="2"/>
  <c r="EG361" i="2"/>
  <c r="EF361" i="2"/>
  <c r="ED361" i="2"/>
  <c r="CY361" i="2"/>
  <c r="CV361" i="2"/>
  <c r="CQ361" i="2"/>
  <c r="BB361" i="2"/>
  <c r="AY361" i="2"/>
  <c r="AX361" i="2"/>
  <c r="AW361" i="2"/>
  <c r="AU361" i="2"/>
  <c r="Q361" i="2"/>
  <c r="N361" i="2"/>
  <c r="I361" i="2"/>
  <c r="FY360" i="2"/>
  <c r="FX360" i="2"/>
  <c r="FJ360" i="2"/>
  <c r="EI360" i="2"/>
  <c r="EH360" i="2"/>
  <c r="EG360" i="2"/>
  <c r="EF360" i="2"/>
  <c r="ED360" i="2"/>
  <c r="CY360" i="2"/>
  <c r="CV360" i="2"/>
  <c r="CQ360" i="2"/>
  <c r="CP360" i="2"/>
  <c r="AZ360" i="2"/>
  <c r="AY360" i="2"/>
  <c r="AX360" i="2"/>
  <c r="AW360" i="2"/>
  <c r="AU360" i="2"/>
  <c r="Q360" i="2"/>
  <c r="N360" i="2"/>
  <c r="I360" i="2"/>
  <c r="FY359" i="2"/>
  <c r="FT359" i="2"/>
  <c r="FJ359" i="2"/>
  <c r="FC359" i="2"/>
  <c r="EN359" i="2"/>
  <c r="EK359" i="2"/>
  <c r="EI359" i="2"/>
  <c r="EH359" i="2"/>
  <c r="EG359" i="2"/>
  <c r="EF359" i="2"/>
  <c r="EE359" i="2"/>
  <c r="ED359" i="2"/>
  <c r="EA359" i="2"/>
  <c r="DG359" i="2"/>
  <c r="DF359" i="2"/>
  <c r="DE359" i="2"/>
  <c r="CY359" i="2"/>
  <c r="CV359" i="2"/>
  <c r="CQ359" i="2"/>
  <c r="BY359" i="2"/>
  <c r="BU359" i="2"/>
  <c r="BT359" i="2"/>
  <c r="BP359" i="2"/>
  <c r="BD359" i="2"/>
  <c r="BB359" i="2"/>
  <c r="AZ359" i="2"/>
  <c r="AY359" i="2"/>
  <c r="AX359" i="2"/>
  <c r="AW359" i="2"/>
  <c r="AV359" i="2"/>
  <c r="AU359" i="2"/>
  <c r="AR359" i="2"/>
  <c r="Y359" i="2"/>
  <c r="X359" i="2"/>
  <c r="W359" i="2"/>
  <c r="Q359" i="2"/>
  <c r="N359" i="2"/>
  <c r="I359" i="2"/>
  <c r="FY358" i="2"/>
  <c r="FX358" i="2"/>
  <c r="FT358" i="2"/>
  <c r="FJ358" i="2"/>
  <c r="FD358" i="2"/>
  <c r="FC358" i="2"/>
  <c r="FB358" i="2"/>
  <c r="EO358" i="2"/>
  <c r="EN358" i="2"/>
  <c r="EI358" i="2"/>
  <c r="EH358" i="2"/>
  <c r="EF358" i="2"/>
  <c r="ED358" i="2"/>
  <c r="EA358" i="2"/>
  <c r="DY358" i="2"/>
  <c r="DP358" i="2"/>
  <c r="DN358" i="2"/>
  <c r="DH358" i="2"/>
  <c r="DF358" i="2"/>
  <c r="DE358" i="2"/>
  <c r="DD358" i="2"/>
  <c r="CY358" i="2"/>
  <c r="CV358" i="2"/>
  <c r="CQ358" i="2"/>
  <c r="CP358" i="2"/>
  <c r="BQ358" i="2"/>
  <c r="BP358" i="2"/>
  <c r="BO358" i="2"/>
  <c r="BE358" i="2"/>
  <c r="BD358" i="2"/>
  <c r="AZ358" i="2"/>
  <c r="AY358" i="2"/>
  <c r="AW358" i="2"/>
  <c r="AU358" i="2"/>
  <c r="AR358" i="2"/>
  <c r="AP358" i="2"/>
  <c r="AG358" i="2"/>
  <c r="AE358" i="2"/>
  <c r="Z358" i="2"/>
  <c r="X358" i="2"/>
  <c r="W358" i="2"/>
  <c r="V358" i="2"/>
  <c r="Q358" i="2"/>
  <c r="N358" i="2"/>
  <c r="I358" i="2"/>
  <c r="FY357" i="2"/>
  <c r="FT357" i="2"/>
  <c r="FJ357" i="2"/>
  <c r="FB357" i="2"/>
  <c r="FA357" i="2"/>
  <c r="EZ357" i="2"/>
  <c r="EO357" i="2"/>
  <c r="EN357" i="2"/>
  <c r="EI357" i="2"/>
  <c r="EH357" i="2"/>
  <c r="EF357" i="2"/>
  <c r="ED357" i="2"/>
  <c r="EA357" i="2"/>
  <c r="DY357" i="2"/>
  <c r="DP357" i="2"/>
  <c r="DN357" i="2"/>
  <c r="DG357" i="2"/>
  <c r="DF357" i="2"/>
  <c r="DE357" i="2"/>
  <c r="DD357" i="2"/>
  <c r="CY357" i="2"/>
  <c r="CV357" i="2"/>
  <c r="CQ357" i="2"/>
  <c r="BO357" i="2"/>
  <c r="BN357" i="2"/>
  <c r="BM357" i="2"/>
  <c r="BE357" i="2"/>
  <c r="BD357" i="2"/>
  <c r="AZ357" i="2"/>
  <c r="AY357" i="2"/>
  <c r="AW357" i="2"/>
  <c r="AU357" i="2"/>
  <c r="AR357" i="2"/>
  <c r="AP357" i="2"/>
  <c r="AG357" i="2"/>
  <c r="AE357" i="2"/>
  <c r="Y357" i="2"/>
  <c r="X357" i="2"/>
  <c r="W357" i="2"/>
  <c r="V357" i="2"/>
  <c r="Q357" i="2"/>
  <c r="N357" i="2"/>
  <c r="I357" i="2"/>
  <c r="FY356" i="2"/>
  <c r="FX356" i="2"/>
  <c r="FT356" i="2"/>
  <c r="FJ356" i="2"/>
  <c r="EN356" i="2"/>
  <c r="EI356" i="2"/>
  <c r="EH356" i="2"/>
  <c r="EF356" i="2"/>
  <c r="ED356" i="2"/>
  <c r="DP356" i="2"/>
  <c r="DN356" i="2"/>
  <c r="CY356" i="2"/>
  <c r="CV356" i="2"/>
  <c r="CQ356" i="2"/>
  <c r="CP356" i="2"/>
  <c r="BD356" i="2"/>
  <c r="AZ356" i="2"/>
  <c r="AY356" i="2"/>
  <c r="AW356" i="2"/>
  <c r="AU356" i="2"/>
  <c r="AG356" i="2"/>
  <c r="AE356" i="2"/>
  <c r="Q356" i="2"/>
  <c r="N356" i="2"/>
  <c r="I356" i="2"/>
  <c r="FY355" i="2"/>
  <c r="FX355" i="2"/>
  <c r="FT355" i="2"/>
  <c r="FJ355" i="2"/>
  <c r="FC355" i="2"/>
  <c r="FB355" i="2"/>
  <c r="EQ355" i="2"/>
  <c r="EO355" i="2"/>
  <c r="EN355" i="2"/>
  <c r="EK355" i="2"/>
  <c r="EI355" i="2"/>
  <c r="EH355" i="2"/>
  <c r="EG355" i="2"/>
  <c r="EF355" i="2"/>
  <c r="EE355" i="2"/>
  <c r="ED355" i="2"/>
  <c r="EA355" i="2"/>
  <c r="DY355" i="2"/>
  <c r="DP355" i="2"/>
  <c r="DN355" i="2"/>
  <c r="DG355" i="2"/>
  <c r="DE355" i="2"/>
  <c r="DD355" i="2"/>
  <c r="CY355" i="2"/>
  <c r="CV355" i="2"/>
  <c r="CQ355" i="2"/>
  <c r="CP355" i="2"/>
  <c r="BP355" i="2"/>
  <c r="BO355" i="2"/>
  <c r="BG355" i="2"/>
  <c r="BE355" i="2"/>
  <c r="BD355" i="2"/>
  <c r="BB355" i="2"/>
  <c r="AZ355" i="2"/>
  <c r="AY355" i="2"/>
  <c r="AX355" i="2"/>
  <c r="AW355" i="2"/>
  <c r="AV355" i="2"/>
  <c r="AU355" i="2"/>
  <c r="AR355" i="2"/>
  <c r="AP355" i="2"/>
  <c r="AG355" i="2"/>
  <c r="AE355" i="2"/>
  <c r="Y355" i="2"/>
  <c r="W355" i="2"/>
  <c r="V355" i="2"/>
  <c r="Q355" i="2"/>
  <c r="N355" i="2"/>
  <c r="I355" i="2"/>
  <c r="FY354" i="2"/>
  <c r="FJ354" i="2"/>
  <c r="FD354" i="2"/>
  <c r="FB354" i="2"/>
  <c r="EO354" i="2"/>
  <c r="EN354" i="2"/>
  <c r="EK354" i="2"/>
  <c r="EH354" i="2"/>
  <c r="EG354" i="2"/>
  <c r="EF354" i="2"/>
  <c r="ED354" i="2"/>
  <c r="EA354" i="2"/>
  <c r="DY354" i="2"/>
  <c r="DP354" i="2"/>
  <c r="DN354" i="2"/>
  <c r="DG354" i="2"/>
  <c r="DF354" i="2"/>
  <c r="DE354" i="2"/>
  <c r="DD354" i="2"/>
  <c r="CY354" i="2"/>
  <c r="CV354" i="2"/>
  <c r="CQ354" i="2"/>
  <c r="CA354" i="2"/>
  <c r="BZ354" i="2"/>
  <c r="BY354" i="2"/>
  <c r="BW354" i="2"/>
  <c r="BT354" i="2"/>
  <c r="BS354" i="2"/>
  <c r="BQ354" i="2"/>
  <c r="BO354" i="2"/>
  <c r="BE354" i="2"/>
  <c r="BD354" i="2"/>
  <c r="BB354" i="2"/>
  <c r="AY354" i="2"/>
  <c r="AX354" i="2"/>
  <c r="AW354" i="2"/>
  <c r="AU354" i="2"/>
  <c r="AR354" i="2"/>
  <c r="AP354" i="2"/>
  <c r="AG354" i="2"/>
  <c r="AE354" i="2"/>
  <c r="Y354" i="2"/>
  <c r="X354" i="2"/>
  <c r="W354" i="2"/>
  <c r="V354" i="2"/>
  <c r="Q354" i="2"/>
  <c r="N354" i="2"/>
  <c r="I354" i="2"/>
  <c r="FY431" i="2"/>
  <c r="FV431" i="2"/>
  <c r="FU431" i="2"/>
  <c r="FS431" i="2"/>
  <c r="FP431" i="2"/>
  <c r="FO431" i="2"/>
  <c r="FN431" i="2"/>
  <c r="FM431" i="2"/>
  <c r="FL431" i="2"/>
  <c r="FJ431" i="2"/>
  <c r="FG431" i="2"/>
  <c r="CS431" i="2"/>
  <c r="CR431" i="2"/>
  <c r="CQ431" i="2"/>
  <c r="CN431" i="2"/>
  <c r="CM431" i="2"/>
  <c r="CL431" i="2"/>
  <c r="CJ431" i="2"/>
  <c r="CI431" i="2"/>
  <c r="CH431" i="2"/>
  <c r="CG431" i="2"/>
  <c r="CF431" i="2"/>
  <c r="BW431" i="2"/>
  <c r="K431" i="2"/>
  <c r="J431" i="2"/>
  <c r="I431" i="2"/>
  <c r="H431" i="2"/>
  <c r="FY430" i="2"/>
  <c r="FV430" i="2"/>
  <c r="FN430" i="2"/>
  <c r="FM430" i="2"/>
  <c r="FL430" i="2"/>
  <c r="FJ430" i="2"/>
  <c r="FG430" i="2"/>
  <c r="CR430" i="2"/>
  <c r="CQ430" i="2"/>
  <c r="CN430" i="2"/>
  <c r="CH430" i="2"/>
  <c r="CG430" i="2"/>
  <c r="CF430" i="2"/>
  <c r="BW430" i="2"/>
  <c r="J430" i="2"/>
  <c r="I430" i="2"/>
  <c r="H430" i="2"/>
  <c r="FY352" i="2"/>
  <c r="FX352" i="2"/>
  <c r="FF352" i="2"/>
  <c r="EF352" i="2"/>
  <c r="ED352" i="2"/>
  <c r="DP352" i="2"/>
  <c r="DN352" i="2"/>
  <c r="CV352" i="2"/>
  <c r="CQ352" i="2"/>
  <c r="CP352" i="2"/>
  <c r="BU352" i="2"/>
  <c r="AW352" i="2"/>
  <c r="AU352" i="2"/>
  <c r="AG352" i="2"/>
  <c r="AE352" i="2"/>
  <c r="N352" i="2"/>
  <c r="I352" i="2"/>
  <c r="FY351" i="2"/>
  <c r="FX351" i="2"/>
  <c r="FT351" i="2"/>
  <c r="FJ351" i="2"/>
  <c r="FE351" i="2"/>
  <c r="FD351" i="2"/>
  <c r="FC351" i="2"/>
  <c r="FB351" i="2"/>
  <c r="EQ351" i="2"/>
  <c r="EN351" i="2"/>
  <c r="EK351" i="2"/>
  <c r="EH351" i="2"/>
  <c r="EF351" i="2"/>
  <c r="ED351" i="2"/>
  <c r="EA351" i="2"/>
  <c r="DY351" i="2"/>
  <c r="DP351" i="2"/>
  <c r="DN351" i="2"/>
  <c r="DD351" i="2"/>
  <c r="CY351" i="2"/>
  <c r="CV351" i="2"/>
  <c r="CQ351" i="2"/>
  <c r="CP351" i="2"/>
  <c r="CA351" i="2"/>
  <c r="BY351" i="2"/>
  <c r="BX351" i="2"/>
  <c r="BW351" i="2"/>
  <c r="BU351" i="2"/>
  <c r="BT351" i="2"/>
  <c r="BS351" i="2"/>
  <c r="BR351" i="2"/>
  <c r="BQ351" i="2"/>
  <c r="BP351" i="2"/>
  <c r="BO351" i="2"/>
  <c r="BG351" i="2"/>
  <c r="BD351" i="2"/>
  <c r="BB351" i="2"/>
  <c r="AY351" i="2"/>
  <c r="AW351" i="2"/>
  <c r="AU351" i="2"/>
  <c r="AR351" i="2"/>
  <c r="AP351" i="2"/>
  <c r="AG351" i="2"/>
  <c r="AE351" i="2"/>
  <c r="V351" i="2"/>
  <c r="Q351" i="2"/>
  <c r="N351" i="2"/>
  <c r="I351" i="2"/>
  <c r="FY350" i="2"/>
  <c r="FX350" i="2"/>
  <c r="FT350" i="2"/>
  <c r="FJ350" i="2"/>
  <c r="FE350" i="2"/>
  <c r="FD350" i="2"/>
  <c r="FB350" i="2"/>
  <c r="ER350" i="2"/>
  <c r="EN350" i="2"/>
  <c r="EK350" i="2"/>
  <c r="EH350" i="2"/>
  <c r="EF350" i="2"/>
  <c r="ED350" i="2"/>
  <c r="EA350" i="2"/>
  <c r="DY350" i="2"/>
  <c r="DP350" i="2"/>
  <c r="DN350" i="2"/>
  <c r="DF350" i="2"/>
  <c r="DE350" i="2"/>
  <c r="DD350" i="2"/>
  <c r="CY350" i="2"/>
  <c r="CV350" i="2"/>
  <c r="CQ350" i="2"/>
  <c r="CP350" i="2"/>
  <c r="CA350" i="2"/>
  <c r="BY350" i="2"/>
  <c r="BX350" i="2"/>
  <c r="BT350" i="2"/>
  <c r="BR350" i="2"/>
  <c r="BQ350" i="2"/>
  <c r="BO350" i="2"/>
  <c r="BD350" i="2"/>
  <c r="BB350" i="2"/>
  <c r="AY350" i="2"/>
  <c r="AW350" i="2"/>
  <c r="AU350" i="2"/>
  <c r="AR350" i="2"/>
  <c r="AP350" i="2"/>
  <c r="AG350" i="2"/>
  <c r="AE350" i="2"/>
  <c r="X350" i="2"/>
  <c r="W350" i="2"/>
  <c r="V350" i="2"/>
  <c r="Q350" i="2"/>
  <c r="N350" i="2"/>
  <c r="I350" i="2"/>
  <c r="FY349" i="2"/>
  <c r="FX349" i="2"/>
  <c r="FT349" i="2"/>
  <c r="FJ349" i="2"/>
  <c r="FE349" i="2"/>
  <c r="FC349" i="2"/>
  <c r="FB349" i="2"/>
  <c r="EN349" i="2"/>
  <c r="EK349" i="2"/>
  <c r="EH349" i="2"/>
  <c r="EG349" i="2"/>
  <c r="EF349" i="2"/>
  <c r="EE349" i="2"/>
  <c r="ED349" i="2"/>
  <c r="EA349" i="2"/>
  <c r="DY349" i="2"/>
  <c r="DP349" i="2"/>
  <c r="DN349" i="2"/>
  <c r="DG349" i="2"/>
  <c r="DF349" i="2"/>
  <c r="DE349" i="2"/>
  <c r="DD349" i="2"/>
  <c r="CY349" i="2"/>
  <c r="CV349" i="2"/>
  <c r="CQ349" i="2"/>
  <c r="CP349" i="2"/>
  <c r="CA349" i="2"/>
  <c r="BX349" i="2"/>
  <c r="BW349" i="2"/>
  <c r="BT349" i="2"/>
  <c r="BR349" i="2"/>
  <c r="BP349" i="2"/>
  <c r="BO349" i="2"/>
  <c r="BD349" i="2"/>
  <c r="BB349" i="2"/>
  <c r="AY349" i="2"/>
  <c r="AX349" i="2"/>
  <c r="AW349" i="2"/>
  <c r="AV349" i="2"/>
  <c r="AU349" i="2"/>
  <c r="AR349" i="2"/>
  <c r="AP349" i="2"/>
  <c r="AG349" i="2"/>
  <c r="AE349" i="2"/>
  <c r="Y349" i="2"/>
  <c r="X349" i="2"/>
  <c r="W349" i="2"/>
  <c r="V349" i="2"/>
  <c r="Q349" i="2"/>
  <c r="N349" i="2"/>
  <c r="I349" i="2"/>
  <c r="FY429" i="2"/>
  <c r="FX429" i="2"/>
  <c r="FV429" i="2"/>
  <c r="FS429" i="2"/>
  <c r="FP429" i="2"/>
  <c r="FO429" i="2"/>
  <c r="FN429" i="2"/>
  <c r="FM429" i="2"/>
  <c r="FJ429" i="2"/>
  <c r="FG429" i="2"/>
  <c r="CS429" i="2"/>
  <c r="CR429" i="2"/>
  <c r="CQ429" i="2"/>
  <c r="CP429" i="2"/>
  <c r="CN429" i="2"/>
  <c r="CL429" i="2"/>
  <c r="CJ429" i="2"/>
  <c r="CI429" i="2"/>
  <c r="CH429" i="2"/>
  <c r="CG429" i="2"/>
  <c r="BW429" i="2"/>
  <c r="K429" i="2"/>
  <c r="J429" i="2"/>
  <c r="I429" i="2"/>
  <c r="H429" i="2"/>
  <c r="FY348" i="2"/>
  <c r="FX348" i="2"/>
  <c r="FT348" i="2"/>
  <c r="FJ348" i="2"/>
  <c r="EV348" i="2"/>
  <c r="EP348" i="2"/>
  <c r="EN348" i="2"/>
  <c r="EH348" i="2"/>
  <c r="EG348" i="2"/>
  <c r="EF348" i="2"/>
  <c r="ED348" i="2"/>
  <c r="EA348" i="2"/>
  <c r="DP348" i="2"/>
  <c r="DN348" i="2"/>
  <c r="DF348" i="2"/>
  <c r="DE348" i="2"/>
  <c r="DD348" i="2"/>
  <c r="CY348" i="2"/>
  <c r="CV348" i="2"/>
  <c r="CQ348" i="2"/>
  <c r="CP348" i="2"/>
  <c r="BT348" i="2"/>
  <c r="BF348" i="2"/>
  <c r="BD348" i="2"/>
  <c r="AY348" i="2"/>
  <c r="AX348" i="2"/>
  <c r="AW348" i="2"/>
  <c r="AU348" i="2"/>
  <c r="AR348" i="2"/>
  <c r="AG348" i="2"/>
  <c r="AE348" i="2"/>
  <c r="X348" i="2"/>
  <c r="W348" i="2"/>
  <c r="V348" i="2"/>
  <c r="Q348" i="2"/>
  <c r="N348" i="2"/>
  <c r="I348" i="2"/>
  <c r="FY347" i="2"/>
  <c r="FX347" i="2"/>
  <c r="FT347" i="2"/>
  <c r="FJ347" i="2"/>
  <c r="FD347" i="2"/>
  <c r="FB347" i="2"/>
  <c r="EQ347" i="2"/>
  <c r="EO347" i="2"/>
  <c r="EN347" i="2"/>
  <c r="EH347" i="2"/>
  <c r="EG347" i="2"/>
  <c r="EF347" i="2"/>
  <c r="ED347" i="2"/>
  <c r="EA347" i="2"/>
  <c r="DY347" i="2"/>
  <c r="DP347" i="2"/>
  <c r="DN347" i="2"/>
  <c r="DF347" i="2"/>
  <c r="DE347" i="2"/>
  <c r="DD347" i="2"/>
  <c r="CY347" i="2"/>
  <c r="CV347" i="2"/>
  <c r="CQ347" i="2"/>
  <c r="CP347" i="2"/>
  <c r="BQ347" i="2"/>
  <c r="BO347" i="2"/>
  <c r="BG347" i="2"/>
  <c r="BE347" i="2"/>
  <c r="BD347" i="2"/>
  <c r="AY347" i="2"/>
  <c r="AX347" i="2"/>
  <c r="AW347" i="2"/>
  <c r="AU347" i="2"/>
  <c r="AR347" i="2"/>
  <c r="AP347" i="2"/>
  <c r="AG347" i="2"/>
  <c r="AE347" i="2"/>
  <c r="X347" i="2"/>
  <c r="W347" i="2"/>
  <c r="V347" i="2"/>
  <c r="Q347" i="2"/>
  <c r="N347" i="2"/>
  <c r="I347" i="2"/>
  <c r="FY346" i="2"/>
  <c r="FT346" i="2"/>
  <c r="FJ346" i="2"/>
  <c r="FD346" i="2"/>
  <c r="FB346" i="2"/>
  <c r="EN346" i="2"/>
  <c r="EI346" i="2"/>
  <c r="EH346" i="2"/>
  <c r="EG346" i="2"/>
  <c r="EF346" i="2"/>
  <c r="ED346" i="2"/>
  <c r="EA346" i="2"/>
  <c r="DY346" i="2"/>
  <c r="DP346" i="2"/>
  <c r="DN346" i="2"/>
  <c r="DF346" i="2"/>
  <c r="DD346" i="2"/>
  <c r="CY346" i="2"/>
  <c r="CV346" i="2"/>
  <c r="CQ346" i="2"/>
  <c r="BY346" i="2"/>
  <c r="BW346" i="2"/>
  <c r="BS346" i="2"/>
  <c r="BQ346" i="2"/>
  <c r="BO346" i="2"/>
  <c r="BD346" i="2"/>
  <c r="AZ346" i="2"/>
  <c r="AY346" i="2"/>
  <c r="AX346" i="2"/>
  <c r="AW346" i="2"/>
  <c r="AU346" i="2"/>
  <c r="AR346" i="2"/>
  <c r="AP346" i="2"/>
  <c r="AG346" i="2"/>
  <c r="AE346" i="2"/>
  <c r="X346" i="2"/>
  <c r="V346" i="2"/>
  <c r="Q346" i="2"/>
  <c r="N346" i="2"/>
  <c r="I346" i="2"/>
  <c r="FY345" i="2"/>
  <c r="FX345" i="2"/>
  <c r="FT345" i="2"/>
  <c r="FJ345" i="2"/>
  <c r="FE345" i="2"/>
  <c r="FD345" i="2"/>
  <c r="ER345" i="2"/>
  <c r="EN345" i="2"/>
  <c r="EH345" i="2"/>
  <c r="EF345" i="2"/>
  <c r="ED345" i="2"/>
  <c r="DY345" i="2"/>
  <c r="DP345" i="2"/>
  <c r="DN345" i="2"/>
  <c r="CY345" i="2"/>
  <c r="CV345" i="2"/>
  <c r="CQ345" i="2"/>
  <c r="CP345" i="2"/>
  <c r="BR345" i="2"/>
  <c r="BQ345" i="2"/>
  <c r="BD345" i="2"/>
  <c r="AY345" i="2"/>
  <c r="AW345" i="2"/>
  <c r="AU345" i="2"/>
  <c r="AP345" i="2"/>
  <c r="AG345" i="2"/>
  <c r="AE345" i="2"/>
  <c r="Q345" i="2"/>
  <c r="N345" i="2"/>
  <c r="I345" i="2"/>
  <c r="FY344" i="2"/>
  <c r="FX344" i="2"/>
  <c r="FT344" i="2"/>
  <c r="FJ344" i="2"/>
  <c r="FE344" i="2"/>
  <c r="FD344" i="2"/>
  <c r="FB344" i="2"/>
  <c r="ES344" i="2"/>
  <c r="ER344" i="2"/>
  <c r="EN344" i="2"/>
  <c r="EI344" i="2"/>
  <c r="EH344" i="2"/>
  <c r="EG344" i="2"/>
  <c r="EF344" i="2"/>
  <c r="EE344" i="2"/>
  <c r="ED344" i="2"/>
  <c r="EA344" i="2"/>
  <c r="DY344" i="2"/>
  <c r="DP344" i="2"/>
  <c r="DN344" i="2"/>
  <c r="DG344" i="2"/>
  <c r="DF344" i="2"/>
  <c r="DE344" i="2"/>
  <c r="DD344" i="2"/>
  <c r="CY344" i="2"/>
  <c r="CV344" i="2"/>
  <c r="CQ344" i="2"/>
  <c r="CP344" i="2"/>
  <c r="BR344" i="2"/>
  <c r="BQ344" i="2"/>
  <c r="BO344" i="2"/>
  <c r="BH344" i="2"/>
  <c r="BD344" i="2"/>
  <c r="AZ344" i="2"/>
  <c r="AY344" i="2"/>
  <c r="AX344" i="2"/>
  <c r="AW344" i="2"/>
  <c r="AV344" i="2"/>
  <c r="AU344" i="2"/>
  <c r="AR344" i="2"/>
  <c r="AP344" i="2"/>
  <c r="AG344" i="2"/>
  <c r="AE344" i="2"/>
  <c r="Y344" i="2"/>
  <c r="X344" i="2"/>
  <c r="W344" i="2"/>
  <c r="V344" i="2"/>
  <c r="Q344" i="2"/>
  <c r="N344" i="2"/>
  <c r="I344" i="2"/>
  <c r="FY343" i="2"/>
  <c r="FX343" i="2"/>
  <c r="FT343" i="2"/>
  <c r="FJ343" i="2"/>
  <c r="EO343" i="2"/>
  <c r="EN343" i="2"/>
  <c r="EI343" i="2"/>
  <c r="EH343" i="2"/>
  <c r="EF343" i="2"/>
  <c r="EE343" i="2"/>
  <c r="ED343" i="2"/>
  <c r="EA343" i="2"/>
  <c r="DP343" i="2"/>
  <c r="DN343" i="2"/>
  <c r="DE343" i="2"/>
  <c r="CY343" i="2"/>
  <c r="CV343" i="2"/>
  <c r="CQ343" i="2"/>
  <c r="CP343" i="2"/>
  <c r="BE343" i="2"/>
  <c r="BD343" i="2"/>
  <c r="AZ343" i="2"/>
  <c r="AY343" i="2"/>
  <c r="AW343" i="2"/>
  <c r="AV343" i="2"/>
  <c r="AU343" i="2"/>
  <c r="AR343" i="2"/>
  <c r="AG343" i="2"/>
  <c r="AE343" i="2"/>
  <c r="W343" i="2"/>
  <c r="Q343" i="2"/>
  <c r="N343" i="2"/>
  <c r="I343" i="2"/>
  <c r="FY342" i="2"/>
  <c r="FX342" i="2"/>
  <c r="FT342" i="2"/>
  <c r="FJ342" i="2"/>
  <c r="EV342" i="2"/>
  <c r="EN342" i="2"/>
  <c r="EK342" i="2"/>
  <c r="EI342" i="2"/>
  <c r="EH342" i="2"/>
  <c r="EG342" i="2"/>
  <c r="EF342" i="2"/>
  <c r="ED342" i="2"/>
  <c r="EA342" i="2"/>
  <c r="CY342" i="2"/>
  <c r="CV342" i="2"/>
  <c r="CQ342" i="2"/>
  <c r="CP342" i="2"/>
  <c r="BY342" i="2"/>
  <c r="BW342" i="2"/>
  <c r="BT342" i="2"/>
  <c r="BD342" i="2"/>
  <c r="BB342" i="2"/>
  <c r="AZ342" i="2"/>
  <c r="AY342" i="2"/>
  <c r="AX342" i="2"/>
  <c r="AW342" i="2"/>
  <c r="AU342" i="2"/>
  <c r="AR342" i="2"/>
  <c r="Q342" i="2"/>
  <c r="N342" i="2"/>
  <c r="I342" i="2"/>
  <c r="FY341" i="2"/>
  <c r="FT341" i="2"/>
  <c r="FJ341" i="2"/>
  <c r="EV341" i="2"/>
  <c r="EN341" i="2"/>
  <c r="EK341" i="2"/>
  <c r="EI341" i="2"/>
  <c r="EH341" i="2"/>
  <c r="EF341" i="2"/>
  <c r="ED341" i="2"/>
  <c r="DP341" i="2"/>
  <c r="DN341" i="2"/>
  <c r="CY341" i="2"/>
  <c r="CV341" i="2"/>
  <c r="CQ341" i="2"/>
  <c r="CA341" i="2"/>
  <c r="BY341" i="2"/>
  <c r="BS341" i="2"/>
  <c r="BD341" i="2"/>
  <c r="BB341" i="2"/>
  <c r="AZ341" i="2"/>
  <c r="AY341" i="2"/>
  <c r="AW341" i="2"/>
  <c r="AU341" i="2"/>
  <c r="AG341" i="2"/>
  <c r="AE341" i="2"/>
  <c r="Q341" i="2"/>
  <c r="N341" i="2"/>
  <c r="I341" i="2"/>
  <c r="FY340" i="2"/>
  <c r="FT340" i="2"/>
  <c r="FJ340" i="2"/>
  <c r="EV340" i="2"/>
  <c r="EQ340" i="2"/>
  <c r="EN340" i="2"/>
  <c r="EK340" i="2"/>
  <c r="EI340" i="2"/>
  <c r="EH340" i="2"/>
  <c r="EG340" i="2"/>
  <c r="EF340" i="2"/>
  <c r="ED340" i="2"/>
  <c r="DP340" i="2"/>
  <c r="DN340" i="2"/>
  <c r="CY340" i="2"/>
  <c r="CV340" i="2"/>
  <c r="CQ340" i="2"/>
  <c r="CA340" i="2"/>
  <c r="BT340" i="2"/>
  <c r="BG340" i="2"/>
  <c r="BD340" i="2"/>
  <c r="BB340" i="2"/>
  <c r="AZ340" i="2"/>
  <c r="AY340" i="2"/>
  <c r="AX340" i="2"/>
  <c r="AW340" i="2"/>
  <c r="AU340" i="2"/>
  <c r="AG340" i="2"/>
  <c r="AE340" i="2"/>
  <c r="Q340" i="2"/>
  <c r="N340" i="2"/>
  <c r="I340" i="2"/>
  <c r="FY339" i="2"/>
  <c r="FT339" i="2"/>
  <c r="FJ339" i="2"/>
  <c r="FD339" i="2"/>
  <c r="FB339" i="2"/>
  <c r="EV339" i="2"/>
  <c r="EN339" i="2"/>
  <c r="EK339" i="2"/>
  <c r="EH339" i="2"/>
  <c r="EF339" i="2"/>
  <c r="ED339" i="2"/>
  <c r="EA339" i="2"/>
  <c r="DY339" i="2"/>
  <c r="DP339" i="2"/>
  <c r="DN339" i="2"/>
  <c r="DG339" i="2"/>
  <c r="DF339" i="2"/>
  <c r="DE339" i="2"/>
  <c r="DD339" i="2"/>
  <c r="CY339" i="2"/>
  <c r="CV339" i="2"/>
  <c r="CQ339" i="2"/>
  <c r="CA339" i="2"/>
  <c r="BS339" i="2"/>
  <c r="BQ339" i="2"/>
  <c r="BO339" i="2"/>
  <c r="BD339" i="2"/>
  <c r="BB339" i="2"/>
  <c r="AY339" i="2"/>
  <c r="AW339" i="2"/>
  <c r="AU339" i="2"/>
  <c r="AR339" i="2"/>
  <c r="AP339" i="2"/>
  <c r="AG339" i="2"/>
  <c r="AE339" i="2"/>
  <c r="Y339" i="2"/>
  <c r="X339" i="2"/>
  <c r="W339" i="2"/>
  <c r="V339" i="2"/>
  <c r="Q339" i="2"/>
  <c r="N339" i="2"/>
  <c r="I339" i="2"/>
  <c r="FY338" i="2"/>
  <c r="FX338" i="2"/>
  <c r="FT338" i="2"/>
  <c r="FJ338" i="2"/>
  <c r="EO338" i="2"/>
  <c r="EN338" i="2"/>
  <c r="EK338" i="2"/>
  <c r="EI338" i="2"/>
  <c r="EH338" i="2"/>
  <c r="EG338" i="2"/>
  <c r="EF338" i="2"/>
  <c r="EE338" i="2"/>
  <c r="ED338" i="2"/>
  <c r="DH338" i="2"/>
  <c r="CY338" i="2"/>
  <c r="CV338" i="2"/>
  <c r="CQ338" i="2"/>
  <c r="CP338" i="2"/>
  <c r="BE338" i="2"/>
  <c r="BD338" i="2"/>
  <c r="BB338" i="2"/>
  <c r="AZ338" i="2"/>
  <c r="AY338" i="2"/>
  <c r="AX338" i="2"/>
  <c r="AW338" i="2"/>
  <c r="AV338" i="2"/>
  <c r="AU338" i="2"/>
  <c r="Z338" i="2"/>
  <c r="Q338" i="2"/>
  <c r="N338" i="2"/>
  <c r="I338" i="2"/>
  <c r="FY337" i="2"/>
  <c r="FX337" i="2"/>
  <c r="FT337" i="2"/>
  <c r="FJ337" i="2"/>
  <c r="FE337" i="2"/>
  <c r="FD337" i="2"/>
  <c r="FB337" i="2"/>
  <c r="EQ337" i="2"/>
  <c r="EN337" i="2"/>
  <c r="EK337" i="2"/>
  <c r="EH337" i="2"/>
  <c r="EF337" i="2"/>
  <c r="ED337" i="2"/>
  <c r="EA337" i="2"/>
  <c r="DY337" i="2"/>
  <c r="DP337" i="2"/>
  <c r="DN337" i="2"/>
  <c r="DG337" i="2"/>
  <c r="DF337" i="2"/>
  <c r="DE337" i="2"/>
  <c r="DD337" i="2"/>
  <c r="CY337" i="2"/>
  <c r="CV337" i="2"/>
  <c r="CQ337" i="2"/>
  <c r="CP337" i="2"/>
  <c r="BR337" i="2"/>
  <c r="BQ337" i="2"/>
  <c r="BO337" i="2"/>
  <c r="BG337" i="2"/>
  <c r="BD337" i="2"/>
  <c r="BB337" i="2"/>
  <c r="AY337" i="2"/>
  <c r="AW337" i="2"/>
  <c r="AU337" i="2"/>
  <c r="AR337" i="2"/>
  <c r="AP337" i="2"/>
  <c r="AG337" i="2"/>
  <c r="AE337" i="2"/>
  <c r="Y337" i="2"/>
  <c r="X337" i="2"/>
  <c r="W337" i="2"/>
  <c r="V337" i="2"/>
  <c r="Q337" i="2"/>
  <c r="N337" i="2"/>
  <c r="I337" i="2"/>
  <c r="FY336" i="2"/>
  <c r="FX336" i="2"/>
  <c r="FT336" i="2"/>
  <c r="FJ336" i="2"/>
  <c r="EN336" i="2"/>
  <c r="EK336" i="2"/>
  <c r="EH336" i="2"/>
  <c r="EF336" i="2"/>
  <c r="ED336" i="2"/>
  <c r="CV336" i="2"/>
  <c r="CQ336" i="2"/>
  <c r="CP336" i="2"/>
  <c r="BY336" i="2"/>
  <c r="BS336" i="2"/>
  <c r="BD336" i="2"/>
  <c r="BB336" i="2"/>
  <c r="AY336" i="2"/>
  <c r="AW336" i="2"/>
  <c r="AU336" i="2"/>
  <c r="N336" i="2"/>
  <c r="I336" i="2"/>
  <c r="FY335" i="2"/>
  <c r="FT335" i="2"/>
  <c r="FJ335" i="2"/>
  <c r="FD335" i="2"/>
  <c r="FC335" i="2"/>
  <c r="FB335" i="2"/>
  <c r="EQ335" i="2"/>
  <c r="EN335" i="2"/>
  <c r="EK335" i="2"/>
  <c r="EH335" i="2"/>
  <c r="EF335" i="2"/>
  <c r="ED335" i="2"/>
  <c r="EA335" i="2"/>
  <c r="DY335" i="2"/>
  <c r="DP335" i="2"/>
  <c r="DN335" i="2"/>
  <c r="DG335" i="2"/>
  <c r="DF335" i="2"/>
  <c r="DE335" i="2"/>
  <c r="DD335" i="2"/>
  <c r="CY335" i="2"/>
  <c r="CV335" i="2"/>
  <c r="CQ335" i="2"/>
  <c r="CA335" i="2"/>
  <c r="BX335" i="2"/>
  <c r="BW335" i="2"/>
  <c r="BU335" i="2"/>
  <c r="BT335" i="2"/>
  <c r="BS335" i="2"/>
  <c r="BQ335" i="2"/>
  <c r="BP335" i="2"/>
  <c r="BO335" i="2"/>
  <c r="BG335" i="2"/>
  <c r="BD335" i="2"/>
  <c r="BB335" i="2"/>
  <c r="AY335" i="2"/>
  <c r="AW335" i="2"/>
  <c r="AU335" i="2"/>
  <c r="AR335" i="2"/>
  <c r="AP335" i="2"/>
  <c r="AG335" i="2"/>
  <c r="AE335" i="2"/>
  <c r="Y335" i="2"/>
  <c r="X335" i="2"/>
  <c r="W335" i="2"/>
  <c r="V335" i="2"/>
  <c r="Q335" i="2"/>
  <c r="N335" i="2"/>
  <c r="I335" i="2"/>
  <c r="FY334" i="2"/>
  <c r="FJ334" i="2"/>
  <c r="FD334" i="2"/>
  <c r="FC334" i="2"/>
  <c r="FB334" i="2"/>
  <c r="EO334" i="2"/>
  <c r="EN334" i="2"/>
  <c r="EK334" i="2"/>
  <c r="EH334" i="2"/>
  <c r="EE334" i="2"/>
  <c r="ED334" i="2"/>
  <c r="EA334" i="2"/>
  <c r="DY334" i="2"/>
  <c r="DN334" i="2"/>
  <c r="DF334" i="2"/>
  <c r="DD334" i="2"/>
  <c r="CY334" i="2"/>
  <c r="CV334" i="2"/>
  <c r="CQ334" i="2"/>
  <c r="CA334" i="2"/>
  <c r="BZ334" i="2"/>
  <c r="BT334" i="2"/>
  <c r="BS334" i="2"/>
  <c r="BQ334" i="2"/>
  <c r="BP334" i="2"/>
  <c r="BO334" i="2"/>
  <c r="BE334" i="2"/>
  <c r="BD334" i="2"/>
  <c r="BB334" i="2"/>
  <c r="AY334" i="2"/>
  <c r="AV334" i="2"/>
  <c r="AU334" i="2"/>
  <c r="AR334" i="2"/>
  <c r="AP334" i="2"/>
  <c r="AE334" i="2"/>
  <c r="X334" i="2"/>
  <c r="V334" i="2"/>
  <c r="Q334" i="2"/>
  <c r="N334" i="2"/>
  <c r="I334" i="2"/>
  <c r="FY333" i="2"/>
  <c r="FX333" i="2"/>
  <c r="FT333" i="2"/>
  <c r="FJ333" i="2"/>
  <c r="FF333" i="2"/>
  <c r="EO333" i="2"/>
  <c r="EN333" i="2"/>
  <c r="EK333" i="2"/>
  <c r="EI333" i="2"/>
  <c r="EH333" i="2"/>
  <c r="EG333" i="2"/>
  <c r="EF333" i="2"/>
  <c r="ED333" i="2"/>
  <c r="DP333" i="2"/>
  <c r="DN333" i="2"/>
  <c r="DE333" i="2"/>
  <c r="CY333" i="2"/>
  <c r="CV333" i="2"/>
  <c r="CQ333" i="2"/>
  <c r="CP333" i="2"/>
  <c r="CA333" i="2"/>
  <c r="BW333" i="2"/>
  <c r="BU333" i="2"/>
  <c r="BT333" i="2"/>
  <c r="BS333" i="2"/>
  <c r="BE333" i="2"/>
  <c r="BD333" i="2"/>
  <c r="BB333" i="2"/>
  <c r="AZ333" i="2"/>
  <c r="AY333" i="2"/>
  <c r="AX333" i="2"/>
  <c r="AW333" i="2"/>
  <c r="AU333" i="2"/>
  <c r="AG333" i="2"/>
  <c r="AE333" i="2"/>
  <c r="W333" i="2"/>
  <c r="Q333" i="2"/>
  <c r="N333" i="2"/>
  <c r="I333" i="2"/>
  <c r="FY332" i="2"/>
  <c r="FX332" i="2"/>
  <c r="FT332" i="2"/>
  <c r="FJ332" i="2"/>
  <c r="EQ332" i="2"/>
  <c r="EN332" i="2"/>
  <c r="EK332" i="2"/>
  <c r="EI332" i="2"/>
  <c r="EH332" i="2"/>
  <c r="EG332" i="2"/>
  <c r="EF332" i="2"/>
  <c r="EE332" i="2"/>
  <c r="ED332" i="2"/>
  <c r="DH332" i="2"/>
  <c r="CY332" i="2"/>
  <c r="CV332" i="2"/>
  <c r="CQ332" i="2"/>
  <c r="CP332" i="2"/>
  <c r="BG332" i="2"/>
  <c r="BD332" i="2"/>
  <c r="BB332" i="2"/>
  <c r="AZ332" i="2"/>
  <c r="AY332" i="2"/>
  <c r="AX332" i="2"/>
  <c r="AW332" i="2"/>
  <c r="AV332" i="2"/>
  <c r="AU332" i="2"/>
  <c r="Z332" i="2"/>
  <c r="Q332" i="2"/>
  <c r="N332" i="2"/>
  <c r="I332" i="2"/>
  <c r="FY331" i="2"/>
  <c r="FT331" i="2"/>
  <c r="FJ331" i="2"/>
  <c r="FD331" i="2"/>
  <c r="FB331" i="2"/>
  <c r="EQ331" i="2"/>
  <c r="EN331" i="2"/>
  <c r="EH331" i="2"/>
  <c r="ED331" i="2"/>
  <c r="CQ331" i="2"/>
  <c r="BT331" i="2"/>
  <c r="BS331" i="2"/>
  <c r="BQ331" i="2"/>
  <c r="BO331" i="2"/>
  <c r="BG331" i="2"/>
  <c r="BD331" i="2"/>
  <c r="AY331" i="2"/>
  <c r="AU331" i="2"/>
  <c r="I331" i="2"/>
  <c r="FY330" i="2"/>
  <c r="FT330" i="2"/>
  <c r="FJ330" i="2"/>
  <c r="FD330" i="2"/>
  <c r="FB330" i="2"/>
  <c r="EV330" i="2"/>
  <c r="EN330" i="2"/>
  <c r="EI330" i="2"/>
  <c r="EH330" i="2"/>
  <c r="EF330" i="2"/>
  <c r="ED330" i="2"/>
  <c r="EA330" i="2"/>
  <c r="DY330" i="2"/>
  <c r="DP330" i="2"/>
  <c r="DN330" i="2"/>
  <c r="DG330" i="2"/>
  <c r="DF330" i="2"/>
  <c r="DE330" i="2"/>
  <c r="DD330" i="2"/>
  <c r="CY330" i="2"/>
  <c r="CV330" i="2"/>
  <c r="CQ330" i="2"/>
  <c r="CA330" i="2"/>
  <c r="BY330" i="2"/>
  <c r="BX330" i="2"/>
  <c r="BW330" i="2"/>
  <c r="BQ330" i="2"/>
  <c r="BO330" i="2"/>
  <c r="BD330" i="2"/>
  <c r="AZ330" i="2"/>
  <c r="AY330" i="2"/>
  <c r="AW330" i="2"/>
  <c r="AU330" i="2"/>
  <c r="AR330" i="2"/>
  <c r="AP330" i="2"/>
  <c r="AG330" i="2"/>
  <c r="AE330" i="2"/>
  <c r="Y330" i="2"/>
  <c r="X330" i="2"/>
  <c r="W330" i="2"/>
  <c r="V330" i="2"/>
  <c r="Q330" i="2"/>
  <c r="N330" i="2"/>
  <c r="I330" i="2"/>
  <c r="FY329" i="2"/>
  <c r="FT329" i="2"/>
  <c r="FJ329" i="2"/>
  <c r="EV329" i="2"/>
  <c r="EN329" i="2"/>
  <c r="EK329" i="2"/>
  <c r="EH329" i="2"/>
  <c r="EF329" i="2"/>
  <c r="ED329" i="2"/>
  <c r="EA329" i="2"/>
  <c r="DY329" i="2"/>
  <c r="DE329" i="2"/>
  <c r="DD329" i="2"/>
  <c r="CY329" i="2"/>
  <c r="CV329" i="2"/>
  <c r="CQ329" i="2"/>
  <c r="CA329" i="2"/>
  <c r="BY329" i="2"/>
  <c r="BW329" i="2"/>
  <c r="BT329" i="2"/>
  <c r="BS329" i="2"/>
  <c r="BD329" i="2"/>
  <c r="BB329" i="2"/>
  <c r="AY329" i="2"/>
  <c r="AW329" i="2"/>
  <c r="AU329" i="2"/>
  <c r="AR329" i="2"/>
  <c r="AP329" i="2"/>
  <c r="W329" i="2"/>
  <c r="V329" i="2"/>
  <c r="Q329" i="2"/>
  <c r="N329" i="2"/>
  <c r="I329" i="2"/>
  <c r="FY328" i="2"/>
  <c r="FX328" i="2"/>
  <c r="FT328" i="2"/>
  <c r="FJ328" i="2"/>
  <c r="EN328" i="2"/>
  <c r="EK328" i="2"/>
  <c r="EH328" i="2"/>
  <c r="EG328" i="2"/>
  <c r="EF328" i="2"/>
  <c r="EE328" i="2"/>
  <c r="ED328" i="2"/>
  <c r="EA328" i="2"/>
  <c r="DG328" i="2"/>
  <c r="DF328" i="2"/>
  <c r="DE328" i="2"/>
  <c r="DD328" i="2"/>
  <c r="CY328" i="2"/>
  <c r="CV328" i="2"/>
  <c r="CQ328" i="2"/>
  <c r="CP328" i="2"/>
  <c r="BD328" i="2"/>
  <c r="BB328" i="2"/>
  <c r="AY328" i="2"/>
  <c r="AX328" i="2"/>
  <c r="AW328" i="2"/>
  <c r="AV328" i="2"/>
  <c r="AU328" i="2"/>
  <c r="AR328" i="2"/>
  <c r="Y328" i="2"/>
  <c r="X328" i="2"/>
  <c r="W328" i="2"/>
  <c r="V328" i="2"/>
  <c r="Q328" i="2"/>
  <c r="N328" i="2"/>
  <c r="I328" i="2"/>
  <c r="FY327" i="2"/>
  <c r="FX327" i="2"/>
  <c r="FT327" i="2"/>
  <c r="FJ327" i="2"/>
  <c r="FD327" i="2"/>
  <c r="EO327" i="2"/>
  <c r="EN327" i="2"/>
  <c r="EK327" i="2"/>
  <c r="EI327" i="2"/>
  <c r="EH327" i="2"/>
  <c r="EG327" i="2"/>
  <c r="EF327" i="2"/>
  <c r="EE327" i="2"/>
  <c r="ED327" i="2"/>
  <c r="EA327" i="2"/>
  <c r="DY327" i="2"/>
  <c r="DP327" i="2"/>
  <c r="DN327" i="2"/>
  <c r="DD327" i="2"/>
  <c r="CY327" i="2"/>
  <c r="CV327" i="2"/>
  <c r="CQ327" i="2"/>
  <c r="CP327" i="2"/>
  <c r="BQ327" i="2"/>
  <c r="BE327" i="2"/>
  <c r="BD327" i="2"/>
  <c r="BB327" i="2"/>
  <c r="AZ327" i="2"/>
  <c r="AY327" i="2"/>
  <c r="AX327" i="2"/>
  <c r="AW327" i="2"/>
  <c r="AV327" i="2"/>
  <c r="AU327" i="2"/>
  <c r="AR327" i="2"/>
  <c r="AP327" i="2"/>
  <c r="AG327" i="2"/>
  <c r="AE327" i="2"/>
  <c r="V327" i="2"/>
  <c r="Q327" i="2"/>
  <c r="N327" i="2"/>
  <c r="I327" i="2"/>
  <c r="FY326" i="2"/>
  <c r="FX326" i="2"/>
  <c r="FT326" i="2"/>
  <c r="FJ326" i="2"/>
  <c r="EP326" i="2"/>
  <c r="EH326" i="2"/>
  <c r="EF326" i="2"/>
  <c r="EE326" i="2"/>
  <c r="ED326" i="2"/>
  <c r="DP326" i="2"/>
  <c r="DN326" i="2"/>
  <c r="CY326" i="2"/>
  <c r="CV326" i="2"/>
  <c r="CQ326" i="2"/>
  <c r="CP326" i="2"/>
  <c r="BF326" i="2"/>
  <c r="AY326" i="2"/>
  <c r="AW326" i="2"/>
  <c r="AV326" i="2"/>
  <c r="AU326" i="2"/>
  <c r="AG326" i="2"/>
  <c r="AE326" i="2"/>
  <c r="Q326" i="2"/>
  <c r="N326" i="2"/>
  <c r="I326" i="2"/>
  <c r="FY325" i="2"/>
  <c r="FX325" i="2"/>
  <c r="FT325" i="2"/>
  <c r="FJ325" i="2"/>
  <c r="EU325" i="2"/>
  <c r="ET325" i="2"/>
  <c r="EP325" i="2"/>
  <c r="EO325" i="2"/>
  <c r="EN325" i="2"/>
  <c r="ED325" i="2"/>
  <c r="DN325" i="2"/>
  <c r="CV325" i="2"/>
  <c r="CQ325" i="2"/>
  <c r="CP325" i="2"/>
  <c r="BY325" i="2"/>
  <c r="BW325" i="2"/>
  <c r="BJ325" i="2"/>
  <c r="BI325" i="2"/>
  <c r="BF325" i="2"/>
  <c r="BE325" i="2"/>
  <c r="BD325" i="2"/>
  <c r="AU325" i="2"/>
  <c r="AE325" i="2"/>
  <c r="N325" i="2"/>
  <c r="I325" i="2"/>
  <c r="FY324" i="2"/>
  <c r="FT324" i="2"/>
  <c r="FJ324" i="2"/>
  <c r="FB324" i="2"/>
  <c r="EN324" i="2"/>
  <c r="EK324" i="2"/>
  <c r="EI324" i="2"/>
  <c r="EH324" i="2"/>
  <c r="EG324" i="2"/>
  <c r="EF324" i="2"/>
  <c r="ED324" i="2"/>
  <c r="EA324" i="2"/>
  <c r="DY324" i="2"/>
  <c r="DP324" i="2"/>
  <c r="DN324" i="2"/>
  <c r="DD324" i="2"/>
  <c r="CY324" i="2"/>
  <c r="CV324" i="2"/>
  <c r="CQ324" i="2"/>
  <c r="BO324" i="2"/>
  <c r="BD324" i="2"/>
  <c r="BB324" i="2"/>
  <c r="AZ324" i="2"/>
  <c r="AY324" i="2"/>
  <c r="AX324" i="2"/>
  <c r="AW324" i="2"/>
  <c r="AU324" i="2"/>
  <c r="AR324" i="2"/>
  <c r="AP324" i="2"/>
  <c r="AG324" i="2"/>
  <c r="AE324" i="2"/>
  <c r="V324" i="2"/>
  <c r="Q324" i="2"/>
  <c r="N324" i="2"/>
  <c r="I324" i="2"/>
  <c r="FY323" i="2"/>
  <c r="FT323" i="2"/>
  <c r="FJ323" i="2"/>
  <c r="EN323" i="2"/>
  <c r="EH323" i="2"/>
  <c r="EF323" i="2"/>
  <c r="ED323" i="2"/>
  <c r="CV323" i="2"/>
  <c r="CQ323" i="2"/>
  <c r="BY323" i="2"/>
  <c r="BS323" i="2"/>
  <c r="BD323" i="2"/>
  <c r="AY323" i="2"/>
  <c r="AW323" i="2"/>
  <c r="AU323" i="2"/>
  <c r="N323" i="2"/>
  <c r="I323" i="2"/>
  <c r="FY322" i="2"/>
  <c r="FX322" i="2"/>
  <c r="FT322" i="2"/>
  <c r="FJ322" i="2"/>
  <c r="FE322" i="2"/>
  <c r="FD322" i="2"/>
  <c r="EN322" i="2"/>
  <c r="EK322" i="2"/>
  <c r="EI322" i="2"/>
  <c r="EH322" i="2"/>
  <c r="EF322" i="2"/>
  <c r="ED322" i="2"/>
  <c r="DN322" i="2"/>
  <c r="CQ322" i="2"/>
  <c r="CP322" i="2"/>
  <c r="BY322" i="2"/>
  <c r="BT322" i="2"/>
  <c r="BR322" i="2"/>
  <c r="BQ322" i="2"/>
  <c r="BD322" i="2"/>
  <c r="BB322" i="2"/>
  <c r="AZ322" i="2"/>
  <c r="AY322" i="2"/>
  <c r="AW322" i="2"/>
  <c r="AU322" i="2"/>
  <c r="AE322" i="2"/>
  <c r="I322" i="2"/>
  <c r="FY321" i="2"/>
  <c r="FX321" i="2"/>
  <c r="FT321" i="2"/>
  <c r="FJ321" i="2"/>
  <c r="FD321" i="2"/>
  <c r="ET321" i="2"/>
  <c r="EP321" i="2"/>
  <c r="EN321" i="2"/>
  <c r="ED321" i="2"/>
  <c r="DN321" i="2"/>
  <c r="CY321" i="2"/>
  <c r="CV321" i="2"/>
  <c r="CQ321" i="2"/>
  <c r="CP321" i="2"/>
  <c r="CB321" i="2"/>
  <c r="BQ321" i="2"/>
  <c r="BI321" i="2"/>
  <c r="BF321" i="2"/>
  <c r="BD321" i="2"/>
  <c r="AU321" i="2"/>
  <c r="AE321" i="2"/>
  <c r="Q321" i="2"/>
  <c r="N321" i="2"/>
  <c r="I321" i="2"/>
  <c r="FY320" i="2"/>
  <c r="FT320" i="2"/>
  <c r="FJ320" i="2"/>
  <c r="FD320" i="2"/>
  <c r="ER320" i="2"/>
  <c r="EO320" i="2"/>
  <c r="EN320" i="2"/>
  <c r="EK320" i="2"/>
  <c r="EH320" i="2"/>
  <c r="EG320" i="2"/>
  <c r="EF320" i="2"/>
  <c r="ED320" i="2"/>
  <c r="EA320" i="2"/>
  <c r="DY320" i="2"/>
  <c r="DP320" i="2"/>
  <c r="DN320" i="2"/>
  <c r="DD320" i="2"/>
  <c r="CY320" i="2"/>
  <c r="CV320" i="2"/>
  <c r="CQ320" i="2"/>
  <c r="BY320" i="2"/>
  <c r="BQ320" i="2"/>
  <c r="BE320" i="2"/>
  <c r="BD320" i="2"/>
  <c r="BB320" i="2"/>
  <c r="AY320" i="2"/>
  <c r="AX320" i="2"/>
  <c r="AW320" i="2"/>
  <c r="AU320" i="2"/>
  <c r="AR320" i="2"/>
  <c r="AP320" i="2"/>
  <c r="AG320" i="2"/>
  <c r="AE320" i="2"/>
  <c r="V320" i="2"/>
  <c r="Q320" i="2"/>
  <c r="N320" i="2"/>
  <c r="I320" i="2"/>
  <c r="FY319" i="2"/>
  <c r="FX319" i="2"/>
  <c r="FJ319" i="2"/>
  <c r="ES319" i="2"/>
  <c r="EN319" i="2"/>
  <c r="EI319" i="2"/>
  <c r="EH319" i="2"/>
  <c r="EF319" i="2"/>
  <c r="ED319" i="2"/>
  <c r="DP319" i="2"/>
  <c r="DN319" i="2"/>
  <c r="CY319" i="2"/>
  <c r="CV319" i="2"/>
  <c r="CQ319" i="2"/>
  <c r="CP319" i="2"/>
  <c r="CA319" i="2"/>
  <c r="BH319" i="2"/>
  <c r="BD319" i="2"/>
  <c r="AZ319" i="2"/>
  <c r="AY319" i="2"/>
  <c r="AW319" i="2"/>
  <c r="AU319" i="2"/>
  <c r="AG319" i="2"/>
  <c r="AE319" i="2"/>
  <c r="Q319" i="2"/>
  <c r="N319" i="2"/>
  <c r="I319" i="2"/>
  <c r="FY318" i="2"/>
  <c r="FX318" i="2"/>
  <c r="FJ318" i="2"/>
  <c r="FB318" i="2"/>
  <c r="EN318" i="2"/>
  <c r="EI318" i="2"/>
  <c r="EH318" i="2"/>
  <c r="EF318" i="2"/>
  <c r="ED318" i="2"/>
  <c r="EA318" i="2"/>
  <c r="DY318" i="2"/>
  <c r="DN318" i="2"/>
  <c r="DG318" i="2"/>
  <c r="DF318" i="2"/>
  <c r="DD318" i="2"/>
  <c r="CY318" i="2"/>
  <c r="CV318" i="2"/>
  <c r="CQ318" i="2"/>
  <c r="CP318" i="2"/>
  <c r="BZ318" i="2"/>
  <c r="BS318" i="2"/>
  <c r="BO318" i="2"/>
  <c r="BD318" i="2"/>
  <c r="AZ318" i="2"/>
  <c r="AY318" i="2"/>
  <c r="AW318" i="2"/>
  <c r="AU318" i="2"/>
  <c r="AR318" i="2"/>
  <c r="AP318" i="2"/>
  <c r="AE318" i="2"/>
  <c r="Y318" i="2"/>
  <c r="X318" i="2"/>
  <c r="V318" i="2"/>
  <c r="Q318" i="2"/>
  <c r="N318" i="2"/>
  <c r="I318" i="2"/>
  <c r="FY317" i="2"/>
  <c r="FT317" i="2"/>
  <c r="FJ317" i="2"/>
  <c r="FF317" i="2"/>
  <c r="FB317" i="2"/>
  <c r="ER317" i="2"/>
  <c r="EO317" i="2"/>
  <c r="EN317" i="2"/>
  <c r="EH317" i="2"/>
  <c r="EF317" i="2"/>
  <c r="ED317" i="2"/>
  <c r="EA317" i="2"/>
  <c r="DY317" i="2"/>
  <c r="DF317" i="2"/>
  <c r="CY317" i="2"/>
  <c r="CV317" i="2"/>
  <c r="CQ317" i="2"/>
  <c r="CA317" i="2"/>
  <c r="BY317" i="2"/>
  <c r="BU317" i="2"/>
  <c r="BO317" i="2"/>
  <c r="BE317" i="2"/>
  <c r="BD317" i="2"/>
  <c r="AY317" i="2"/>
  <c r="AW317" i="2"/>
  <c r="AU317" i="2"/>
  <c r="AR317" i="2"/>
  <c r="AP317" i="2"/>
  <c r="X317" i="2"/>
  <c r="Q317" i="2"/>
  <c r="N317" i="2"/>
  <c r="I317" i="2"/>
  <c r="FY316" i="2"/>
  <c r="FX316" i="2"/>
  <c r="FT316" i="2"/>
  <c r="FJ316" i="2"/>
  <c r="FD316" i="2"/>
  <c r="FB316" i="2"/>
  <c r="EO316" i="2"/>
  <c r="EN316" i="2"/>
  <c r="EK316" i="2"/>
  <c r="EI316" i="2"/>
  <c r="EH316" i="2"/>
  <c r="EG316" i="2"/>
  <c r="EF316" i="2"/>
  <c r="EE316" i="2"/>
  <c r="ED316" i="2"/>
  <c r="EA316" i="2"/>
  <c r="DY316" i="2"/>
  <c r="DP316" i="2"/>
  <c r="DN316" i="2"/>
  <c r="DE316" i="2"/>
  <c r="CY316" i="2"/>
  <c r="CV316" i="2"/>
  <c r="CQ316" i="2"/>
  <c r="CP316" i="2"/>
  <c r="CA316" i="2"/>
  <c r="BQ316" i="2"/>
  <c r="BO316" i="2"/>
  <c r="BE316" i="2"/>
  <c r="BD316" i="2"/>
  <c r="BB316" i="2"/>
  <c r="AZ316" i="2"/>
  <c r="AY316" i="2"/>
  <c r="AX316" i="2"/>
  <c r="AW316" i="2"/>
  <c r="AV316" i="2"/>
  <c r="AU316" i="2"/>
  <c r="AR316" i="2"/>
  <c r="AP316" i="2"/>
  <c r="AG316" i="2"/>
  <c r="AE316" i="2"/>
  <c r="W316" i="2"/>
  <c r="Q316" i="2"/>
  <c r="N316" i="2"/>
  <c r="I316" i="2"/>
  <c r="FY315" i="2"/>
  <c r="EN315" i="2"/>
  <c r="CQ315" i="2"/>
  <c r="CA315" i="2"/>
  <c r="BD315" i="2"/>
  <c r="I315" i="2"/>
  <c r="FY314" i="2"/>
  <c r="FX314" i="2"/>
  <c r="FT314" i="2"/>
  <c r="FJ314" i="2"/>
  <c r="EQ314" i="2"/>
  <c r="EN314" i="2"/>
  <c r="EI314" i="2"/>
  <c r="EF314" i="2"/>
  <c r="EE314" i="2"/>
  <c r="ED314" i="2"/>
  <c r="CY314" i="2"/>
  <c r="CV314" i="2"/>
  <c r="CQ314" i="2"/>
  <c r="CP314" i="2"/>
  <c r="BT314" i="2"/>
  <c r="BG314" i="2"/>
  <c r="BD314" i="2"/>
  <c r="AZ314" i="2"/>
  <c r="AW314" i="2"/>
  <c r="AV314" i="2"/>
  <c r="AU314" i="2"/>
  <c r="Q314" i="2"/>
  <c r="N314" i="2"/>
  <c r="I314" i="2"/>
  <c r="H314" i="2"/>
  <c r="FY313" i="2"/>
  <c r="FX313" i="2"/>
  <c r="FT313" i="2"/>
  <c r="FJ313" i="2"/>
  <c r="FC313" i="2"/>
  <c r="FB313" i="2"/>
  <c r="EN313" i="2"/>
  <c r="EI313" i="2"/>
  <c r="EH313" i="2"/>
  <c r="EG313" i="2"/>
  <c r="EF313" i="2"/>
  <c r="ED313" i="2"/>
  <c r="EA313" i="2"/>
  <c r="DY313" i="2"/>
  <c r="DP313" i="2"/>
  <c r="DN313" i="2"/>
  <c r="DG313" i="2"/>
  <c r="DF313" i="2"/>
  <c r="DE313" i="2"/>
  <c r="DD313" i="2"/>
  <c r="CY313" i="2"/>
  <c r="CV313" i="2"/>
  <c r="CQ313" i="2"/>
  <c r="CP313" i="2"/>
  <c r="CA313" i="2"/>
  <c r="BT313" i="2"/>
  <c r="BS313" i="2"/>
  <c r="BP313" i="2"/>
  <c r="BO313" i="2"/>
  <c r="BD313" i="2"/>
  <c r="AZ313" i="2"/>
  <c r="AY313" i="2"/>
  <c r="AX313" i="2"/>
  <c r="AW313" i="2"/>
  <c r="AU313" i="2"/>
  <c r="AR313" i="2"/>
  <c r="AP313" i="2"/>
  <c r="AG313" i="2"/>
  <c r="AE313" i="2"/>
  <c r="Y313" i="2"/>
  <c r="X313" i="2"/>
  <c r="W313" i="2"/>
  <c r="V313" i="2"/>
  <c r="Q313" i="2"/>
  <c r="N313" i="2"/>
  <c r="I313" i="2"/>
  <c r="FY312" i="2"/>
  <c r="FX312" i="2"/>
  <c r="FT312" i="2"/>
  <c r="FJ312" i="2"/>
  <c r="EO312" i="2"/>
  <c r="EN312" i="2"/>
  <c r="EK312" i="2"/>
  <c r="EI312" i="2"/>
  <c r="EH312" i="2"/>
  <c r="EF312" i="2"/>
  <c r="ED312" i="2"/>
  <c r="CY312" i="2"/>
  <c r="CV312" i="2"/>
  <c r="CQ312" i="2"/>
  <c r="CP312" i="2"/>
  <c r="CA312" i="2"/>
  <c r="BT312" i="2"/>
  <c r="BS312" i="2"/>
  <c r="BE312" i="2"/>
  <c r="BD312" i="2"/>
  <c r="BB312" i="2"/>
  <c r="AZ312" i="2"/>
  <c r="AY312" i="2"/>
  <c r="AW312" i="2"/>
  <c r="AU312" i="2"/>
  <c r="Q312" i="2"/>
  <c r="N312" i="2"/>
  <c r="I312" i="2"/>
  <c r="FY437" i="2"/>
  <c r="FX437" i="2"/>
  <c r="FO437" i="2"/>
  <c r="FJ437" i="2"/>
  <c r="EW437" i="2"/>
  <c r="EB437" i="2"/>
  <c r="CR437" i="2"/>
  <c r="CQ437" i="2"/>
  <c r="CP437" i="2"/>
  <c r="CN437" i="2"/>
  <c r="CI437" i="2"/>
  <c r="CH437" i="2"/>
  <c r="CG437" i="2"/>
  <c r="CF437" i="2"/>
  <c r="AS437" i="2"/>
  <c r="J437" i="2"/>
  <c r="I437" i="2"/>
  <c r="H437" i="2"/>
  <c r="FY311" i="2"/>
  <c r="FX311" i="2"/>
  <c r="FT311" i="2"/>
  <c r="FJ311" i="2"/>
  <c r="FE311" i="2"/>
  <c r="FD311" i="2"/>
  <c r="EV311" i="2"/>
  <c r="EN311" i="2"/>
  <c r="EI311" i="2"/>
  <c r="EH311" i="2"/>
  <c r="EG311" i="2"/>
  <c r="EF311" i="2"/>
  <c r="ED311" i="2"/>
  <c r="DY311" i="2"/>
  <c r="DP311" i="2"/>
  <c r="DN311" i="2"/>
  <c r="CY311" i="2"/>
  <c r="CV311" i="2"/>
  <c r="CQ311" i="2"/>
  <c r="CP311" i="2"/>
  <c r="BR311" i="2"/>
  <c r="BQ311" i="2"/>
  <c r="BD311" i="2"/>
  <c r="AZ311" i="2"/>
  <c r="AY311" i="2"/>
  <c r="AX311" i="2"/>
  <c r="AW311" i="2"/>
  <c r="AU311" i="2"/>
  <c r="AP311" i="2"/>
  <c r="AG311" i="2"/>
  <c r="AE311" i="2"/>
  <c r="Q311" i="2"/>
  <c r="N311" i="2"/>
  <c r="I311" i="2"/>
  <c r="FY310" i="2"/>
  <c r="FX310" i="2"/>
  <c r="FT310" i="2"/>
  <c r="FJ310" i="2"/>
  <c r="FD310" i="2"/>
  <c r="EN310" i="2"/>
  <c r="EH310" i="2"/>
  <c r="EF310" i="2"/>
  <c r="ED310" i="2"/>
  <c r="DN310" i="2"/>
  <c r="CV310" i="2"/>
  <c r="CQ310" i="2"/>
  <c r="CP310" i="2"/>
  <c r="BQ310" i="2"/>
  <c r="BD310" i="2"/>
  <c r="AY310" i="2"/>
  <c r="AW310" i="2"/>
  <c r="AU310" i="2"/>
  <c r="AE310" i="2"/>
  <c r="N310" i="2"/>
  <c r="I310" i="2"/>
  <c r="FY309" i="2"/>
  <c r="EN309" i="2"/>
  <c r="CV309" i="2"/>
  <c r="CQ309" i="2"/>
  <c r="CA309" i="2"/>
  <c r="BD309" i="2"/>
  <c r="N309" i="2"/>
  <c r="I309" i="2"/>
  <c r="FY308" i="2"/>
  <c r="FT308" i="2"/>
  <c r="FJ308" i="2"/>
  <c r="FD308" i="2"/>
  <c r="EN308" i="2"/>
  <c r="EH308" i="2"/>
  <c r="EF308" i="2"/>
  <c r="ED308" i="2"/>
  <c r="CQ308" i="2"/>
  <c r="BQ308" i="2"/>
  <c r="BD308" i="2"/>
  <c r="AY308" i="2"/>
  <c r="AW308" i="2"/>
  <c r="AU308" i="2"/>
  <c r="I308" i="2"/>
  <c r="FY307" i="2"/>
  <c r="FX307" i="2"/>
  <c r="FT307" i="2"/>
  <c r="FJ307" i="2"/>
  <c r="FE307" i="2"/>
  <c r="FD307" i="2"/>
  <c r="FB307" i="2"/>
  <c r="EV307" i="2"/>
  <c r="EN307" i="2"/>
  <c r="EG307" i="2"/>
  <c r="EF307" i="2"/>
  <c r="ED307" i="2"/>
  <c r="EA307" i="2"/>
  <c r="DY307" i="2"/>
  <c r="DP307" i="2"/>
  <c r="DN307" i="2"/>
  <c r="DG307" i="2"/>
  <c r="DF307" i="2"/>
  <c r="DE307" i="2"/>
  <c r="DD307" i="2"/>
  <c r="CY307" i="2"/>
  <c r="CV307" i="2"/>
  <c r="CQ307" i="2"/>
  <c r="CP307" i="2"/>
  <c r="CA307" i="2"/>
  <c r="BW307" i="2"/>
  <c r="BU307" i="2"/>
  <c r="BT307" i="2"/>
  <c r="BR307" i="2"/>
  <c r="BQ307" i="2"/>
  <c r="BO307" i="2"/>
  <c r="BD307" i="2"/>
  <c r="AX307" i="2"/>
  <c r="AW307" i="2"/>
  <c r="AU307" i="2"/>
  <c r="AR307" i="2"/>
  <c r="AP307" i="2"/>
  <c r="AG307" i="2"/>
  <c r="AE307" i="2"/>
  <c r="Y307" i="2"/>
  <c r="X307" i="2"/>
  <c r="W307" i="2"/>
  <c r="V307" i="2"/>
  <c r="Q307" i="2"/>
  <c r="N307" i="2"/>
  <c r="I307" i="2"/>
  <c r="FY428" i="2"/>
  <c r="FV428" i="2"/>
  <c r="FS428" i="2"/>
  <c r="FO428" i="2"/>
  <c r="FG428" i="2"/>
  <c r="CR428" i="2"/>
  <c r="CQ428" i="2"/>
  <c r="CN428" i="2"/>
  <c r="CL428" i="2"/>
  <c r="CI428" i="2"/>
  <c r="BW428" i="2"/>
  <c r="J428" i="2"/>
  <c r="I428" i="2"/>
  <c r="H428" i="2"/>
  <c r="FY306" i="2"/>
  <c r="FT306" i="2"/>
  <c r="FJ306" i="2"/>
  <c r="EQ306" i="2"/>
  <c r="EO306" i="2"/>
  <c r="EN306" i="2"/>
  <c r="EI306" i="2"/>
  <c r="EH306" i="2"/>
  <c r="EF306" i="2"/>
  <c r="EE306" i="2"/>
  <c r="ED306" i="2"/>
  <c r="EA306" i="2"/>
  <c r="DY306" i="2"/>
  <c r="DP306" i="2"/>
  <c r="DN306" i="2"/>
  <c r="CY306" i="2"/>
  <c r="CV306" i="2"/>
  <c r="CQ306" i="2"/>
  <c r="BY306" i="2"/>
  <c r="BS306" i="2"/>
  <c r="BG306" i="2"/>
  <c r="BE306" i="2"/>
  <c r="BD306" i="2"/>
  <c r="AZ306" i="2"/>
  <c r="AY306" i="2"/>
  <c r="AW306" i="2"/>
  <c r="AV306" i="2"/>
  <c r="AU306" i="2"/>
  <c r="AR306" i="2"/>
  <c r="AP306" i="2"/>
  <c r="AG306" i="2"/>
  <c r="AE306" i="2"/>
  <c r="Q306" i="2"/>
  <c r="N306" i="2"/>
  <c r="I306" i="2"/>
  <c r="FY305" i="2"/>
  <c r="FX305" i="2"/>
  <c r="EK305" i="2"/>
  <c r="EH305" i="2"/>
  <c r="ED305" i="2"/>
  <c r="CV305" i="2"/>
  <c r="CQ305" i="2"/>
  <c r="CP305" i="2"/>
  <c r="CA305" i="2"/>
  <c r="BY305" i="2"/>
  <c r="BW305" i="2"/>
  <c r="BS305" i="2"/>
  <c r="BB305" i="2"/>
  <c r="AY305" i="2"/>
  <c r="AU305" i="2"/>
  <c r="N305" i="2"/>
  <c r="I305" i="2"/>
  <c r="FY304" i="2"/>
  <c r="FX304" i="2"/>
  <c r="FT304" i="2"/>
  <c r="FJ304" i="2"/>
  <c r="FE304" i="2"/>
  <c r="FD304" i="2"/>
  <c r="FB304" i="2"/>
  <c r="EV304" i="2"/>
  <c r="EN304" i="2"/>
  <c r="EK304" i="2"/>
  <c r="EH304" i="2"/>
  <c r="EF304" i="2"/>
  <c r="EE304" i="2"/>
  <c r="ED304" i="2"/>
  <c r="EA304" i="2"/>
  <c r="DY304" i="2"/>
  <c r="DP304" i="2"/>
  <c r="DN304" i="2"/>
  <c r="CY304" i="2"/>
  <c r="CV304" i="2"/>
  <c r="CQ304" i="2"/>
  <c r="CP304" i="2"/>
  <c r="CA304" i="2"/>
  <c r="BW304" i="2"/>
  <c r="BT304" i="2"/>
  <c r="BS304" i="2"/>
  <c r="BR304" i="2"/>
  <c r="BQ304" i="2"/>
  <c r="BO304" i="2"/>
  <c r="BD304" i="2"/>
  <c r="BB304" i="2"/>
  <c r="AY304" i="2"/>
  <c r="AW304" i="2"/>
  <c r="AV304" i="2"/>
  <c r="AU304" i="2"/>
  <c r="AR304" i="2"/>
  <c r="AP304" i="2"/>
  <c r="AG304" i="2"/>
  <c r="AE304" i="2"/>
  <c r="Q304" i="2"/>
  <c r="N304" i="2"/>
  <c r="I304" i="2"/>
  <c r="FY303" i="2"/>
  <c r="FT303" i="2"/>
  <c r="FJ303" i="2"/>
  <c r="FD303" i="2"/>
  <c r="FB303" i="2"/>
  <c r="EN303" i="2"/>
  <c r="EK303" i="2"/>
  <c r="EI303" i="2"/>
  <c r="EH303" i="2"/>
  <c r="EG303" i="2"/>
  <c r="EF303" i="2"/>
  <c r="ED303" i="2"/>
  <c r="DY303" i="2"/>
  <c r="DP303" i="2"/>
  <c r="DN303" i="2"/>
  <c r="DD303" i="2"/>
  <c r="CY303" i="2"/>
  <c r="CV303" i="2"/>
  <c r="CQ303" i="2"/>
  <c r="CA303" i="2"/>
  <c r="BY303" i="2"/>
  <c r="BW303" i="2"/>
  <c r="BT303" i="2"/>
  <c r="BS303" i="2"/>
  <c r="BQ303" i="2"/>
  <c r="BO303" i="2"/>
  <c r="BD303" i="2"/>
  <c r="BB303" i="2"/>
  <c r="AZ303" i="2"/>
  <c r="AY303" i="2"/>
  <c r="AX303" i="2"/>
  <c r="AW303" i="2"/>
  <c r="AU303" i="2"/>
  <c r="AP303" i="2"/>
  <c r="AG303" i="2"/>
  <c r="AE303" i="2"/>
  <c r="V303" i="2"/>
  <c r="Q303" i="2"/>
  <c r="N303" i="2"/>
  <c r="I303" i="2"/>
  <c r="FY302" i="2"/>
  <c r="FT302" i="2"/>
  <c r="FJ302" i="2"/>
  <c r="FF302" i="2"/>
  <c r="ER302" i="2"/>
  <c r="EN302" i="2"/>
  <c r="EK302" i="2"/>
  <c r="EI302" i="2"/>
  <c r="EH302" i="2"/>
  <c r="EE302" i="2"/>
  <c r="ED302" i="2"/>
  <c r="EA302" i="2"/>
  <c r="DP302" i="2"/>
  <c r="DN302" i="2"/>
  <c r="CV302" i="2"/>
  <c r="CQ302" i="2"/>
  <c r="CA302" i="2"/>
  <c r="BU302" i="2"/>
  <c r="BT302" i="2"/>
  <c r="BD302" i="2"/>
  <c r="BB302" i="2"/>
  <c r="AZ302" i="2"/>
  <c r="AY302" i="2"/>
  <c r="AV302" i="2"/>
  <c r="AU302" i="2"/>
  <c r="AR302" i="2"/>
  <c r="AG302" i="2"/>
  <c r="AE302" i="2"/>
  <c r="N302" i="2"/>
  <c r="I302" i="2"/>
  <c r="FY301" i="2"/>
  <c r="FT301" i="2"/>
  <c r="FJ301" i="2"/>
  <c r="FD301" i="2"/>
  <c r="FC301" i="2"/>
  <c r="FB301" i="2"/>
  <c r="EN301" i="2"/>
  <c r="EK301" i="2"/>
  <c r="EH301" i="2"/>
  <c r="EF301" i="2"/>
  <c r="ED301" i="2"/>
  <c r="EA301" i="2"/>
  <c r="DY301" i="2"/>
  <c r="DP301" i="2"/>
  <c r="DN301" i="2"/>
  <c r="DH301" i="2"/>
  <c r="DD301" i="2"/>
  <c r="CY301" i="2"/>
  <c r="CV301" i="2"/>
  <c r="CQ301" i="2"/>
  <c r="CA301" i="2"/>
  <c r="BT301" i="2"/>
  <c r="BS301" i="2"/>
  <c r="BQ301" i="2"/>
  <c r="BP301" i="2"/>
  <c r="BO301" i="2"/>
  <c r="BD301" i="2"/>
  <c r="BB301" i="2"/>
  <c r="AY301" i="2"/>
  <c r="AW301" i="2"/>
  <c r="AU301" i="2"/>
  <c r="AR301" i="2"/>
  <c r="AP301" i="2"/>
  <c r="AG301" i="2"/>
  <c r="AE301" i="2"/>
  <c r="Z301" i="2"/>
  <c r="V301" i="2"/>
  <c r="Q301" i="2"/>
  <c r="N301" i="2"/>
  <c r="I301" i="2"/>
  <c r="FY300" i="2"/>
  <c r="FX300" i="2"/>
  <c r="FT300" i="2"/>
  <c r="FJ300" i="2"/>
  <c r="ER300" i="2"/>
  <c r="EO300" i="2"/>
  <c r="EN300" i="2"/>
  <c r="EK300" i="2"/>
  <c r="EI300" i="2"/>
  <c r="EH300" i="2"/>
  <c r="EF300" i="2"/>
  <c r="ED300" i="2"/>
  <c r="EA300" i="2"/>
  <c r="DP300" i="2"/>
  <c r="DN300" i="2"/>
  <c r="DF300" i="2"/>
  <c r="DE300" i="2"/>
  <c r="DD300" i="2"/>
  <c r="CY300" i="2"/>
  <c r="CV300" i="2"/>
  <c r="CQ300" i="2"/>
  <c r="CP300" i="2"/>
  <c r="CA300" i="2"/>
  <c r="BW300" i="2"/>
  <c r="BS300" i="2"/>
  <c r="BE300" i="2"/>
  <c r="BD300" i="2"/>
  <c r="BB300" i="2"/>
  <c r="AZ300" i="2"/>
  <c r="AY300" i="2"/>
  <c r="AW300" i="2"/>
  <c r="AU300" i="2"/>
  <c r="AR300" i="2"/>
  <c r="AG300" i="2"/>
  <c r="AE300" i="2"/>
  <c r="X300" i="2"/>
  <c r="W300" i="2"/>
  <c r="V300" i="2"/>
  <c r="Q300" i="2"/>
  <c r="N300" i="2"/>
  <c r="I300" i="2"/>
  <c r="FY299" i="2"/>
  <c r="FX299" i="2"/>
  <c r="FT299" i="2"/>
  <c r="FD299" i="2"/>
  <c r="EQ299" i="2"/>
  <c r="EO299" i="2"/>
  <c r="EN299" i="2"/>
  <c r="EK299" i="2"/>
  <c r="EI299" i="2"/>
  <c r="EH299" i="2"/>
  <c r="EF299" i="2"/>
  <c r="ED299" i="2"/>
  <c r="DP299" i="2"/>
  <c r="DN299" i="2"/>
  <c r="CV299" i="2"/>
  <c r="CQ299" i="2"/>
  <c r="CP299" i="2"/>
  <c r="CA299" i="2"/>
  <c r="BY299" i="2"/>
  <c r="BW299" i="2"/>
  <c r="BS299" i="2"/>
  <c r="BQ299" i="2"/>
  <c r="BG299" i="2"/>
  <c r="BE299" i="2"/>
  <c r="BD299" i="2"/>
  <c r="BB299" i="2"/>
  <c r="AZ299" i="2"/>
  <c r="AY299" i="2"/>
  <c r="AW299" i="2"/>
  <c r="AU299" i="2"/>
  <c r="AG299" i="2"/>
  <c r="AE299" i="2"/>
  <c r="N299" i="2"/>
  <c r="I299" i="2"/>
  <c r="FY298" i="2"/>
  <c r="FT298" i="2"/>
  <c r="FJ298" i="2"/>
  <c r="FB298" i="2"/>
  <c r="EN298" i="2"/>
  <c r="EK298" i="2"/>
  <c r="EH298" i="2"/>
  <c r="EF298" i="2"/>
  <c r="ED298" i="2"/>
  <c r="DY298" i="2"/>
  <c r="DN298" i="2"/>
  <c r="DF298" i="2"/>
  <c r="CV298" i="2"/>
  <c r="CQ298" i="2"/>
  <c r="BY298" i="2"/>
  <c r="BT298" i="2"/>
  <c r="BO298" i="2"/>
  <c r="BD298" i="2"/>
  <c r="BB298" i="2"/>
  <c r="AY298" i="2"/>
  <c r="AW298" i="2"/>
  <c r="AU298" i="2"/>
  <c r="AP298" i="2"/>
  <c r="AE298" i="2"/>
  <c r="X298" i="2"/>
  <c r="N298" i="2"/>
  <c r="I298" i="2"/>
  <c r="FY297" i="2"/>
  <c r="FX297" i="2"/>
  <c r="FT297" i="2"/>
  <c r="FJ297" i="2"/>
  <c r="EN297" i="2"/>
  <c r="EH297" i="2"/>
  <c r="EF297" i="2"/>
  <c r="ED297" i="2"/>
  <c r="CV297" i="2"/>
  <c r="CQ297" i="2"/>
  <c r="CP297" i="2"/>
  <c r="BY297" i="2"/>
  <c r="BD297" i="2"/>
  <c r="AY297" i="2"/>
  <c r="AW297" i="2"/>
  <c r="AU297" i="2"/>
  <c r="N297" i="2"/>
  <c r="I297" i="2"/>
  <c r="FY296" i="2"/>
  <c r="FT296" i="2"/>
  <c r="FJ296" i="2"/>
  <c r="FF296" i="2"/>
  <c r="FD296" i="2"/>
  <c r="FB296" i="2"/>
  <c r="EO296" i="2"/>
  <c r="EN296" i="2"/>
  <c r="EI296" i="2"/>
  <c r="EH296" i="2"/>
  <c r="EG296" i="2"/>
  <c r="EF296" i="2"/>
  <c r="EE296" i="2"/>
  <c r="ED296" i="2"/>
  <c r="EA296" i="2"/>
  <c r="DY296" i="2"/>
  <c r="DP296" i="2"/>
  <c r="DN296" i="2"/>
  <c r="DF296" i="2"/>
  <c r="DE296" i="2"/>
  <c r="DD296" i="2"/>
  <c r="CY296" i="2"/>
  <c r="CV296" i="2"/>
  <c r="CQ296" i="2"/>
  <c r="CA296" i="2"/>
  <c r="BY296" i="2"/>
  <c r="BU296" i="2"/>
  <c r="BT296" i="2"/>
  <c r="BS296" i="2"/>
  <c r="BQ296" i="2"/>
  <c r="BO296" i="2"/>
  <c r="BE296" i="2"/>
  <c r="BD296" i="2"/>
  <c r="AZ296" i="2"/>
  <c r="AY296" i="2"/>
  <c r="AX296" i="2"/>
  <c r="AW296" i="2"/>
  <c r="AV296" i="2"/>
  <c r="AU296" i="2"/>
  <c r="AR296" i="2"/>
  <c r="AP296" i="2"/>
  <c r="AG296" i="2"/>
  <c r="AE296" i="2"/>
  <c r="X296" i="2"/>
  <c r="W296" i="2"/>
  <c r="V296" i="2"/>
  <c r="Q296" i="2"/>
  <c r="N296" i="2"/>
  <c r="I296" i="2"/>
  <c r="FY427" i="2"/>
  <c r="FV427" i="2"/>
  <c r="FU427" i="2"/>
  <c r="FS427" i="2"/>
  <c r="FP427" i="2"/>
  <c r="FO427" i="2"/>
  <c r="FN427" i="2"/>
  <c r="FM427" i="2"/>
  <c r="FJ427" i="2"/>
  <c r="FG427" i="2"/>
  <c r="CR427" i="2"/>
  <c r="CQ427" i="2"/>
  <c r="CN427" i="2"/>
  <c r="CM427" i="2"/>
  <c r="CL427" i="2"/>
  <c r="CJ427" i="2"/>
  <c r="CI427" i="2"/>
  <c r="CH427" i="2"/>
  <c r="CG427" i="2"/>
  <c r="BW427" i="2"/>
  <c r="J427" i="2"/>
  <c r="I427" i="2"/>
  <c r="H427" i="2"/>
  <c r="FY426" i="2"/>
  <c r="FV426" i="2"/>
  <c r="FS426" i="2"/>
  <c r="FP426" i="2"/>
  <c r="FO426" i="2"/>
  <c r="FN426" i="2"/>
  <c r="FJ426" i="2"/>
  <c r="FG426" i="2"/>
  <c r="CS426" i="2"/>
  <c r="CR426" i="2"/>
  <c r="CQ426" i="2"/>
  <c r="CN426" i="2"/>
  <c r="CL426" i="2"/>
  <c r="CJ426" i="2"/>
  <c r="CI426" i="2"/>
  <c r="CH426" i="2"/>
  <c r="BW426" i="2"/>
  <c r="K426" i="2"/>
  <c r="J426" i="2"/>
  <c r="I426" i="2"/>
  <c r="H426" i="2"/>
  <c r="FY295" i="2"/>
  <c r="FT295" i="2"/>
  <c r="FJ295" i="2"/>
  <c r="FE295" i="2"/>
  <c r="FD295" i="2"/>
  <c r="FB295" i="2"/>
  <c r="ER295" i="2"/>
  <c r="EN295" i="2"/>
  <c r="EK295" i="2"/>
  <c r="EH295" i="2"/>
  <c r="EG295" i="2"/>
  <c r="EF295" i="2"/>
  <c r="ED295" i="2"/>
  <c r="EA295" i="2"/>
  <c r="DY295" i="2"/>
  <c r="DP295" i="2"/>
  <c r="DN295" i="2"/>
  <c r="DG295" i="2"/>
  <c r="DF295" i="2"/>
  <c r="DE295" i="2"/>
  <c r="DD295" i="2"/>
  <c r="CY295" i="2"/>
  <c r="CV295" i="2"/>
  <c r="CQ295" i="2"/>
  <c r="CA295" i="2"/>
  <c r="BZ295" i="2"/>
  <c r="BW295" i="2"/>
  <c r="BU295" i="2"/>
  <c r="BT295" i="2"/>
  <c r="BR295" i="2"/>
  <c r="BQ295" i="2"/>
  <c r="BO295" i="2"/>
  <c r="BD295" i="2"/>
  <c r="BB295" i="2"/>
  <c r="AY295" i="2"/>
  <c r="AX295" i="2"/>
  <c r="AW295" i="2"/>
  <c r="AU295" i="2"/>
  <c r="AR295" i="2"/>
  <c r="AP295" i="2"/>
  <c r="AG295" i="2"/>
  <c r="AE295" i="2"/>
  <c r="Y295" i="2"/>
  <c r="X295" i="2"/>
  <c r="W295" i="2"/>
  <c r="V295" i="2"/>
  <c r="Q295" i="2"/>
  <c r="N295" i="2"/>
  <c r="I295" i="2"/>
  <c r="FY425" i="2"/>
  <c r="FV425" i="2"/>
  <c r="FS425" i="2"/>
  <c r="FP425" i="2"/>
  <c r="FO425" i="2"/>
  <c r="FN425" i="2"/>
  <c r="FM425" i="2"/>
  <c r="FJ425" i="2"/>
  <c r="FG425" i="2"/>
  <c r="CS425" i="2"/>
  <c r="CR425" i="2"/>
  <c r="CQ425" i="2"/>
  <c r="CN425" i="2"/>
  <c r="CL425" i="2"/>
  <c r="CJ425" i="2"/>
  <c r="CI425" i="2"/>
  <c r="CH425" i="2"/>
  <c r="CG425" i="2"/>
  <c r="BW425" i="2"/>
  <c r="K425" i="2"/>
  <c r="J425" i="2"/>
  <c r="I425" i="2"/>
  <c r="H425" i="2"/>
  <c r="FY294" i="2"/>
  <c r="FT294" i="2"/>
  <c r="FJ294" i="2"/>
  <c r="EO294" i="2"/>
  <c r="EN294" i="2"/>
  <c r="EK294" i="2"/>
  <c r="EI294" i="2"/>
  <c r="EH294" i="2"/>
  <c r="EG294" i="2"/>
  <c r="EF294" i="2"/>
  <c r="EE294" i="2"/>
  <c r="ED294" i="2"/>
  <c r="CY294" i="2"/>
  <c r="CV294" i="2"/>
  <c r="CQ294" i="2"/>
  <c r="CA294" i="2"/>
  <c r="BY294" i="2"/>
  <c r="BT294" i="2"/>
  <c r="BS294" i="2"/>
  <c r="BE294" i="2"/>
  <c r="BD294" i="2"/>
  <c r="BB294" i="2"/>
  <c r="AZ294" i="2"/>
  <c r="AY294" i="2"/>
  <c r="AX294" i="2"/>
  <c r="AW294" i="2"/>
  <c r="AV294" i="2"/>
  <c r="AU294" i="2"/>
  <c r="Q294" i="2"/>
  <c r="N294" i="2"/>
  <c r="I294" i="2"/>
  <c r="FY441" i="2"/>
  <c r="CS441" i="2"/>
  <c r="CR441" i="2"/>
  <c r="CQ441" i="2"/>
  <c r="K441" i="2"/>
  <c r="J441" i="2"/>
  <c r="I441" i="2"/>
  <c r="H441" i="2"/>
  <c r="FY293" i="2"/>
  <c r="FX293" i="2"/>
  <c r="FT293" i="2"/>
  <c r="FJ293" i="2"/>
  <c r="FE293" i="2"/>
  <c r="FD293" i="2"/>
  <c r="FC293" i="2"/>
  <c r="FB293" i="2"/>
  <c r="EN293" i="2"/>
  <c r="EK293" i="2"/>
  <c r="EH293" i="2"/>
  <c r="EG293" i="2"/>
  <c r="EF293" i="2"/>
  <c r="EE293" i="2"/>
  <c r="ED293" i="2"/>
  <c r="EA293" i="2"/>
  <c r="DY293" i="2"/>
  <c r="DP293" i="2"/>
  <c r="DN293" i="2"/>
  <c r="DG293" i="2"/>
  <c r="DF293" i="2"/>
  <c r="DE293" i="2"/>
  <c r="DD293" i="2"/>
  <c r="CY293" i="2"/>
  <c r="CV293" i="2"/>
  <c r="CQ293" i="2"/>
  <c r="CP293" i="2"/>
  <c r="CA293" i="2"/>
  <c r="BT293" i="2"/>
  <c r="BR293" i="2"/>
  <c r="BQ293" i="2"/>
  <c r="BP293" i="2"/>
  <c r="BO293" i="2"/>
  <c r="BD293" i="2"/>
  <c r="BB293" i="2"/>
  <c r="AY293" i="2"/>
  <c r="AX293" i="2"/>
  <c r="AW293" i="2"/>
  <c r="AV293" i="2"/>
  <c r="AU293" i="2"/>
  <c r="AR293" i="2"/>
  <c r="AP293" i="2"/>
  <c r="AG293" i="2"/>
  <c r="AE293" i="2"/>
  <c r="Y293" i="2"/>
  <c r="X293" i="2"/>
  <c r="W293" i="2"/>
  <c r="V293" i="2"/>
  <c r="Q293" i="2"/>
  <c r="N293" i="2"/>
  <c r="I293" i="2"/>
  <c r="FY292" i="2"/>
  <c r="FX292" i="2"/>
  <c r="FT292" i="2"/>
  <c r="FJ292" i="2"/>
  <c r="EO292" i="2"/>
  <c r="EN292" i="2"/>
  <c r="EK292" i="2"/>
  <c r="EH292" i="2"/>
  <c r="EF292" i="2"/>
  <c r="ED292" i="2"/>
  <c r="CV292" i="2"/>
  <c r="CQ292" i="2"/>
  <c r="CP292" i="2"/>
  <c r="CA292" i="2"/>
  <c r="BT292" i="2"/>
  <c r="BS292" i="2"/>
  <c r="BE292" i="2"/>
  <c r="BD292" i="2"/>
  <c r="BB292" i="2"/>
  <c r="AY292" i="2"/>
  <c r="AW292" i="2"/>
  <c r="AU292" i="2"/>
  <c r="N292" i="2"/>
  <c r="I292" i="2"/>
  <c r="FY291" i="2"/>
  <c r="FX291" i="2"/>
  <c r="FT291" i="2"/>
  <c r="FJ291" i="2"/>
  <c r="EY291" i="2"/>
  <c r="EX291" i="2"/>
  <c r="EV291" i="2"/>
  <c r="EN291" i="2"/>
  <c r="EK291" i="2"/>
  <c r="EI291" i="2"/>
  <c r="EH291" i="2"/>
  <c r="EG291" i="2"/>
  <c r="EF291" i="2"/>
  <c r="EE291" i="2"/>
  <c r="ED291" i="2"/>
  <c r="DD291" i="2"/>
  <c r="CY291" i="2"/>
  <c r="CV291" i="2"/>
  <c r="CQ291" i="2"/>
  <c r="CP291" i="2"/>
  <c r="CB291" i="2"/>
  <c r="CA291" i="2"/>
  <c r="BY291" i="2"/>
  <c r="BT291" i="2"/>
  <c r="BL291" i="2"/>
  <c r="BK291" i="2"/>
  <c r="BD291" i="2"/>
  <c r="BB291" i="2"/>
  <c r="AZ291" i="2"/>
  <c r="AY291" i="2"/>
  <c r="AX291" i="2"/>
  <c r="AW291" i="2"/>
  <c r="AV291" i="2"/>
  <c r="AU291" i="2"/>
  <c r="V291" i="2"/>
  <c r="Q291" i="2"/>
  <c r="N291" i="2"/>
  <c r="I291" i="2"/>
  <c r="FY290" i="2"/>
  <c r="FX290" i="2"/>
  <c r="FT290" i="2"/>
  <c r="FJ290" i="2"/>
  <c r="EV290" i="2"/>
  <c r="EO290" i="2"/>
  <c r="EK290" i="2"/>
  <c r="EH290" i="2"/>
  <c r="EF290" i="2"/>
  <c r="ED290" i="2"/>
  <c r="CY290" i="2"/>
  <c r="CV290" i="2"/>
  <c r="CQ290" i="2"/>
  <c r="CP290" i="2"/>
  <c r="BW290" i="2"/>
  <c r="BS290" i="2"/>
  <c r="BE290" i="2"/>
  <c r="BB290" i="2"/>
  <c r="AY290" i="2"/>
  <c r="AW290" i="2"/>
  <c r="AU290" i="2"/>
  <c r="Q290" i="2"/>
  <c r="N290" i="2"/>
  <c r="I290" i="2"/>
  <c r="FY289" i="2"/>
  <c r="FX289" i="2"/>
  <c r="FT289" i="2"/>
  <c r="FJ289" i="2"/>
  <c r="ET289" i="2"/>
  <c r="EP289" i="2"/>
  <c r="EN289" i="2"/>
  <c r="EK289" i="2"/>
  <c r="ED289" i="2"/>
  <c r="DN289" i="2"/>
  <c r="CV289" i="2"/>
  <c r="CQ289" i="2"/>
  <c r="CP289" i="2"/>
  <c r="BY289" i="2"/>
  <c r="BI289" i="2"/>
  <c r="BF289" i="2"/>
  <c r="BD289" i="2"/>
  <c r="BB289" i="2"/>
  <c r="AU289" i="2"/>
  <c r="AE289" i="2"/>
  <c r="N289" i="2"/>
  <c r="I289" i="2"/>
  <c r="FY288" i="2"/>
  <c r="FT288" i="2"/>
  <c r="FJ288" i="2"/>
  <c r="FE288" i="2"/>
  <c r="FD288" i="2"/>
  <c r="FB288" i="2"/>
  <c r="EV288" i="2"/>
  <c r="EN288" i="2"/>
  <c r="EK288" i="2"/>
  <c r="EH288" i="2"/>
  <c r="EF288" i="2"/>
  <c r="ED288" i="2"/>
  <c r="EA288" i="2"/>
  <c r="DY288" i="2"/>
  <c r="DP288" i="2"/>
  <c r="DN288" i="2"/>
  <c r="DG288" i="2"/>
  <c r="DE288" i="2"/>
  <c r="DD288" i="2"/>
  <c r="CY288" i="2"/>
  <c r="CV288" i="2"/>
  <c r="CQ288" i="2"/>
  <c r="CA288" i="2"/>
  <c r="BY288" i="2"/>
  <c r="BX288" i="2"/>
  <c r="BW288" i="2"/>
  <c r="BT288" i="2"/>
  <c r="BS288" i="2"/>
  <c r="BR288" i="2"/>
  <c r="BQ288" i="2"/>
  <c r="BO288" i="2"/>
  <c r="BD288" i="2"/>
  <c r="BB288" i="2"/>
  <c r="AY288" i="2"/>
  <c r="AW288" i="2"/>
  <c r="AU288" i="2"/>
  <c r="AR288" i="2"/>
  <c r="AP288" i="2"/>
  <c r="AG288" i="2"/>
  <c r="AE288" i="2"/>
  <c r="Y288" i="2"/>
  <c r="W288" i="2"/>
  <c r="V288" i="2"/>
  <c r="Q288" i="2"/>
  <c r="N288" i="2"/>
  <c r="I288" i="2"/>
  <c r="FY287" i="2"/>
  <c r="EI287" i="2"/>
  <c r="EH287" i="2"/>
  <c r="ED287" i="2"/>
  <c r="CY287" i="2"/>
  <c r="CV287" i="2"/>
  <c r="CQ287" i="2"/>
  <c r="CA287" i="2"/>
  <c r="BY287" i="2"/>
  <c r="BW287" i="2"/>
  <c r="BS287" i="2"/>
  <c r="AZ287" i="2"/>
  <c r="AY287" i="2"/>
  <c r="AU287" i="2"/>
  <c r="Q287" i="2"/>
  <c r="N287" i="2"/>
  <c r="I287" i="2"/>
  <c r="FY286" i="2"/>
  <c r="FT286" i="2"/>
  <c r="FF286" i="2"/>
  <c r="EO286" i="2"/>
  <c r="EN286" i="2"/>
  <c r="EK286" i="2"/>
  <c r="EH286" i="2"/>
  <c r="EF286" i="2"/>
  <c r="ED286" i="2"/>
  <c r="EA286" i="2"/>
  <c r="DP286" i="2"/>
  <c r="DN286" i="2"/>
  <c r="DE286" i="2"/>
  <c r="DD286" i="2"/>
  <c r="CY286" i="2"/>
  <c r="CV286" i="2"/>
  <c r="CQ286" i="2"/>
  <c r="CA286" i="2"/>
  <c r="BW286" i="2"/>
  <c r="BV286" i="2"/>
  <c r="BU286" i="2"/>
  <c r="BT286" i="2"/>
  <c r="BE286" i="2"/>
  <c r="BD286" i="2"/>
  <c r="BB286" i="2"/>
  <c r="AY286" i="2"/>
  <c r="AW286" i="2"/>
  <c r="AU286" i="2"/>
  <c r="AR286" i="2"/>
  <c r="AG286" i="2"/>
  <c r="AE286" i="2"/>
  <c r="W286" i="2"/>
  <c r="V286" i="2"/>
  <c r="Q286" i="2"/>
  <c r="N286" i="2"/>
  <c r="I286" i="2"/>
  <c r="FY285" i="2"/>
  <c r="FX285" i="2"/>
  <c r="FT285" i="2"/>
  <c r="FJ285" i="2"/>
  <c r="FD285" i="2"/>
  <c r="FB285" i="2"/>
  <c r="EO285" i="2"/>
  <c r="EN285" i="2"/>
  <c r="EH285" i="2"/>
  <c r="EG285" i="2"/>
  <c r="EF285" i="2"/>
  <c r="ED285" i="2"/>
  <c r="EA285" i="2"/>
  <c r="DY285" i="2"/>
  <c r="DP285" i="2"/>
  <c r="DN285" i="2"/>
  <c r="DD285" i="2"/>
  <c r="CY285" i="2"/>
  <c r="CV285" i="2"/>
  <c r="CQ285" i="2"/>
  <c r="CP285" i="2"/>
  <c r="CA285" i="2"/>
  <c r="BY285" i="2"/>
  <c r="BT285" i="2"/>
  <c r="BQ285" i="2"/>
  <c r="BO285" i="2"/>
  <c r="BE285" i="2"/>
  <c r="BD285" i="2"/>
  <c r="AY285" i="2"/>
  <c r="AX285" i="2"/>
  <c r="AW285" i="2"/>
  <c r="AU285" i="2"/>
  <c r="AR285" i="2"/>
  <c r="AP285" i="2"/>
  <c r="AG285" i="2"/>
  <c r="AE285" i="2"/>
  <c r="V285" i="2"/>
  <c r="Q285" i="2"/>
  <c r="N285" i="2"/>
  <c r="I285" i="2"/>
  <c r="FY284" i="2"/>
  <c r="FT284" i="2"/>
  <c r="FJ284" i="2"/>
  <c r="FD284" i="2"/>
  <c r="EV284" i="2"/>
  <c r="EN284" i="2"/>
  <c r="EH284" i="2"/>
  <c r="EF284" i="2"/>
  <c r="ED284" i="2"/>
  <c r="CV284" i="2"/>
  <c r="CQ284" i="2"/>
  <c r="BT284" i="2"/>
  <c r="BQ284" i="2"/>
  <c r="BD284" i="2"/>
  <c r="AY284" i="2"/>
  <c r="AW284" i="2"/>
  <c r="AU284" i="2"/>
  <c r="N284" i="2"/>
  <c r="I284" i="2"/>
  <c r="FY283" i="2"/>
  <c r="FX283" i="2"/>
  <c r="EV283" i="2"/>
  <c r="CQ283" i="2"/>
  <c r="CP283" i="2"/>
  <c r="BW283" i="2"/>
  <c r="BS283" i="2"/>
  <c r="I283" i="2"/>
  <c r="FY282" i="2"/>
  <c r="FX282" i="2"/>
  <c r="FT282" i="2"/>
  <c r="FJ282" i="2"/>
  <c r="EQ282" i="2"/>
  <c r="EN282" i="2"/>
  <c r="EI282" i="2"/>
  <c r="EH282" i="2"/>
  <c r="EG282" i="2"/>
  <c r="EF282" i="2"/>
  <c r="ED282" i="2"/>
  <c r="CY282" i="2"/>
  <c r="CV282" i="2"/>
  <c r="CQ282" i="2"/>
  <c r="CP282" i="2"/>
  <c r="BG282" i="2"/>
  <c r="BD282" i="2"/>
  <c r="AZ282" i="2"/>
  <c r="AY282" i="2"/>
  <c r="AX282" i="2"/>
  <c r="AW282" i="2"/>
  <c r="AU282" i="2"/>
  <c r="Q282" i="2"/>
  <c r="N282" i="2"/>
  <c r="I282" i="2"/>
  <c r="FY281" i="2"/>
  <c r="FX281" i="2"/>
  <c r="FT281" i="2"/>
  <c r="FJ281" i="2"/>
  <c r="EN281" i="2"/>
  <c r="EK281" i="2"/>
  <c r="EI281" i="2"/>
  <c r="EH281" i="2"/>
  <c r="EG281" i="2"/>
  <c r="EF281" i="2"/>
  <c r="EE281" i="2"/>
  <c r="ED281" i="2"/>
  <c r="CY281" i="2"/>
  <c r="CV281" i="2"/>
  <c r="CQ281" i="2"/>
  <c r="CP281" i="2"/>
  <c r="BT281" i="2"/>
  <c r="BD281" i="2"/>
  <c r="BB281" i="2"/>
  <c r="AZ281" i="2"/>
  <c r="AY281" i="2"/>
  <c r="AX281" i="2"/>
  <c r="AW281" i="2"/>
  <c r="AV281" i="2"/>
  <c r="AU281" i="2"/>
  <c r="Q281" i="2"/>
  <c r="N281" i="2"/>
  <c r="I281" i="2"/>
  <c r="FY280" i="2"/>
  <c r="FX280" i="2"/>
  <c r="FT280" i="2"/>
  <c r="FJ280" i="2"/>
  <c r="FC280" i="2"/>
  <c r="FB280" i="2"/>
  <c r="EO280" i="2"/>
  <c r="EN280" i="2"/>
  <c r="EK280" i="2"/>
  <c r="EI280" i="2"/>
  <c r="EH280" i="2"/>
  <c r="EG280" i="2"/>
  <c r="EF280" i="2"/>
  <c r="EE280" i="2"/>
  <c r="ED280" i="2"/>
  <c r="CY280" i="2"/>
  <c r="CV280" i="2"/>
  <c r="CQ280" i="2"/>
  <c r="CP280" i="2"/>
  <c r="CA280" i="2"/>
  <c r="BY280" i="2"/>
  <c r="BT280" i="2"/>
  <c r="BP280" i="2"/>
  <c r="BO280" i="2"/>
  <c r="BE280" i="2"/>
  <c r="BD280" i="2"/>
  <c r="BB280" i="2"/>
  <c r="AZ280" i="2"/>
  <c r="AY280" i="2"/>
  <c r="AX280" i="2"/>
  <c r="AW280" i="2"/>
  <c r="AV280" i="2"/>
  <c r="AU280" i="2"/>
  <c r="Q280" i="2"/>
  <c r="N280" i="2"/>
  <c r="I280" i="2"/>
  <c r="FY279" i="2"/>
  <c r="FT279" i="2"/>
  <c r="FJ279" i="2"/>
  <c r="FD279" i="2"/>
  <c r="EO279" i="2"/>
  <c r="EN279" i="2"/>
  <c r="EK279" i="2"/>
  <c r="EH279" i="2"/>
  <c r="EG279" i="2"/>
  <c r="EF279" i="2"/>
  <c r="EE279" i="2"/>
  <c r="ED279" i="2"/>
  <c r="EA279" i="2"/>
  <c r="DY279" i="2"/>
  <c r="DP279" i="2"/>
  <c r="DN279" i="2"/>
  <c r="DG279" i="2"/>
  <c r="DE279" i="2"/>
  <c r="DD279" i="2"/>
  <c r="CY279" i="2"/>
  <c r="CV279" i="2"/>
  <c r="CQ279" i="2"/>
  <c r="CA279" i="2"/>
  <c r="BT279" i="2"/>
  <c r="BS279" i="2"/>
  <c r="BQ279" i="2"/>
  <c r="BE279" i="2"/>
  <c r="BD279" i="2"/>
  <c r="BB279" i="2"/>
  <c r="AY279" i="2"/>
  <c r="AX279" i="2"/>
  <c r="AW279" i="2"/>
  <c r="AV279" i="2"/>
  <c r="AU279" i="2"/>
  <c r="AR279" i="2"/>
  <c r="AP279" i="2"/>
  <c r="AG279" i="2"/>
  <c r="AE279" i="2"/>
  <c r="Y279" i="2"/>
  <c r="W279" i="2"/>
  <c r="V279" i="2"/>
  <c r="Q279" i="2"/>
  <c r="N279" i="2"/>
  <c r="I279" i="2"/>
  <c r="FY278" i="2"/>
  <c r="FX278" i="2"/>
  <c r="FT278" i="2"/>
  <c r="FJ278" i="2"/>
  <c r="FH278" i="2"/>
  <c r="EY278" i="2"/>
  <c r="EX278" i="2"/>
  <c r="EQ278" i="2"/>
  <c r="EP278" i="2"/>
  <c r="EN278" i="2"/>
  <c r="EK278" i="2"/>
  <c r="EI278" i="2"/>
  <c r="EH278" i="2"/>
  <c r="EG278" i="2"/>
  <c r="EF278" i="2"/>
  <c r="EE278" i="2"/>
  <c r="ED278" i="2"/>
  <c r="DY278" i="2"/>
  <c r="DF278" i="2"/>
  <c r="DD278" i="2"/>
  <c r="CY278" i="2"/>
  <c r="CV278" i="2"/>
  <c r="CQ278" i="2"/>
  <c r="CP278" i="2"/>
  <c r="CB278" i="2"/>
  <c r="BY278" i="2"/>
  <c r="BT278" i="2"/>
  <c r="BL278" i="2"/>
  <c r="BK278" i="2"/>
  <c r="BG278" i="2"/>
  <c r="BF278" i="2"/>
  <c r="BD278" i="2"/>
  <c r="BB278" i="2"/>
  <c r="AZ278" i="2"/>
  <c r="AY278" i="2"/>
  <c r="AX278" i="2"/>
  <c r="AW278" i="2"/>
  <c r="AV278" i="2"/>
  <c r="AU278" i="2"/>
  <c r="AP278" i="2"/>
  <c r="X278" i="2"/>
  <c r="V278" i="2"/>
  <c r="Q278" i="2"/>
  <c r="N278" i="2"/>
  <c r="I278" i="2"/>
  <c r="FY277" i="2"/>
  <c r="FX277" i="2"/>
  <c r="FT277" i="2"/>
  <c r="FJ277" i="2"/>
  <c r="EQ277" i="2"/>
  <c r="EO277" i="2"/>
  <c r="EN277" i="2"/>
  <c r="EI277" i="2"/>
  <c r="EH277" i="2"/>
  <c r="EG277" i="2"/>
  <c r="EF277" i="2"/>
  <c r="EE277" i="2"/>
  <c r="ED277" i="2"/>
  <c r="DP277" i="2"/>
  <c r="DN277" i="2"/>
  <c r="CY277" i="2"/>
  <c r="CV277" i="2"/>
  <c r="CQ277" i="2"/>
  <c r="CP277" i="2"/>
  <c r="BT277" i="2"/>
  <c r="BG277" i="2"/>
  <c r="BE277" i="2"/>
  <c r="BD277" i="2"/>
  <c r="AZ277" i="2"/>
  <c r="AY277" i="2"/>
  <c r="AX277" i="2"/>
  <c r="AW277" i="2"/>
  <c r="AV277" i="2"/>
  <c r="AU277" i="2"/>
  <c r="AG277" i="2"/>
  <c r="AE277" i="2"/>
  <c r="Q277" i="2"/>
  <c r="N277" i="2"/>
  <c r="I277" i="2"/>
  <c r="FY276" i="2"/>
  <c r="FX276" i="2"/>
  <c r="FT276" i="2"/>
  <c r="FJ276" i="2"/>
  <c r="FD276" i="2"/>
  <c r="FB276" i="2"/>
  <c r="EV276" i="2"/>
  <c r="EN276" i="2"/>
  <c r="EK276" i="2"/>
  <c r="EI276" i="2"/>
  <c r="EH276" i="2"/>
  <c r="EF276" i="2"/>
  <c r="EE276" i="2"/>
  <c r="ED276" i="2"/>
  <c r="EA276" i="2"/>
  <c r="DY276" i="2"/>
  <c r="DP276" i="2"/>
  <c r="DN276" i="2"/>
  <c r="DD276" i="2"/>
  <c r="CY276" i="2"/>
  <c r="CV276" i="2"/>
  <c r="CQ276" i="2"/>
  <c r="CP276" i="2"/>
  <c r="CA276" i="2"/>
  <c r="BY276" i="2"/>
  <c r="BQ276" i="2"/>
  <c r="BO276" i="2"/>
  <c r="BD276" i="2"/>
  <c r="BB276" i="2"/>
  <c r="AZ276" i="2"/>
  <c r="AY276" i="2"/>
  <c r="AW276" i="2"/>
  <c r="AV276" i="2"/>
  <c r="AU276" i="2"/>
  <c r="AR276" i="2"/>
  <c r="AP276" i="2"/>
  <c r="AG276" i="2"/>
  <c r="AE276" i="2"/>
  <c r="V276" i="2"/>
  <c r="Q276" i="2"/>
  <c r="N276" i="2"/>
  <c r="I276" i="2"/>
  <c r="FY275" i="2"/>
  <c r="FT275" i="2"/>
  <c r="FJ275" i="2"/>
  <c r="EU275" i="2"/>
  <c r="ET275" i="2"/>
  <c r="EP275" i="2"/>
  <c r="EN275" i="2"/>
  <c r="EK275" i="2"/>
  <c r="ED275" i="2"/>
  <c r="DN275" i="2"/>
  <c r="CV275" i="2"/>
  <c r="CQ275" i="2"/>
  <c r="BJ275" i="2"/>
  <c r="BI275" i="2"/>
  <c r="BF275" i="2"/>
  <c r="BD275" i="2"/>
  <c r="BB275" i="2"/>
  <c r="AU275" i="2"/>
  <c r="AE275" i="2"/>
  <c r="N275" i="2"/>
  <c r="I275" i="2"/>
  <c r="FY274" i="2"/>
  <c r="FX274" i="2"/>
  <c r="FT274" i="2"/>
  <c r="FJ274" i="2"/>
  <c r="FC274" i="2"/>
  <c r="FB274" i="2"/>
  <c r="EN274" i="2"/>
  <c r="EK274" i="2"/>
  <c r="EI274" i="2"/>
  <c r="EH274" i="2"/>
  <c r="EF274" i="2"/>
  <c r="ED274" i="2"/>
  <c r="EA274" i="2"/>
  <c r="DY274" i="2"/>
  <c r="DP274" i="2"/>
  <c r="DN274" i="2"/>
  <c r="DE274" i="2"/>
  <c r="CY274" i="2"/>
  <c r="CV274" i="2"/>
  <c r="CQ274" i="2"/>
  <c r="CP274" i="2"/>
  <c r="CA274" i="2"/>
  <c r="BY274" i="2"/>
  <c r="BV274" i="2"/>
  <c r="BU274" i="2"/>
  <c r="BT274" i="2"/>
  <c r="BS274" i="2"/>
  <c r="BP274" i="2"/>
  <c r="BO274" i="2"/>
  <c r="BD274" i="2"/>
  <c r="BB274" i="2"/>
  <c r="AZ274" i="2"/>
  <c r="AY274" i="2"/>
  <c r="AW274" i="2"/>
  <c r="AU274" i="2"/>
  <c r="AR274" i="2"/>
  <c r="AP274" i="2"/>
  <c r="AG274" i="2"/>
  <c r="AE274" i="2"/>
  <c r="W274" i="2"/>
  <c r="Q274" i="2"/>
  <c r="N274" i="2"/>
  <c r="I274" i="2"/>
  <c r="FY273" i="2"/>
  <c r="FX273" i="2"/>
  <c r="FT273" i="2"/>
  <c r="FI273" i="2"/>
  <c r="EN273" i="2"/>
  <c r="ED273" i="2"/>
  <c r="DY273" i="2"/>
  <c r="CV273" i="2"/>
  <c r="CQ273" i="2"/>
  <c r="CP273" i="2"/>
  <c r="CD273" i="2"/>
  <c r="CC273" i="2"/>
  <c r="BW273" i="2"/>
  <c r="BD273" i="2"/>
  <c r="AU273" i="2"/>
  <c r="AP273" i="2"/>
  <c r="N273" i="2"/>
  <c r="I273" i="2"/>
  <c r="CQ272" i="2"/>
  <c r="CC272" i="2"/>
  <c r="BW272" i="2"/>
  <c r="FY271" i="2"/>
  <c r="FT271" i="2"/>
  <c r="FJ271" i="2"/>
  <c r="FD271" i="2"/>
  <c r="FB271" i="2"/>
  <c r="EN271" i="2"/>
  <c r="EH271" i="2"/>
  <c r="EF271" i="2"/>
  <c r="ED271" i="2"/>
  <c r="EA271" i="2"/>
  <c r="DY271" i="2"/>
  <c r="DP271" i="2"/>
  <c r="DN271" i="2"/>
  <c r="DE271" i="2"/>
  <c r="DD271" i="2"/>
  <c r="CY271" i="2"/>
  <c r="CV271" i="2"/>
  <c r="CQ271" i="2"/>
  <c r="BQ271" i="2"/>
  <c r="BO271" i="2"/>
  <c r="BD271" i="2"/>
  <c r="AY271" i="2"/>
  <c r="AW271" i="2"/>
  <c r="AU271" i="2"/>
  <c r="AR271" i="2"/>
  <c r="AP271" i="2"/>
  <c r="AG271" i="2"/>
  <c r="AE271" i="2"/>
  <c r="W271" i="2"/>
  <c r="V271" i="2"/>
  <c r="Q271" i="2"/>
  <c r="N271" i="2"/>
  <c r="I271" i="2"/>
  <c r="FY270" i="2"/>
  <c r="FT270" i="2"/>
  <c r="FJ270" i="2"/>
  <c r="FF270" i="2"/>
  <c r="EO270" i="2"/>
  <c r="EN270" i="2"/>
  <c r="EK270" i="2"/>
  <c r="EH270" i="2"/>
  <c r="EF270" i="2"/>
  <c r="ED270" i="2"/>
  <c r="EA270" i="2"/>
  <c r="DY270" i="2"/>
  <c r="DP270" i="2"/>
  <c r="DN270" i="2"/>
  <c r="DD270" i="2"/>
  <c r="CY270" i="2"/>
  <c r="CV270" i="2"/>
  <c r="CQ270" i="2"/>
  <c r="CA270" i="2"/>
  <c r="BY270" i="2"/>
  <c r="BW270" i="2"/>
  <c r="BU270" i="2"/>
  <c r="BS270" i="2"/>
  <c r="BE270" i="2"/>
  <c r="BD270" i="2"/>
  <c r="BB270" i="2"/>
  <c r="AY270" i="2"/>
  <c r="AW270" i="2"/>
  <c r="AU270" i="2"/>
  <c r="AR270" i="2"/>
  <c r="AP270" i="2"/>
  <c r="AG270" i="2"/>
  <c r="AE270" i="2"/>
  <c r="V270" i="2"/>
  <c r="Q270" i="2"/>
  <c r="N270" i="2"/>
  <c r="I270" i="2"/>
  <c r="FY269" i="2"/>
  <c r="FX269" i="2"/>
  <c r="FT269" i="2"/>
  <c r="FJ269" i="2"/>
  <c r="EO269" i="2"/>
  <c r="EK269" i="2"/>
  <c r="EI269" i="2"/>
  <c r="EH269" i="2"/>
  <c r="EF269" i="2"/>
  <c r="ED269" i="2"/>
  <c r="DY269" i="2"/>
  <c r="CY269" i="2"/>
  <c r="CV269" i="2"/>
  <c r="CQ269" i="2"/>
  <c r="CP269" i="2"/>
  <c r="CA269" i="2"/>
  <c r="BE269" i="2"/>
  <c r="BB269" i="2"/>
  <c r="AZ269" i="2"/>
  <c r="AY269" i="2"/>
  <c r="AW269" i="2"/>
  <c r="AU269" i="2"/>
  <c r="AP269" i="2"/>
  <c r="Q269" i="2"/>
  <c r="N269" i="2"/>
  <c r="I269" i="2"/>
  <c r="FY268" i="2"/>
  <c r="FX268" i="2"/>
  <c r="FT268" i="2"/>
  <c r="FJ268" i="2"/>
  <c r="EV268" i="2"/>
  <c r="EO268" i="2"/>
  <c r="EN268" i="2"/>
  <c r="EH268" i="2"/>
  <c r="EF268" i="2"/>
  <c r="ED268" i="2"/>
  <c r="EA268" i="2"/>
  <c r="DY268" i="2"/>
  <c r="DN268" i="2"/>
  <c r="DE268" i="2"/>
  <c r="CY268" i="2"/>
  <c r="CV268" i="2"/>
  <c r="CQ268" i="2"/>
  <c r="CP268" i="2"/>
  <c r="BE268" i="2"/>
  <c r="BD268" i="2"/>
  <c r="AY268" i="2"/>
  <c r="AW268" i="2"/>
  <c r="AU268" i="2"/>
  <c r="AR268" i="2"/>
  <c r="AP268" i="2"/>
  <c r="AE268" i="2"/>
  <c r="W268" i="2"/>
  <c r="Q268" i="2"/>
  <c r="N268" i="2"/>
  <c r="I268" i="2"/>
  <c r="FY266" i="2"/>
  <c r="FT266" i="2"/>
  <c r="FJ266" i="2"/>
  <c r="FB266" i="2"/>
  <c r="EN266" i="2"/>
  <c r="EK266" i="2"/>
  <c r="EH266" i="2"/>
  <c r="EF266" i="2"/>
  <c r="ED266" i="2"/>
  <c r="DP266" i="2"/>
  <c r="DN266" i="2"/>
  <c r="CY266" i="2"/>
  <c r="CV266" i="2"/>
  <c r="CQ266" i="2"/>
  <c r="BZ266" i="2"/>
  <c r="BW266" i="2"/>
  <c r="BO266" i="2"/>
  <c r="BD266" i="2"/>
  <c r="BB266" i="2"/>
  <c r="AY266" i="2"/>
  <c r="AW266" i="2"/>
  <c r="AU266" i="2"/>
  <c r="AG266" i="2"/>
  <c r="AE266" i="2"/>
  <c r="Q266" i="2"/>
  <c r="N266" i="2"/>
  <c r="I266" i="2"/>
  <c r="FY424" i="2"/>
  <c r="CR424" i="2"/>
  <c r="CQ424" i="2"/>
  <c r="J424" i="2"/>
  <c r="I424" i="2"/>
  <c r="H424" i="2"/>
  <c r="FY267" i="2"/>
  <c r="FX267" i="2"/>
  <c r="FT267" i="2"/>
  <c r="FJ267" i="2"/>
  <c r="FE267" i="2"/>
  <c r="FD267" i="2"/>
  <c r="EO267" i="2"/>
  <c r="EN267" i="2"/>
  <c r="EG267" i="2"/>
  <c r="EF267" i="2"/>
  <c r="ED267" i="2"/>
  <c r="EA267" i="2"/>
  <c r="DY267" i="2"/>
  <c r="DP267" i="2"/>
  <c r="DN267" i="2"/>
  <c r="DD267" i="2"/>
  <c r="CY267" i="2"/>
  <c r="CV267" i="2"/>
  <c r="CQ267" i="2"/>
  <c r="CP267" i="2"/>
  <c r="CA267" i="2"/>
  <c r="BY267" i="2"/>
  <c r="BR267" i="2"/>
  <c r="BQ267" i="2"/>
  <c r="BE267" i="2"/>
  <c r="BD267" i="2"/>
  <c r="AX267" i="2"/>
  <c r="AW267" i="2"/>
  <c r="AU267" i="2"/>
  <c r="AR267" i="2"/>
  <c r="AP267" i="2"/>
  <c r="AG267" i="2"/>
  <c r="AE267" i="2"/>
  <c r="V267" i="2"/>
  <c r="Q267" i="2"/>
  <c r="N267" i="2"/>
  <c r="I267" i="2"/>
  <c r="FY265" i="2"/>
  <c r="FT265" i="2"/>
  <c r="FJ265" i="2"/>
  <c r="EN265" i="2"/>
  <c r="EK265" i="2"/>
  <c r="EH265" i="2"/>
  <c r="EF265" i="2"/>
  <c r="ED265" i="2"/>
  <c r="DH265" i="2"/>
  <c r="CY265" i="2"/>
  <c r="CV265" i="2"/>
  <c r="CQ265" i="2"/>
  <c r="CA265" i="2"/>
  <c r="BX265" i="2"/>
  <c r="BT265" i="2"/>
  <c r="BS265" i="2"/>
  <c r="BD265" i="2"/>
  <c r="BB265" i="2"/>
  <c r="AY265" i="2"/>
  <c r="AW265" i="2"/>
  <c r="AU265" i="2"/>
  <c r="Z265" i="2"/>
  <c r="Q265" i="2"/>
  <c r="N265" i="2"/>
  <c r="I265" i="2"/>
  <c r="FY264" i="2"/>
  <c r="FT264" i="2"/>
  <c r="FJ264" i="2"/>
  <c r="EN264" i="2"/>
  <c r="EK264" i="2"/>
  <c r="EI264" i="2"/>
  <c r="EH264" i="2"/>
  <c r="EF264" i="2"/>
  <c r="EE264" i="2"/>
  <c r="ED264" i="2"/>
  <c r="EA264" i="2"/>
  <c r="DY264" i="2"/>
  <c r="DG264" i="2"/>
  <c r="DF264" i="2"/>
  <c r="DE264" i="2"/>
  <c r="DD264" i="2"/>
  <c r="CY264" i="2"/>
  <c r="CV264" i="2"/>
  <c r="CQ264" i="2"/>
  <c r="BY264" i="2"/>
  <c r="BD264" i="2"/>
  <c r="BB264" i="2"/>
  <c r="AZ264" i="2"/>
  <c r="AY264" i="2"/>
  <c r="AW264" i="2"/>
  <c r="AV264" i="2"/>
  <c r="AU264" i="2"/>
  <c r="AR264" i="2"/>
  <c r="AP264" i="2"/>
  <c r="Y264" i="2"/>
  <c r="X264" i="2"/>
  <c r="W264" i="2"/>
  <c r="V264" i="2"/>
  <c r="Q264" i="2"/>
  <c r="N264" i="2"/>
  <c r="I264" i="2"/>
  <c r="FY263" i="2"/>
  <c r="FX263" i="2"/>
  <c r="FT263" i="2"/>
  <c r="FJ263" i="2"/>
  <c r="FF263" i="2"/>
  <c r="FE263" i="2"/>
  <c r="EO263" i="2"/>
  <c r="EN263" i="2"/>
  <c r="EK263" i="2"/>
  <c r="EI263" i="2"/>
  <c r="EH263" i="2"/>
  <c r="EF263" i="2"/>
  <c r="EE263" i="2"/>
  <c r="ED263" i="2"/>
  <c r="EA263" i="2"/>
  <c r="DY263" i="2"/>
  <c r="DP263" i="2"/>
  <c r="DN263" i="2"/>
  <c r="DE263" i="2"/>
  <c r="CY263" i="2"/>
  <c r="CV263" i="2"/>
  <c r="CQ263" i="2"/>
  <c r="CP263" i="2"/>
  <c r="CC263" i="2"/>
  <c r="CA263" i="2"/>
  <c r="BX263" i="2"/>
  <c r="BW263" i="2"/>
  <c r="BV263" i="2"/>
  <c r="BU263" i="2"/>
  <c r="BS263" i="2"/>
  <c r="BR263" i="2"/>
  <c r="BE263" i="2"/>
  <c r="BD263" i="2"/>
  <c r="BB263" i="2"/>
  <c r="AZ263" i="2"/>
  <c r="AY263" i="2"/>
  <c r="AW263" i="2"/>
  <c r="AV263" i="2"/>
  <c r="AU263" i="2"/>
  <c r="AR263" i="2"/>
  <c r="AP263" i="2"/>
  <c r="AG263" i="2"/>
  <c r="AE263" i="2"/>
  <c r="W263" i="2"/>
  <c r="Q263" i="2"/>
  <c r="N263" i="2"/>
  <c r="I263" i="2"/>
  <c r="H263" i="2"/>
  <c r="FY262" i="2"/>
  <c r="FT262" i="2"/>
  <c r="FJ262" i="2"/>
  <c r="FD262" i="2"/>
  <c r="FC262" i="2"/>
  <c r="FB262" i="2"/>
  <c r="EO262" i="2"/>
  <c r="EN262" i="2"/>
  <c r="EK262" i="2"/>
  <c r="EI262" i="2"/>
  <c r="EH262" i="2"/>
  <c r="EG262" i="2"/>
  <c r="EF262" i="2"/>
  <c r="ED262" i="2"/>
  <c r="EA262" i="2"/>
  <c r="DY262" i="2"/>
  <c r="DP262" i="2"/>
  <c r="DN262" i="2"/>
  <c r="DG262" i="2"/>
  <c r="DF262" i="2"/>
  <c r="DE262" i="2"/>
  <c r="DD262" i="2"/>
  <c r="DC262" i="2"/>
  <c r="CY262" i="2"/>
  <c r="CV262" i="2"/>
  <c r="CQ262" i="2"/>
  <c r="CA262" i="2"/>
  <c r="BY262" i="2"/>
  <c r="BT262" i="2"/>
  <c r="BQ262" i="2"/>
  <c r="BP262" i="2"/>
  <c r="BO262" i="2"/>
  <c r="BE262" i="2"/>
  <c r="BD262" i="2"/>
  <c r="BB262" i="2"/>
  <c r="AZ262" i="2"/>
  <c r="AY262" i="2"/>
  <c r="AX262" i="2"/>
  <c r="AW262" i="2"/>
  <c r="AU262" i="2"/>
  <c r="AR262" i="2"/>
  <c r="AP262" i="2"/>
  <c r="AG262" i="2"/>
  <c r="AE262" i="2"/>
  <c r="Y262" i="2"/>
  <c r="X262" i="2"/>
  <c r="W262" i="2"/>
  <c r="V262" i="2"/>
  <c r="U262" i="2"/>
  <c r="Q262" i="2"/>
  <c r="N262" i="2"/>
  <c r="I262" i="2"/>
  <c r="FY261" i="2"/>
  <c r="FX261" i="2"/>
  <c r="FT261" i="2"/>
  <c r="FJ261" i="2"/>
  <c r="FE261" i="2"/>
  <c r="FD261" i="2"/>
  <c r="FB261" i="2"/>
  <c r="EQ261" i="2"/>
  <c r="EO261" i="2"/>
  <c r="EN261" i="2"/>
  <c r="EF261" i="2"/>
  <c r="ED261" i="2"/>
  <c r="EA261" i="2"/>
  <c r="DY261" i="2"/>
  <c r="DP261" i="2"/>
  <c r="DN261" i="2"/>
  <c r="DG261" i="2"/>
  <c r="DF261" i="2"/>
  <c r="DD261" i="2"/>
  <c r="CY261" i="2"/>
  <c r="CV261" i="2"/>
  <c r="CQ261" i="2"/>
  <c r="CP261" i="2"/>
  <c r="BR261" i="2"/>
  <c r="BQ261" i="2"/>
  <c r="BO261" i="2"/>
  <c r="BG261" i="2"/>
  <c r="BE261" i="2"/>
  <c r="BD261" i="2"/>
  <c r="AW261" i="2"/>
  <c r="AU261" i="2"/>
  <c r="AR261" i="2"/>
  <c r="AP261" i="2"/>
  <c r="AG261" i="2"/>
  <c r="AE261" i="2"/>
  <c r="Y261" i="2"/>
  <c r="X261" i="2"/>
  <c r="V261" i="2"/>
  <c r="Q261" i="2"/>
  <c r="N261" i="2"/>
  <c r="I261" i="2"/>
  <c r="FY260" i="2"/>
  <c r="FT260" i="2"/>
  <c r="FJ260" i="2"/>
  <c r="FD260" i="2"/>
  <c r="FB260" i="2"/>
  <c r="EO260" i="2"/>
  <c r="EN260" i="2"/>
  <c r="EK260" i="2"/>
  <c r="EH260" i="2"/>
  <c r="EF260" i="2"/>
  <c r="EE260" i="2"/>
  <c r="ED260" i="2"/>
  <c r="EA260" i="2"/>
  <c r="DY260" i="2"/>
  <c r="DP260" i="2"/>
  <c r="DN260" i="2"/>
  <c r="DE260" i="2"/>
  <c r="DD260" i="2"/>
  <c r="CY260" i="2"/>
  <c r="CV260" i="2"/>
  <c r="CQ260" i="2"/>
  <c r="CA260" i="2"/>
  <c r="BY260" i="2"/>
  <c r="BT260" i="2"/>
  <c r="BQ260" i="2"/>
  <c r="BO260" i="2"/>
  <c r="BE260" i="2"/>
  <c r="BD260" i="2"/>
  <c r="BB260" i="2"/>
  <c r="AY260" i="2"/>
  <c r="AW260" i="2"/>
  <c r="AV260" i="2"/>
  <c r="AU260" i="2"/>
  <c r="AR260" i="2"/>
  <c r="AP260" i="2"/>
  <c r="AG260" i="2"/>
  <c r="AE260" i="2"/>
  <c r="W260" i="2"/>
  <c r="V260" i="2"/>
  <c r="Q260" i="2"/>
  <c r="N260" i="2"/>
  <c r="I260" i="2"/>
  <c r="FY259" i="2"/>
  <c r="FX259" i="2"/>
  <c r="FT259" i="2"/>
  <c r="FJ259" i="2"/>
  <c r="EN259" i="2"/>
  <c r="EI259" i="2"/>
  <c r="EH259" i="2"/>
  <c r="EF259" i="2"/>
  <c r="ED259" i="2"/>
  <c r="CY259" i="2"/>
  <c r="CV259" i="2"/>
  <c r="CQ259" i="2"/>
  <c r="CP259" i="2"/>
  <c r="CA259" i="2"/>
  <c r="BY259" i="2"/>
  <c r="BT259" i="2"/>
  <c r="BS259" i="2"/>
  <c r="BD259" i="2"/>
  <c r="AZ259" i="2"/>
  <c r="AY259" i="2"/>
  <c r="AW259" i="2"/>
  <c r="AU259" i="2"/>
  <c r="Q259" i="2"/>
  <c r="N259" i="2"/>
  <c r="I259" i="2"/>
  <c r="FY258" i="2"/>
  <c r="FT258" i="2"/>
  <c r="FJ258" i="2"/>
  <c r="EO258" i="2"/>
  <c r="EN258" i="2"/>
  <c r="EK258" i="2"/>
  <c r="EH258" i="2"/>
  <c r="EG258" i="2"/>
  <c r="EF258" i="2"/>
  <c r="ED258" i="2"/>
  <c r="EA258" i="2"/>
  <c r="DY258" i="2"/>
  <c r="DP258" i="2"/>
  <c r="DN258" i="2"/>
  <c r="DF258" i="2"/>
  <c r="DE258" i="2"/>
  <c r="DD258" i="2"/>
  <c r="CY258" i="2"/>
  <c r="CV258" i="2"/>
  <c r="CQ258" i="2"/>
  <c r="CA258" i="2"/>
  <c r="BY258" i="2"/>
  <c r="BT258" i="2"/>
  <c r="BE258" i="2"/>
  <c r="BD258" i="2"/>
  <c r="BB258" i="2"/>
  <c r="AY258" i="2"/>
  <c r="AX258" i="2"/>
  <c r="AW258" i="2"/>
  <c r="AU258" i="2"/>
  <c r="AR258" i="2"/>
  <c r="AP258" i="2"/>
  <c r="AG258" i="2"/>
  <c r="AE258" i="2"/>
  <c r="X258" i="2"/>
  <c r="W258" i="2"/>
  <c r="V258" i="2"/>
  <c r="Q258" i="2"/>
  <c r="N258" i="2"/>
  <c r="I258" i="2"/>
  <c r="FY257" i="2"/>
  <c r="FT257" i="2"/>
  <c r="FJ257" i="2"/>
  <c r="FF257" i="2"/>
  <c r="ER257" i="2"/>
  <c r="EN257" i="2"/>
  <c r="EK257" i="2"/>
  <c r="EH257" i="2"/>
  <c r="EG257" i="2"/>
  <c r="EF257" i="2"/>
  <c r="ED257" i="2"/>
  <c r="EA257" i="2"/>
  <c r="DY257" i="2"/>
  <c r="DP257" i="2"/>
  <c r="DN257" i="2"/>
  <c r="DJ257" i="2"/>
  <c r="DG257" i="2"/>
  <c r="DF257" i="2"/>
  <c r="DE257" i="2"/>
  <c r="DD257" i="2"/>
  <c r="CY257" i="2"/>
  <c r="CV257" i="2"/>
  <c r="CQ257" i="2"/>
  <c r="CA257" i="2"/>
  <c r="BY257" i="2"/>
  <c r="BX257" i="2"/>
  <c r="BV257" i="2"/>
  <c r="BU257" i="2"/>
  <c r="BT257" i="2"/>
  <c r="BS257" i="2"/>
  <c r="BD257" i="2"/>
  <c r="BB257" i="2"/>
  <c r="AY257" i="2"/>
  <c r="AX257" i="2"/>
  <c r="AW257" i="2"/>
  <c r="AU257" i="2"/>
  <c r="AR257" i="2"/>
  <c r="AP257" i="2"/>
  <c r="AG257" i="2"/>
  <c r="AE257" i="2"/>
  <c r="AA257" i="2"/>
  <c r="Y257" i="2"/>
  <c r="X257" i="2"/>
  <c r="W257" i="2"/>
  <c r="V257" i="2"/>
  <c r="Q257" i="2"/>
  <c r="N257" i="2"/>
  <c r="I257" i="2"/>
  <c r="FY256" i="2"/>
  <c r="FT256" i="2"/>
  <c r="FJ256" i="2"/>
  <c r="FD256" i="2"/>
  <c r="FC256" i="2"/>
  <c r="FB256" i="2"/>
  <c r="EN256" i="2"/>
  <c r="EI256" i="2"/>
  <c r="EH256" i="2"/>
  <c r="EG256" i="2"/>
  <c r="EF256" i="2"/>
  <c r="EE256" i="2"/>
  <c r="ED256" i="2"/>
  <c r="EA256" i="2"/>
  <c r="DY256" i="2"/>
  <c r="DP256" i="2"/>
  <c r="DN256" i="2"/>
  <c r="DE256" i="2"/>
  <c r="DD256" i="2"/>
  <c r="CY256" i="2"/>
  <c r="CV256" i="2"/>
  <c r="CQ256" i="2"/>
  <c r="CA256" i="2"/>
  <c r="BT256" i="2"/>
  <c r="BQ256" i="2"/>
  <c r="BP256" i="2"/>
  <c r="BO256" i="2"/>
  <c r="BD256" i="2"/>
  <c r="AZ256" i="2"/>
  <c r="AY256" i="2"/>
  <c r="AX256" i="2"/>
  <c r="AW256" i="2"/>
  <c r="AV256" i="2"/>
  <c r="AU256" i="2"/>
  <c r="AR256" i="2"/>
  <c r="AP256" i="2"/>
  <c r="AG256" i="2"/>
  <c r="AE256" i="2"/>
  <c r="W256" i="2"/>
  <c r="V256" i="2"/>
  <c r="Q256" i="2"/>
  <c r="N256" i="2"/>
  <c r="I256" i="2"/>
  <c r="FY255" i="2"/>
  <c r="FT255" i="2"/>
  <c r="FJ255" i="2"/>
  <c r="EQ255" i="2"/>
  <c r="EN255" i="2"/>
  <c r="EK255" i="2"/>
  <c r="EI255" i="2"/>
  <c r="EH255" i="2"/>
  <c r="EF255" i="2"/>
  <c r="ED255" i="2"/>
  <c r="EA255" i="2"/>
  <c r="DP255" i="2"/>
  <c r="DN255" i="2"/>
  <c r="DH255" i="2"/>
  <c r="DF255" i="2"/>
  <c r="DE255" i="2"/>
  <c r="DD255" i="2"/>
  <c r="CY255" i="2"/>
  <c r="CV255" i="2"/>
  <c r="CQ255" i="2"/>
  <c r="CA255" i="2"/>
  <c r="BT255" i="2"/>
  <c r="BS255" i="2"/>
  <c r="BG255" i="2"/>
  <c r="BD255" i="2"/>
  <c r="BB255" i="2"/>
  <c r="AZ255" i="2"/>
  <c r="AY255" i="2"/>
  <c r="AW255" i="2"/>
  <c r="AU255" i="2"/>
  <c r="AR255" i="2"/>
  <c r="AG255" i="2"/>
  <c r="AE255" i="2"/>
  <c r="Z255" i="2"/>
  <c r="X255" i="2"/>
  <c r="W255" i="2"/>
  <c r="V255" i="2"/>
  <c r="Q255" i="2"/>
  <c r="N255" i="2"/>
  <c r="I255" i="2"/>
  <c r="FY254" i="2"/>
  <c r="FT254" i="2"/>
  <c r="FJ254" i="2"/>
  <c r="FE254" i="2"/>
  <c r="FD254" i="2"/>
  <c r="EN254" i="2"/>
  <c r="EK254" i="2"/>
  <c r="EF254" i="2"/>
  <c r="ED254" i="2"/>
  <c r="EA254" i="2"/>
  <c r="DY254" i="2"/>
  <c r="DP254" i="2"/>
  <c r="DN254" i="2"/>
  <c r="DD254" i="2"/>
  <c r="CY254" i="2"/>
  <c r="CV254" i="2"/>
  <c r="CQ254" i="2"/>
  <c r="CC254" i="2"/>
  <c r="CA254" i="2"/>
  <c r="BZ254" i="2"/>
  <c r="BY254" i="2"/>
  <c r="BW254" i="2"/>
  <c r="BT254" i="2"/>
  <c r="BS254" i="2"/>
  <c r="BR254" i="2"/>
  <c r="BQ254" i="2"/>
  <c r="BD254" i="2"/>
  <c r="BB254" i="2"/>
  <c r="AW254" i="2"/>
  <c r="AU254" i="2"/>
  <c r="AR254" i="2"/>
  <c r="AP254" i="2"/>
  <c r="AG254" i="2"/>
  <c r="AE254" i="2"/>
  <c r="V254" i="2"/>
  <c r="Q254" i="2"/>
  <c r="N254" i="2"/>
  <c r="I254" i="2"/>
  <c r="FY253" i="2"/>
  <c r="FT253" i="2"/>
  <c r="FJ253" i="2"/>
  <c r="FD253" i="2"/>
  <c r="FB253" i="2"/>
  <c r="EO253" i="2"/>
  <c r="EN253" i="2"/>
  <c r="EK253" i="2"/>
  <c r="EH253" i="2"/>
  <c r="EF253" i="2"/>
  <c r="ED253" i="2"/>
  <c r="EA253" i="2"/>
  <c r="DY253" i="2"/>
  <c r="DP253" i="2"/>
  <c r="DN253" i="2"/>
  <c r="DF253" i="2"/>
  <c r="DE253" i="2"/>
  <c r="DD253" i="2"/>
  <c r="CY253" i="2"/>
  <c r="CV253" i="2"/>
  <c r="CQ253" i="2"/>
  <c r="CA253" i="2"/>
  <c r="BX253" i="2"/>
  <c r="BT253" i="2"/>
  <c r="BS253" i="2"/>
  <c r="BQ253" i="2"/>
  <c r="BO253" i="2"/>
  <c r="BE253" i="2"/>
  <c r="BD253" i="2"/>
  <c r="BB253" i="2"/>
  <c r="AY253" i="2"/>
  <c r="AW253" i="2"/>
  <c r="AU253" i="2"/>
  <c r="AR253" i="2"/>
  <c r="AP253" i="2"/>
  <c r="AG253" i="2"/>
  <c r="AE253" i="2"/>
  <c r="X253" i="2"/>
  <c r="W253" i="2"/>
  <c r="V253" i="2"/>
  <c r="Q253" i="2"/>
  <c r="N253" i="2"/>
  <c r="I253" i="2"/>
  <c r="FY252" i="2"/>
  <c r="FX252" i="2"/>
  <c r="FT252" i="2"/>
  <c r="FJ252" i="2"/>
  <c r="FD252" i="2"/>
  <c r="FC252" i="2"/>
  <c r="FB252" i="2"/>
  <c r="EO252" i="2"/>
  <c r="EN252" i="2"/>
  <c r="EK252" i="2"/>
  <c r="EH252" i="2"/>
  <c r="EG252" i="2"/>
  <c r="EF252" i="2"/>
  <c r="ED252" i="2"/>
  <c r="EA252" i="2"/>
  <c r="DY252" i="2"/>
  <c r="DP252" i="2"/>
  <c r="DN252" i="2"/>
  <c r="DH252" i="2"/>
  <c r="DG252" i="2"/>
  <c r="DF252" i="2"/>
  <c r="DE252" i="2"/>
  <c r="DD252" i="2"/>
  <c r="CY252" i="2"/>
  <c r="CV252" i="2"/>
  <c r="CQ252" i="2"/>
  <c r="CP252" i="2"/>
  <c r="CA252" i="2"/>
  <c r="BT252" i="2"/>
  <c r="BQ252" i="2"/>
  <c r="BP252" i="2"/>
  <c r="BO252" i="2"/>
  <c r="BE252" i="2"/>
  <c r="BD252" i="2"/>
  <c r="BB252" i="2"/>
  <c r="AY252" i="2"/>
  <c r="AX252" i="2"/>
  <c r="AW252" i="2"/>
  <c r="AU252" i="2"/>
  <c r="AR252" i="2"/>
  <c r="AP252" i="2"/>
  <c r="AG252" i="2"/>
  <c r="AE252" i="2"/>
  <c r="Z252" i="2"/>
  <c r="Y252" i="2"/>
  <c r="X252" i="2"/>
  <c r="W252" i="2"/>
  <c r="V252" i="2"/>
  <c r="Q252" i="2"/>
  <c r="N252" i="2"/>
  <c r="I252" i="2"/>
  <c r="FY423" i="2"/>
  <c r="FJ423" i="2"/>
  <c r="CR423" i="2"/>
  <c r="CQ423" i="2"/>
  <c r="J423" i="2"/>
  <c r="I423" i="2"/>
  <c r="H423" i="2"/>
  <c r="FY251" i="2"/>
  <c r="FT251" i="2"/>
  <c r="FJ251" i="2"/>
  <c r="FD251" i="2"/>
  <c r="FC251" i="2"/>
  <c r="FB251" i="2"/>
  <c r="EV251" i="2"/>
  <c r="EO251" i="2"/>
  <c r="EN251" i="2"/>
  <c r="EK251" i="2"/>
  <c r="EH251" i="2"/>
  <c r="EG251" i="2"/>
  <c r="EF251" i="2"/>
  <c r="ED251" i="2"/>
  <c r="EA251" i="2"/>
  <c r="DY251" i="2"/>
  <c r="DP251" i="2"/>
  <c r="DN251" i="2"/>
  <c r="DH251" i="2"/>
  <c r="DG251" i="2"/>
  <c r="DF251" i="2"/>
  <c r="DE251" i="2"/>
  <c r="DD251" i="2"/>
  <c r="CY251" i="2"/>
  <c r="CV251" i="2"/>
  <c r="CQ251" i="2"/>
  <c r="CA251" i="2"/>
  <c r="BX251" i="2"/>
  <c r="BW251" i="2"/>
  <c r="BT251" i="2"/>
  <c r="BQ251" i="2"/>
  <c r="BP251" i="2"/>
  <c r="BO251" i="2"/>
  <c r="BE251" i="2"/>
  <c r="BD251" i="2"/>
  <c r="BB251" i="2"/>
  <c r="AY251" i="2"/>
  <c r="AX251" i="2"/>
  <c r="AW251" i="2"/>
  <c r="AU251" i="2"/>
  <c r="AR251" i="2"/>
  <c r="AP251" i="2"/>
  <c r="AG251" i="2"/>
  <c r="AE251" i="2"/>
  <c r="Z251" i="2"/>
  <c r="Y251" i="2"/>
  <c r="X251" i="2"/>
  <c r="W251" i="2"/>
  <c r="V251" i="2"/>
  <c r="Q251" i="2"/>
  <c r="N251" i="2"/>
  <c r="I251" i="2"/>
  <c r="FY250" i="2"/>
  <c r="FJ250" i="2"/>
  <c r="ET250" i="2"/>
  <c r="EP250" i="2"/>
  <c r="EN250" i="2"/>
  <c r="ED250" i="2"/>
  <c r="DN250" i="2"/>
  <c r="CY250" i="2"/>
  <c r="CV250" i="2"/>
  <c r="CQ250" i="2"/>
  <c r="BT250" i="2"/>
  <c r="BI250" i="2"/>
  <c r="BF250" i="2"/>
  <c r="BD250" i="2"/>
  <c r="AU250" i="2"/>
  <c r="AE250" i="2"/>
  <c r="Q250" i="2"/>
  <c r="N250" i="2"/>
  <c r="I250" i="2"/>
  <c r="FY249" i="2"/>
  <c r="FJ249" i="2"/>
  <c r="ET249" i="2"/>
  <c r="EP249" i="2"/>
  <c r="EN249" i="2"/>
  <c r="ED249" i="2"/>
  <c r="CV249" i="2"/>
  <c r="CQ249" i="2"/>
  <c r="BI249" i="2"/>
  <c r="BF249" i="2"/>
  <c r="BD249" i="2"/>
  <c r="AU249" i="2"/>
  <c r="N249" i="2"/>
  <c r="I249" i="2"/>
  <c r="FY248" i="2"/>
  <c r="FX248" i="2"/>
  <c r="FJ248" i="2"/>
  <c r="FE248" i="2"/>
  <c r="FD248" i="2"/>
  <c r="ER248" i="2"/>
  <c r="EN248" i="2"/>
  <c r="EK248" i="2"/>
  <c r="EH248" i="2"/>
  <c r="EG248" i="2"/>
  <c r="EF248" i="2"/>
  <c r="ED248" i="2"/>
  <c r="EA248" i="2"/>
  <c r="DY248" i="2"/>
  <c r="DN248" i="2"/>
  <c r="DG248" i="2"/>
  <c r="DD248" i="2"/>
  <c r="CY248" i="2"/>
  <c r="CV248" i="2"/>
  <c r="CQ248" i="2"/>
  <c r="CP248" i="2"/>
  <c r="CA248" i="2"/>
  <c r="BZ248" i="2"/>
  <c r="BW248" i="2"/>
  <c r="BT248" i="2"/>
  <c r="BS248" i="2"/>
  <c r="BR248" i="2"/>
  <c r="BQ248" i="2"/>
  <c r="BD248" i="2"/>
  <c r="BB248" i="2"/>
  <c r="AY248" i="2"/>
  <c r="AX248" i="2"/>
  <c r="AW248" i="2"/>
  <c r="AU248" i="2"/>
  <c r="AR248" i="2"/>
  <c r="AP248" i="2"/>
  <c r="AE248" i="2"/>
  <c r="Y248" i="2"/>
  <c r="V248" i="2"/>
  <c r="Q248" i="2"/>
  <c r="N248" i="2"/>
  <c r="I248" i="2"/>
  <c r="FY247" i="2"/>
  <c r="FX247" i="2"/>
  <c r="FT247" i="2"/>
  <c r="FJ247" i="2"/>
  <c r="FB247" i="2"/>
  <c r="EO247" i="2"/>
  <c r="EN247" i="2"/>
  <c r="EI247" i="2"/>
  <c r="EH247" i="2"/>
  <c r="EF247" i="2"/>
  <c r="ED247" i="2"/>
  <c r="EA247" i="2"/>
  <c r="DY247" i="2"/>
  <c r="DP247" i="2"/>
  <c r="DN247" i="2"/>
  <c r="DG247" i="2"/>
  <c r="DF247" i="2"/>
  <c r="DE247" i="2"/>
  <c r="CY247" i="2"/>
  <c r="CV247" i="2"/>
  <c r="CQ247" i="2"/>
  <c r="CP247" i="2"/>
  <c r="BS247" i="2"/>
  <c r="BO247" i="2"/>
  <c r="BE247" i="2"/>
  <c r="BD247" i="2"/>
  <c r="AZ247" i="2"/>
  <c r="AY247" i="2"/>
  <c r="AW247" i="2"/>
  <c r="AU247" i="2"/>
  <c r="AR247" i="2"/>
  <c r="AP247" i="2"/>
  <c r="AG247" i="2"/>
  <c r="AE247" i="2"/>
  <c r="Y247" i="2"/>
  <c r="X247" i="2"/>
  <c r="W247" i="2"/>
  <c r="Q247" i="2"/>
  <c r="N247" i="2"/>
  <c r="I247" i="2"/>
  <c r="FY246" i="2"/>
  <c r="FT246" i="2"/>
  <c r="FJ246" i="2"/>
  <c r="FB246" i="2"/>
  <c r="EO246" i="2"/>
  <c r="EN246" i="2"/>
  <c r="EK246" i="2"/>
  <c r="EH246" i="2"/>
  <c r="EF246" i="2"/>
  <c r="ED246" i="2"/>
  <c r="DY246" i="2"/>
  <c r="DN246" i="2"/>
  <c r="CV246" i="2"/>
  <c r="CQ246" i="2"/>
  <c r="CC246" i="2"/>
  <c r="CA246" i="2"/>
  <c r="BY246" i="2"/>
  <c r="BW246" i="2"/>
  <c r="BT246" i="2"/>
  <c r="BS246" i="2"/>
  <c r="BO246" i="2"/>
  <c r="BE246" i="2"/>
  <c r="BD246" i="2"/>
  <c r="BB246" i="2"/>
  <c r="AY246" i="2"/>
  <c r="AW246" i="2"/>
  <c r="AU246" i="2"/>
  <c r="AP246" i="2"/>
  <c r="AE246" i="2"/>
  <c r="N246" i="2"/>
  <c r="I246" i="2"/>
  <c r="FY245" i="2"/>
  <c r="FT245" i="2"/>
  <c r="FJ245" i="2"/>
  <c r="FC245" i="2"/>
  <c r="FB245" i="2"/>
  <c r="EO245" i="2"/>
  <c r="EN245" i="2"/>
  <c r="EI245" i="2"/>
  <c r="EH245" i="2"/>
  <c r="EF245" i="2"/>
  <c r="ED245" i="2"/>
  <c r="EA245" i="2"/>
  <c r="DY245" i="2"/>
  <c r="DP245" i="2"/>
  <c r="DN245" i="2"/>
  <c r="DG245" i="2"/>
  <c r="DF245" i="2"/>
  <c r="DE245" i="2"/>
  <c r="CY245" i="2"/>
  <c r="CV245" i="2"/>
  <c r="CQ245" i="2"/>
  <c r="BP245" i="2"/>
  <c r="BO245" i="2"/>
  <c r="BE245" i="2"/>
  <c r="BD245" i="2"/>
  <c r="AZ245" i="2"/>
  <c r="AY245" i="2"/>
  <c r="AW245" i="2"/>
  <c r="AU245" i="2"/>
  <c r="AR245" i="2"/>
  <c r="AP245" i="2"/>
  <c r="AG245" i="2"/>
  <c r="AE245" i="2"/>
  <c r="Y245" i="2"/>
  <c r="X245" i="2"/>
  <c r="W245" i="2"/>
  <c r="Q245" i="2"/>
  <c r="N245" i="2"/>
  <c r="I245" i="2"/>
  <c r="FY422" i="2"/>
  <c r="FX422" i="2"/>
  <c r="FN422" i="2"/>
  <c r="CR422" i="2"/>
  <c r="CQ422" i="2"/>
  <c r="CP422" i="2"/>
  <c r="CH422" i="2"/>
  <c r="J422" i="2"/>
  <c r="I422" i="2"/>
  <c r="H422" i="2"/>
  <c r="FY244" i="2"/>
  <c r="FX244" i="2"/>
  <c r="FT244" i="2"/>
  <c r="FJ244" i="2"/>
  <c r="FD244" i="2"/>
  <c r="EO244" i="2"/>
  <c r="EK244" i="2"/>
  <c r="EI244" i="2"/>
  <c r="EH244" i="2"/>
  <c r="EG244" i="2"/>
  <c r="EF244" i="2"/>
  <c r="ED244" i="2"/>
  <c r="EA244" i="2"/>
  <c r="DY244" i="2"/>
  <c r="DP244" i="2"/>
  <c r="DN244" i="2"/>
  <c r="CY244" i="2"/>
  <c r="CV244" i="2"/>
  <c r="CQ244" i="2"/>
  <c r="CP244" i="2"/>
  <c r="CA244" i="2"/>
  <c r="BT244" i="2"/>
  <c r="BQ244" i="2"/>
  <c r="BE244" i="2"/>
  <c r="BB244" i="2"/>
  <c r="AZ244" i="2"/>
  <c r="AY244" i="2"/>
  <c r="AX244" i="2"/>
  <c r="AW244" i="2"/>
  <c r="AU244" i="2"/>
  <c r="AR244" i="2"/>
  <c r="AP244" i="2"/>
  <c r="AG244" i="2"/>
  <c r="AE244" i="2"/>
  <c r="Q244" i="2"/>
  <c r="N244" i="2"/>
  <c r="I244" i="2"/>
  <c r="FY243" i="2"/>
  <c r="FT243" i="2"/>
  <c r="FJ243" i="2"/>
  <c r="FE243" i="2"/>
  <c r="FD243" i="2"/>
  <c r="FB243" i="2"/>
  <c r="EN243" i="2"/>
  <c r="EK243" i="2"/>
  <c r="EH243" i="2"/>
  <c r="EF243" i="2"/>
  <c r="ED243" i="2"/>
  <c r="EA243" i="2"/>
  <c r="DY243" i="2"/>
  <c r="DP243" i="2"/>
  <c r="DN243" i="2"/>
  <c r="DF243" i="2"/>
  <c r="DE243" i="2"/>
  <c r="DD243" i="2"/>
  <c r="CY243" i="2"/>
  <c r="CV243" i="2"/>
  <c r="CQ243" i="2"/>
  <c r="CA243" i="2"/>
  <c r="BY243" i="2"/>
  <c r="BW243" i="2"/>
  <c r="BU243" i="2"/>
  <c r="BT243" i="2"/>
  <c r="BS243" i="2"/>
  <c r="BR243" i="2"/>
  <c r="BQ243" i="2"/>
  <c r="BO243" i="2"/>
  <c r="BD243" i="2"/>
  <c r="BB243" i="2"/>
  <c r="AY243" i="2"/>
  <c r="AW243" i="2"/>
  <c r="AU243" i="2"/>
  <c r="AR243" i="2"/>
  <c r="AP243" i="2"/>
  <c r="AG243" i="2"/>
  <c r="AE243" i="2"/>
  <c r="X243" i="2"/>
  <c r="W243" i="2"/>
  <c r="V243" i="2"/>
  <c r="Q243" i="2"/>
  <c r="N243" i="2"/>
  <c r="I243" i="2"/>
  <c r="FY242" i="2"/>
  <c r="FT242" i="2"/>
  <c r="FJ242" i="2"/>
  <c r="EV242" i="2"/>
  <c r="EQ242" i="2"/>
  <c r="EP242" i="2"/>
  <c r="EO242" i="2"/>
  <c r="EN242" i="2"/>
  <c r="EK242" i="2"/>
  <c r="EI242" i="2"/>
  <c r="EH242" i="2"/>
  <c r="EG242" i="2"/>
  <c r="EF242" i="2"/>
  <c r="ED242" i="2"/>
  <c r="DG242" i="2"/>
  <c r="DF242" i="2"/>
  <c r="DE242" i="2"/>
  <c r="DD242" i="2"/>
  <c r="DC242" i="2"/>
  <c r="CY242" i="2"/>
  <c r="CV242" i="2"/>
  <c r="CQ242" i="2"/>
  <c r="CA242" i="2"/>
  <c r="BY242" i="2"/>
  <c r="BW242" i="2"/>
  <c r="BU242" i="2"/>
  <c r="BT242" i="2"/>
  <c r="BS242" i="2"/>
  <c r="BG242" i="2"/>
  <c r="BF242" i="2"/>
  <c r="BE242" i="2"/>
  <c r="BD242" i="2"/>
  <c r="BB242" i="2"/>
  <c r="AZ242" i="2"/>
  <c r="AY242" i="2"/>
  <c r="AX242" i="2"/>
  <c r="AW242" i="2"/>
  <c r="AU242" i="2"/>
  <c r="Y242" i="2"/>
  <c r="X242" i="2"/>
  <c r="W242" i="2"/>
  <c r="V242" i="2"/>
  <c r="U242" i="2"/>
  <c r="Q242" i="2"/>
  <c r="N242" i="2"/>
  <c r="I242" i="2"/>
  <c r="FY241" i="2"/>
  <c r="FT241" i="2"/>
  <c r="FJ241" i="2"/>
  <c r="FD241" i="2"/>
  <c r="FC241" i="2"/>
  <c r="FB241" i="2"/>
  <c r="EQ241" i="2"/>
  <c r="EN241" i="2"/>
  <c r="EI241" i="2"/>
  <c r="EH241" i="2"/>
  <c r="EG241" i="2"/>
  <c r="EF241" i="2"/>
  <c r="ED241" i="2"/>
  <c r="EA241" i="2"/>
  <c r="DY241" i="2"/>
  <c r="DP241" i="2"/>
  <c r="DN241" i="2"/>
  <c r="DE241" i="2"/>
  <c r="DD241" i="2"/>
  <c r="CY241" i="2"/>
  <c r="CV241" i="2"/>
  <c r="CQ241" i="2"/>
  <c r="BY241" i="2"/>
  <c r="BT241" i="2"/>
  <c r="BQ241" i="2"/>
  <c r="BP241" i="2"/>
  <c r="BO241" i="2"/>
  <c r="BG241" i="2"/>
  <c r="BD241" i="2"/>
  <c r="AZ241" i="2"/>
  <c r="AY241" i="2"/>
  <c r="AX241" i="2"/>
  <c r="AW241" i="2"/>
  <c r="AU241" i="2"/>
  <c r="AR241" i="2"/>
  <c r="AP241" i="2"/>
  <c r="AG241" i="2"/>
  <c r="AE241" i="2"/>
  <c r="W241" i="2"/>
  <c r="V241" i="2"/>
  <c r="Q241" i="2"/>
  <c r="N241" i="2"/>
  <c r="I241" i="2"/>
  <c r="FY240" i="2"/>
  <c r="EP240" i="2"/>
  <c r="EN240" i="2"/>
  <c r="ED240" i="2"/>
  <c r="CQ240" i="2"/>
  <c r="BT240" i="2"/>
  <c r="BF240" i="2"/>
  <c r="BD240" i="2"/>
  <c r="AU240" i="2"/>
  <c r="I240" i="2"/>
  <c r="FY239" i="2"/>
  <c r="FX239" i="2"/>
  <c r="FT239" i="2"/>
  <c r="FJ239" i="2"/>
  <c r="EN239" i="2"/>
  <c r="EK239" i="2"/>
  <c r="EI239" i="2"/>
  <c r="EH239" i="2"/>
  <c r="EG239" i="2"/>
  <c r="EF239" i="2"/>
  <c r="EE239" i="2"/>
  <c r="ED239" i="2"/>
  <c r="EA239" i="2"/>
  <c r="DY239" i="2"/>
  <c r="DP239" i="2"/>
  <c r="DN239" i="2"/>
  <c r="DG239" i="2"/>
  <c r="DF239" i="2"/>
  <c r="DE239" i="2"/>
  <c r="DD239" i="2"/>
  <c r="CY239" i="2"/>
  <c r="CV239" i="2"/>
  <c r="CQ239" i="2"/>
  <c r="CP239" i="2"/>
  <c r="CA239" i="2"/>
  <c r="BY239" i="2"/>
  <c r="BT239" i="2"/>
  <c r="BD239" i="2"/>
  <c r="BB239" i="2"/>
  <c r="AZ239" i="2"/>
  <c r="AY239" i="2"/>
  <c r="AX239" i="2"/>
  <c r="AW239" i="2"/>
  <c r="AV239" i="2"/>
  <c r="AU239" i="2"/>
  <c r="AR239" i="2"/>
  <c r="AP239" i="2"/>
  <c r="AG239" i="2"/>
  <c r="AE239" i="2"/>
  <c r="Y239" i="2"/>
  <c r="X239" i="2"/>
  <c r="W239" i="2"/>
  <c r="V239" i="2"/>
  <c r="Q239" i="2"/>
  <c r="N239" i="2"/>
  <c r="I239" i="2"/>
  <c r="FY238" i="2"/>
  <c r="FT238" i="2"/>
  <c r="FJ238" i="2"/>
  <c r="FD238" i="2"/>
  <c r="EN238" i="2"/>
  <c r="EH238" i="2"/>
  <c r="EF238" i="2"/>
  <c r="ED238" i="2"/>
  <c r="EA238" i="2"/>
  <c r="DY238" i="2"/>
  <c r="DP238" i="2"/>
  <c r="DN238" i="2"/>
  <c r="DE238" i="2"/>
  <c r="DD238" i="2"/>
  <c r="CY238" i="2"/>
  <c r="CV238" i="2"/>
  <c r="CQ238" i="2"/>
  <c r="BW238" i="2"/>
  <c r="BT238" i="2"/>
  <c r="BQ238" i="2"/>
  <c r="BD238" i="2"/>
  <c r="AY238" i="2"/>
  <c r="AW238" i="2"/>
  <c r="AU238" i="2"/>
  <c r="AR238" i="2"/>
  <c r="AP238" i="2"/>
  <c r="AG238" i="2"/>
  <c r="AE238" i="2"/>
  <c r="W238" i="2"/>
  <c r="V238" i="2"/>
  <c r="Q238" i="2"/>
  <c r="N238" i="2"/>
  <c r="I238" i="2"/>
  <c r="FY237" i="2"/>
  <c r="FJ237" i="2"/>
  <c r="EU237" i="2"/>
  <c r="ET237" i="2"/>
  <c r="EP237" i="2"/>
  <c r="EN237" i="2"/>
  <c r="ED237" i="2"/>
  <c r="DN237" i="2"/>
  <c r="CV237" i="2"/>
  <c r="CQ237" i="2"/>
  <c r="CA237" i="2"/>
  <c r="BJ237" i="2"/>
  <c r="BI237" i="2"/>
  <c r="BF237" i="2"/>
  <c r="BD237" i="2"/>
  <c r="AU237" i="2"/>
  <c r="AE237" i="2"/>
  <c r="N237" i="2"/>
  <c r="I237" i="2"/>
  <c r="FY436" i="2"/>
  <c r="FV436" i="2"/>
  <c r="FO436" i="2"/>
  <c r="FN436" i="2"/>
  <c r="FM436" i="2"/>
  <c r="FJ436" i="2"/>
  <c r="FG436" i="2"/>
  <c r="ER436" i="2"/>
  <c r="EB436" i="2"/>
  <c r="CR436" i="2"/>
  <c r="CQ436" i="2"/>
  <c r="CN436" i="2"/>
  <c r="CI436" i="2"/>
  <c r="CH436" i="2"/>
  <c r="CG436" i="2"/>
  <c r="BW436" i="2"/>
  <c r="AS436" i="2"/>
  <c r="J436" i="2"/>
  <c r="I436" i="2"/>
  <c r="H436" i="2"/>
  <c r="FY236" i="2"/>
  <c r="FT236" i="2"/>
  <c r="FJ236" i="2"/>
  <c r="EP236" i="2"/>
  <c r="EN236" i="2"/>
  <c r="EH236" i="2"/>
  <c r="EF236" i="2"/>
  <c r="ED236" i="2"/>
  <c r="DY236" i="2"/>
  <c r="DN236" i="2"/>
  <c r="DF236" i="2"/>
  <c r="DD236" i="2"/>
  <c r="CY236" i="2"/>
  <c r="CV236" i="2"/>
  <c r="CQ236" i="2"/>
  <c r="CA236" i="2"/>
  <c r="BY236" i="2"/>
  <c r="BT236" i="2"/>
  <c r="BS236" i="2"/>
  <c r="BF236" i="2"/>
  <c r="BD236" i="2"/>
  <c r="AY236" i="2"/>
  <c r="AW236" i="2"/>
  <c r="AU236" i="2"/>
  <c r="AP236" i="2"/>
  <c r="AE236" i="2"/>
  <c r="X236" i="2"/>
  <c r="V236" i="2"/>
  <c r="Q236" i="2"/>
  <c r="N236" i="2"/>
  <c r="I236" i="2"/>
  <c r="FY421" i="2"/>
  <c r="FS421" i="2"/>
  <c r="FP421" i="2"/>
  <c r="FO421" i="2"/>
  <c r="FN421" i="2"/>
  <c r="FM421" i="2"/>
  <c r="FL421" i="2"/>
  <c r="FJ421" i="2"/>
  <c r="FG421" i="2"/>
  <c r="CS421" i="2"/>
  <c r="CR421" i="2"/>
  <c r="CQ421" i="2"/>
  <c r="CL421" i="2"/>
  <c r="CJ421" i="2"/>
  <c r="CI421" i="2"/>
  <c r="CH421" i="2"/>
  <c r="CG421" i="2"/>
  <c r="CF421" i="2"/>
  <c r="BW421" i="2"/>
  <c r="K421" i="2"/>
  <c r="J421" i="2"/>
  <c r="I421" i="2"/>
  <c r="H421" i="2"/>
  <c r="FY235" i="2"/>
  <c r="FX235" i="2"/>
  <c r="FT235" i="2"/>
  <c r="FF235" i="2"/>
  <c r="EN235" i="2"/>
  <c r="EK235" i="2"/>
  <c r="EH235" i="2"/>
  <c r="EF235" i="2"/>
  <c r="ED235" i="2"/>
  <c r="EA235" i="2"/>
  <c r="DY235" i="2"/>
  <c r="DP235" i="2"/>
  <c r="DN235" i="2"/>
  <c r="DE235" i="2"/>
  <c r="CY235" i="2"/>
  <c r="CV235" i="2"/>
  <c r="CQ235" i="2"/>
  <c r="CP235" i="2"/>
  <c r="CA235" i="2"/>
  <c r="BY235" i="2"/>
  <c r="BU235" i="2"/>
  <c r="BS235" i="2"/>
  <c r="BD235" i="2"/>
  <c r="BB235" i="2"/>
  <c r="AY235" i="2"/>
  <c r="AW235" i="2"/>
  <c r="AU235" i="2"/>
  <c r="AR235" i="2"/>
  <c r="AP235" i="2"/>
  <c r="AG235" i="2"/>
  <c r="AE235" i="2"/>
  <c r="W235" i="2"/>
  <c r="Q235" i="2"/>
  <c r="N235" i="2"/>
  <c r="I235" i="2"/>
  <c r="FY234" i="2"/>
  <c r="FX234" i="2"/>
  <c r="FT234" i="2"/>
  <c r="FJ234" i="2"/>
  <c r="EN234" i="2"/>
  <c r="EK234" i="2"/>
  <c r="EH234" i="2"/>
  <c r="ED234" i="2"/>
  <c r="CV234" i="2"/>
  <c r="CQ234" i="2"/>
  <c r="CP234" i="2"/>
  <c r="CA234" i="2"/>
  <c r="BW234" i="2"/>
  <c r="BD234" i="2"/>
  <c r="BB234" i="2"/>
  <c r="AY234" i="2"/>
  <c r="AU234" i="2"/>
  <c r="N234" i="2"/>
  <c r="I234" i="2"/>
  <c r="FY233" i="2"/>
  <c r="FT233" i="2"/>
  <c r="FJ233" i="2"/>
  <c r="EV233" i="2"/>
  <c r="EO233" i="2"/>
  <c r="EN233" i="2"/>
  <c r="EK233" i="2"/>
  <c r="EH233" i="2"/>
  <c r="EF233" i="2"/>
  <c r="ED233" i="2"/>
  <c r="CY233" i="2"/>
  <c r="CV233" i="2"/>
  <c r="CQ233" i="2"/>
  <c r="CA233" i="2"/>
  <c r="BZ233" i="2"/>
  <c r="BY233" i="2"/>
  <c r="BX233" i="2"/>
  <c r="BE233" i="2"/>
  <c r="BD233" i="2"/>
  <c r="BB233" i="2"/>
  <c r="AY233" i="2"/>
  <c r="AW233" i="2"/>
  <c r="AU233" i="2"/>
  <c r="Q233" i="2"/>
  <c r="N233" i="2"/>
  <c r="I233" i="2"/>
  <c r="FY232" i="2"/>
  <c r="FT232" i="2"/>
  <c r="FJ232" i="2"/>
  <c r="FD232" i="2"/>
  <c r="FB232" i="2"/>
  <c r="EV232" i="2"/>
  <c r="EN232" i="2"/>
  <c r="EK232" i="2"/>
  <c r="EI232" i="2"/>
  <c r="EH232" i="2"/>
  <c r="EG232" i="2"/>
  <c r="EF232" i="2"/>
  <c r="ED232" i="2"/>
  <c r="EA232" i="2"/>
  <c r="DY232" i="2"/>
  <c r="DP232" i="2"/>
  <c r="DN232" i="2"/>
  <c r="DD232" i="2"/>
  <c r="CY232" i="2"/>
  <c r="CV232" i="2"/>
  <c r="CQ232" i="2"/>
  <c r="CA232" i="2"/>
  <c r="BY232" i="2"/>
  <c r="BW232" i="2"/>
  <c r="BT232" i="2"/>
  <c r="BQ232" i="2"/>
  <c r="BO232" i="2"/>
  <c r="BD232" i="2"/>
  <c r="BB232" i="2"/>
  <c r="AZ232" i="2"/>
  <c r="AY232" i="2"/>
  <c r="AX232" i="2"/>
  <c r="AW232" i="2"/>
  <c r="AU232" i="2"/>
  <c r="AR232" i="2"/>
  <c r="AP232" i="2"/>
  <c r="AG232" i="2"/>
  <c r="AE232" i="2"/>
  <c r="V232" i="2"/>
  <c r="Q232" i="2"/>
  <c r="N232" i="2"/>
  <c r="I232" i="2"/>
  <c r="FY231" i="2"/>
  <c r="FT231" i="2"/>
  <c r="FJ231" i="2"/>
  <c r="FB231" i="2"/>
  <c r="EN231" i="2"/>
  <c r="EK231" i="2"/>
  <c r="EI231" i="2"/>
  <c r="EH231" i="2"/>
  <c r="EG231" i="2"/>
  <c r="EF231" i="2"/>
  <c r="ED231" i="2"/>
  <c r="EA231" i="2"/>
  <c r="DY231" i="2"/>
  <c r="DP231" i="2"/>
  <c r="DN231" i="2"/>
  <c r="DG231" i="2"/>
  <c r="DF231" i="2"/>
  <c r="DE231" i="2"/>
  <c r="DD231" i="2"/>
  <c r="CY231" i="2"/>
  <c r="CV231" i="2"/>
  <c r="CQ231" i="2"/>
  <c r="CA231" i="2"/>
  <c r="BY231" i="2"/>
  <c r="BT231" i="2"/>
  <c r="BO231" i="2"/>
  <c r="BD231" i="2"/>
  <c r="BB231" i="2"/>
  <c r="AZ231" i="2"/>
  <c r="AY231" i="2"/>
  <c r="AX231" i="2"/>
  <c r="AW231" i="2"/>
  <c r="AU231" i="2"/>
  <c r="AR231" i="2"/>
  <c r="AP231" i="2"/>
  <c r="AG231" i="2"/>
  <c r="AE231" i="2"/>
  <c r="Y231" i="2"/>
  <c r="X231" i="2"/>
  <c r="W231" i="2"/>
  <c r="V231" i="2"/>
  <c r="Q231" i="2"/>
  <c r="N231" i="2"/>
  <c r="I231" i="2"/>
  <c r="FY230" i="2"/>
  <c r="FT230" i="2"/>
  <c r="FJ230" i="2"/>
  <c r="FC230" i="2"/>
  <c r="FB230" i="2"/>
  <c r="EN230" i="2"/>
  <c r="EK230" i="2"/>
  <c r="EI230" i="2"/>
  <c r="EH230" i="2"/>
  <c r="EF230" i="2"/>
  <c r="ED230" i="2"/>
  <c r="CY230" i="2"/>
  <c r="CV230" i="2"/>
  <c r="CQ230" i="2"/>
  <c r="CA230" i="2"/>
  <c r="BV230" i="2"/>
  <c r="BU230" i="2"/>
  <c r="BP230" i="2"/>
  <c r="BO230" i="2"/>
  <c r="BD230" i="2"/>
  <c r="BB230" i="2"/>
  <c r="AZ230" i="2"/>
  <c r="AY230" i="2"/>
  <c r="AW230" i="2"/>
  <c r="AU230" i="2"/>
  <c r="Q230" i="2"/>
  <c r="N230" i="2"/>
  <c r="I230" i="2"/>
  <c r="FY229" i="2"/>
  <c r="FX229" i="2"/>
  <c r="FT229" i="2"/>
  <c r="FJ229" i="2"/>
  <c r="EV229" i="2"/>
  <c r="EO229" i="2"/>
  <c r="EN229" i="2"/>
  <c r="EK229" i="2"/>
  <c r="EI229" i="2"/>
  <c r="EH229" i="2"/>
  <c r="EG229" i="2"/>
  <c r="EF229" i="2"/>
  <c r="EE229" i="2"/>
  <c r="ED229" i="2"/>
  <c r="EA229" i="2"/>
  <c r="DY229" i="2"/>
  <c r="DP229" i="2"/>
  <c r="DN229" i="2"/>
  <c r="DD229" i="2"/>
  <c r="CY229" i="2"/>
  <c r="CV229" i="2"/>
  <c r="CQ229" i="2"/>
  <c r="CP229" i="2"/>
  <c r="CA229" i="2"/>
  <c r="BY229" i="2"/>
  <c r="BE229" i="2"/>
  <c r="BD229" i="2"/>
  <c r="BB229" i="2"/>
  <c r="AZ229" i="2"/>
  <c r="AY229" i="2"/>
  <c r="AX229" i="2"/>
  <c r="AW229" i="2"/>
  <c r="AV229" i="2"/>
  <c r="AU229" i="2"/>
  <c r="AR229" i="2"/>
  <c r="AP229" i="2"/>
  <c r="AG229" i="2"/>
  <c r="AE229" i="2"/>
  <c r="V229" i="2"/>
  <c r="Q229" i="2"/>
  <c r="N229" i="2"/>
  <c r="I229" i="2"/>
  <c r="FY228" i="2"/>
  <c r="FX228" i="2"/>
  <c r="FT228" i="2"/>
  <c r="FJ228" i="2"/>
  <c r="EN228" i="2"/>
  <c r="EK228" i="2"/>
  <c r="EH228" i="2"/>
  <c r="EF228" i="2"/>
  <c r="ED228" i="2"/>
  <c r="CV228" i="2"/>
  <c r="CQ228" i="2"/>
  <c r="CP228" i="2"/>
  <c r="BD228" i="2"/>
  <c r="BB228" i="2"/>
  <c r="AY228" i="2"/>
  <c r="AW228" i="2"/>
  <c r="AU228" i="2"/>
  <c r="N228" i="2"/>
  <c r="I228" i="2"/>
  <c r="FY227" i="2"/>
  <c r="FX227" i="2"/>
  <c r="FT227" i="2"/>
  <c r="FJ227" i="2"/>
  <c r="FE227" i="2"/>
  <c r="FD227" i="2"/>
  <c r="FB227" i="2"/>
  <c r="EN227" i="2"/>
  <c r="EK227" i="2"/>
  <c r="EI227" i="2"/>
  <c r="EH227" i="2"/>
  <c r="EG227" i="2"/>
  <c r="EF227" i="2"/>
  <c r="EE227" i="2"/>
  <c r="ED227" i="2"/>
  <c r="EA227" i="2"/>
  <c r="DY227" i="2"/>
  <c r="DP227" i="2"/>
  <c r="DN227" i="2"/>
  <c r="DG227" i="2"/>
  <c r="DF227" i="2"/>
  <c r="DE227" i="2"/>
  <c r="DD227" i="2"/>
  <c r="CY227" i="2"/>
  <c r="CV227" i="2"/>
  <c r="CQ227" i="2"/>
  <c r="CP227" i="2"/>
  <c r="CA227" i="2"/>
  <c r="BW227" i="2"/>
  <c r="BT227" i="2"/>
  <c r="BS227" i="2"/>
  <c r="BR227" i="2"/>
  <c r="BQ227" i="2"/>
  <c r="BO227" i="2"/>
  <c r="BD227" i="2"/>
  <c r="BB227" i="2"/>
  <c r="AZ227" i="2"/>
  <c r="AY227" i="2"/>
  <c r="AX227" i="2"/>
  <c r="AW227" i="2"/>
  <c r="AV227" i="2"/>
  <c r="AU227" i="2"/>
  <c r="AR227" i="2"/>
  <c r="AP227" i="2"/>
  <c r="AG227" i="2"/>
  <c r="AE227" i="2"/>
  <c r="Y227" i="2"/>
  <c r="X227" i="2"/>
  <c r="W227" i="2"/>
  <c r="V227" i="2"/>
  <c r="Q227" i="2"/>
  <c r="N227" i="2"/>
  <c r="I227" i="2"/>
  <c r="FY226" i="2"/>
  <c r="FT226" i="2"/>
  <c r="FJ226" i="2"/>
  <c r="FD226" i="2"/>
  <c r="FB226" i="2"/>
  <c r="EO226" i="2"/>
  <c r="EN226" i="2"/>
  <c r="EI226" i="2"/>
  <c r="EH226" i="2"/>
  <c r="EF226" i="2"/>
  <c r="ED226" i="2"/>
  <c r="EA226" i="2"/>
  <c r="DY226" i="2"/>
  <c r="DP226" i="2"/>
  <c r="DN226" i="2"/>
  <c r="DH226" i="2"/>
  <c r="DF226" i="2"/>
  <c r="DD226" i="2"/>
  <c r="CY226" i="2"/>
  <c r="CV226" i="2"/>
  <c r="CQ226" i="2"/>
  <c r="CA226" i="2"/>
  <c r="BY226" i="2"/>
  <c r="BQ226" i="2"/>
  <c r="BO226" i="2"/>
  <c r="BE226" i="2"/>
  <c r="BD226" i="2"/>
  <c r="AZ226" i="2"/>
  <c r="AY226" i="2"/>
  <c r="AW226" i="2"/>
  <c r="AU226" i="2"/>
  <c r="AR226" i="2"/>
  <c r="AP226" i="2"/>
  <c r="AG226" i="2"/>
  <c r="AE226" i="2"/>
  <c r="Z226" i="2"/>
  <c r="X226" i="2"/>
  <c r="V226" i="2"/>
  <c r="Q226" i="2"/>
  <c r="N226" i="2"/>
  <c r="I226" i="2"/>
  <c r="FY225" i="2"/>
  <c r="FX225" i="2"/>
  <c r="FT225" i="2"/>
  <c r="FJ225" i="2"/>
  <c r="FD225" i="2"/>
  <c r="FB225" i="2"/>
  <c r="ER225" i="2"/>
  <c r="EO225" i="2"/>
  <c r="EN225" i="2"/>
  <c r="EK225" i="2"/>
  <c r="EH225" i="2"/>
  <c r="EG225" i="2"/>
  <c r="EF225" i="2"/>
  <c r="EE225" i="2"/>
  <c r="ED225" i="2"/>
  <c r="EA225" i="2"/>
  <c r="DY225" i="2"/>
  <c r="DP225" i="2"/>
  <c r="DN225" i="2"/>
  <c r="DG225" i="2"/>
  <c r="DF225" i="2"/>
  <c r="DE225" i="2"/>
  <c r="DD225" i="2"/>
  <c r="CY225" i="2"/>
  <c r="CV225" i="2"/>
  <c r="CQ225" i="2"/>
  <c r="CP225" i="2"/>
  <c r="CA225" i="2"/>
  <c r="BT225" i="2"/>
  <c r="BQ225" i="2"/>
  <c r="BO225" i="2"/>
  <c r="BE225" i="2"/>
  <c r="BD225" i="2"/>
  <c r="BB225" i="2"/>
  <c r="AY225" i="2"/>
  <c r="AX225" i="2"/>
  <c r="AW225" i="2"/>
  <c r="AV225" i="2"/>
  <c r="AU225" i="2"/>
  <c r="AR225" i="2"/>
  <c r="AP225" i="2"/>
  <c r="AG225" i="2"/>
  <c r="AE225" i="2"/>
  <c r="Y225" i="2"/>
  <c r="X225" i="2"/>
  <c r="W225" i="2"/>
  <c r="V225" i="2"/>
  <c r="Q225" i="2"/>
  <c r="N225" i="2"/>
  <c r="I225" i="2"/>
  <c r="FY224" i="2"/>
  <c r="FT224" i="2"/>
  <c r="FJ224" i="2"/>
  <c r="FD224" i="2"/>
  <c r="FB224" i="2"/>
  <c r="EN224" i="2"/>
  <c r="EK224" i="2"/>
  <c r="EH224" i="2"/>
  <c r="EF224" i="2"/>
  <c r="ED224" i="2"/>
  <c r="DN224" i="2"/>
  <c r="CV224" i="2"/>
  <c r="CQ224" i="2"/>
  <c r="CA224" i="2"/>
  <c r="BY224" i="2"/>
  <c r="BS224" i="2"/>
  <c r="BQ224" i="2"/>
  <c r="BO224" i="2"/>
  <c r="BD224" i="2"/>
  <c r="BB224" i="2"/>
  <c r="AY224" i="2"/>
  <c r="AW224" i="2"/>
  <c r="AU224" i="2"/>
  <c r="AE224" i="2"/>
  <c r="N224" i="2"/>
  <c r="I224" i="2"/>
  <c r="FY223" i="2"/>
  <c r="FT223" i="2"/>
  <c r="FJ223" i="2"/>
  <c r="EN223" i="2"/>
  <c r="EK223" i="2"/>
  <c r="EH223" i="2"/>
  <c r="EF223" i="2"/>
  <c r="ED223" i="2"/>
  <c r="DE223" i="2"/>
  <c r="CY223" i="2"/>
  <c r="CV223" i="2"/>
  <c r="CQ223" i="2"/>
  <c r="CA223" i="2"/>
  <c r="BY223" i="2"/>
  <c r="BW223" i="2"/>
  <c r="BT223" i="2"/>
  <c r="BS223" i="2"/>
  <c r="BD223" i="2"/>
  <c r="BB223" i="2"/>
  <c r="AY223" i="2"/>
  <c r="AW223" i="2"/>
  <c r="AU223" i="2"/>
  <c r="W223" i="2"/>
  <c r="Q223" i="2"/>
  <c r="N223" i="2"/>
  <c r="I223" i="2"/>
  <c r="FY222" i="2"/>
  <c r="FX222" i="2"/>
  <c r="FT222" i="2"/>
  <c r="FJ222" i="2"/>
  <c r="FE222" i="2"/>
  <c r="FD222" i="2"/>
  <c r="EX222" i="2"/>
  <c r="EN222" i="2"/>
  <c r="EK222" i="2"/>
  <c r="EI222" i="2"/>
  <c r="EH222" i="2"/>
  <c r="EG222" i="2"/>
  <c r="EF222" i="2"/>
  <c r="EE222" i="2"/>
  <c r="ED222" i="2"/>
  <c r="EA222" i="2"/>
  <c r="DY222" i="2"/>
  <c r="DP222" i="2"/>
  <c r="DN222" i="2"/>
  <c r="DG222" i="2"/>
  <c r="DF222" i="2"/>
  <c r="DE222" i="2"/>
  <c r="DD222" i="2"/>
  <c r="CY222" i="2"/>
  <c r="CV222" i="2"/>
  <c r="CQ222" i="2"/>
  <c r="CP222" i="2"/>
  <c r="CB222" i="2"/>
  <c r="CA222" i="2"/>
  <c r="BT222" i="2"/>
  <c r="BR222" i="2"/>
  <c r="BQ222" i="2"/>
  <c r="BK222" i="2"/>
  <c r="BD222" i="2"/>
  <c r="BB222" i="2"/>
  <c r="AZ222" i="2"/>
  <c r="AY222" i="2"/>
  <c r="AX222" i="2"/>
  <c r="AW222" i="2"/>
  <c r="AV222" i="2"/>
  <c r="AU222" i="2"/>
  <c r="AR222" i="2"/>
  <c r="AP222" i="2"/>
  <c r="AG222" i="2"/>
  <c r="AE222" i="2"/>
  <c r="Y222" i="2"/>
  <c r="X222" i="2"/>
  <c r="W222" i="2"/>
  <c r="V222" i="2"/>
  <c r="Q222" i="2"/>
  <c r="N222" i="2"/>
  <c r="I222" i="2"/>
  <c r="FY221" i="2"/>
  <c r="FT221" i="2"/>
  <c r="FJ221" i="2"/>
  <c r="EQ221" i="2"/>
  <c r="EN221" i="2"/>
  <c r="EK221" i="2"/>
  <c r="EI221" i="2"/>
  <c r="EH221" i="2"/>
  <c r="EG221" i="2"/>
  <c r="EF221" i="2"/>
  <c r="EE221" i="2"/>
  <c r="ED221" i="2"/>
  <c r="DP221" i="2"/>
  <c r="DN221" i="2"/>
  <c r="CY221" i="2"/>
  <c r="CV221" i="2"/>
  <c r="CQ221" i="2"/>
  <c r="BT221" i="2"/>
  <c r="BG221" i="2"/>
  <c r="BD221" i="2"/>
  <c r="BB221" i="2"/>
  <c r="AZ221" i="2"/>
  <c r="AY221" i="2"/>
  <c r="AX221" i="2"/>
  <c r="AW221" i="2"/>
  <c r="AV221" i="2"/>
  <c r="AU221" i="2"/>
  <c r="AG221" i="2"/>
  <c r="AE221" i="2"/>
  <c r="Q221" i="2"/>
  <c r="N221" i="2"/>
  <c r="I221" i="2"/>
  <c r="FY220" i="2"/>
  <c r="FX220" i="2"/>
  <c r="FT220" i="2"/>
  <c r="FJ220" i="2"/>
  <c r="FE220" i="2"/>
  <c r="FD220" i="2"/>
  <c r="FC220" i="2"/>
  <c r="FB220" i="2"/>
  <c r="EO220" i="2"/>
  <c r="EN220" i="2"/>
  <c r="EH220" i="2"/>
  <c r="EF220" i="2"/>
  <c r="EE220" i="2"/>
  <c r="ED220" i="2"/>
  <c r="EA220" i="2"/>
  <c r="DY220" i="2"/>
  <c r="DP220" i="2"/>
  <c r="DN220" i="2"/>
  <c r="DG220" i="2"/>
  <c r="DE220" i="2"/>
  <c r="DD220" i="2"/>
  <c r="CY220" i="2"/>
  <c r="CV220" i="2"/>
  <c r="CQ220" i="2"/>
  <c r="CP220" i="2"/>
  <c r="BR220" i="2"/>
  <c r="BQ220" i="2"/>
  <c r="BP220" i="2"/>
  <c r="BO220" i="2"/>
  <c r="BE220" i="2"/>
  <c r="BD220" i="2"/>
  <c r="AY220" i="2"/>
  <c r="AW220" i="2"/>
  <c r="AV220" i="2"/>
  <c r="AU220" i="2"/>
  <c r="AR220" i="2"/>
  <c r="AP220" i="2"/>
  <c r="AG220" i="2"/>
  <c r="AE220" i="2"/>
  <c r="Y220" i="2"/>
  <c r="W220" i="2"/>
  <c r="V220" i="2"/>
  <c r="Q220" i="2"/>
  <c r="N220" i="2"/>
  <c r="I220" i="2"/>
  <c r="FY219" i="2"/>
  <c r="FX219" i="2"/>
  <c r="FT219" i="2"/>
  <c r="FJ219" i="2"/>
  <c r="EV219" i="2"/>
  <c r="ER219" i="2"/>
  <c r="EO219" i="2"/>
  <c r="EN219" i="2"/>
  <c r="EK219" i="2"/>
  <c r="EI219" i="2"/>
  <c r="EH219" i="2"/>
  <c r="EF219" i="2"/>
  <c r="ED219" i="2"/>
  <c r="EA219" i="2"/>
  <c r="DY219" i="2"/>
  <c r="DP219" i="2"/>
  <c r="DN219" i="2"/>
  <c r="DH219" i="2"/>
  <c r="DG219" i="2"/>
  <c r="DF219" i="2"/>
  <c r="DE219" i="2"/>
  <c r="DD219" i="2"/>
  <c r="CY219" i="2"/>
  <c r="CV219" i="2"/>
  <c r="CQ219" i="2"/>
  <c r="CP219" i="2"/>
  <c r="BT219" i="2"/>
  <c r="BE219" i="2"/>
  <c r="BD219" i="2"/>
  <c r="BB219" i="2"/>
  <c r="AZ219" i="2"/>
  <c r="AY219" i="2"/>
  <c r="AW219" i="2"/>
  <c r="AU219" i="2"/>
  <c r="AR219" i="2"/>
  <c r="AP219" i="2"/>
  <c r="AG219" i="2"/>
  <c r="AE219" i="2"/>
  <c r="Z219" i="2"/>
  <c r="Y219" i="2"/>
  <c r="X219" i="2"/>
  <c r="W219" i="2"/>
  <c r="V219" i="2"/>
  <c r="Q219" i="2"/>
  <c r="N219" i="2"/>
  <c r="I219" i="2"/>
  <c r="FY218" i="2"/>
  <c r="FX218" i="2"/>
  <c r="FT218" i="2"/>
  <c r="FJ218" i="2"/>
  <c r="FD218" i="2"/>
  <c r="EN218" i="2"/>
  <c r="EK218" i="2"/>
  <c r="EI218" i="2"/>
  <c r="EH218" i="2"/>
  <c r="EG218" i="2"/>
  <c r="EF218" i="2"/>
  <c r="EE218" i="2"/>
  <c r="ED218" i="2"/>
  <c r="EA218" i="2"/>
  <c r="DY218" i="2"/>
  <c r="DP218" i="2"/>
  <c r="DN218" i="2"/>
  <c r="DH218" i="2"/>
  <c r="CY218" i="2"/>
  <c r="CV218" i="2"/>
  <c r="CQ218" i="2"/>
  <c r="CP218" i="2"/>
  <c r="BQ218" i="2"/>
  <c r="BD218" i="2"/>
  <c r="BB218" i="2"/>
  <c r="AZ218" i="2"/>
  <c r="AY218" i="2"/>
  <c r="AX218" i="2"/>
  <c r="AW218" i="2"/>
  <c r="AV218" i="2"/>
  <c r="AU218" i="2"/>
  <c r="AR218" i="2"/>
  <c r="AP218" i="2"/>
  <c r="AG218" i="2"/>
  <c r="AE218" i="2"/>
  <c r="Z218" i="2"/>
  <c r="Q218" i="2"/>
  <c r="N218" i="2"/>
  <c r="I218" i="2"/>
  <c r="FY420" i="2"/>
  <c r="FV420" i="2"/>
  <c r="FP420" i="2"/>
  <c r="FN420" i="2"/>
  <c r="FM420" i="2"/>
  <c r="FJ420" i="2"/>
  <c r="FG420" i="2"/>
  <c r="CS420" i="2"/>
  <c r="CR420" i="2"/>
  <c r="CQ420" i="2"/>
  <c r="CN420" i="2"/>
  <c r="CJ420" i="2"/>
  <c r="CH420" i="2"/>
  <c r="CG420" i="2"/>
  <c r="BW420" i="2"/>
  <c r="K420" i="2"/>
  <c r="J420" i="2"/>
  <c r="I420" i="2"/>
  <c r="H420" i="2"/>
  <c r="FY435" i="2"/>
  <c r="FV435" i="2"/>
  <c r="FN435" i="2"/>
  <c r="FM435" i="2"/>
  <c r="FJ435" i="2"/>
  <c r="EL435" i="2"/>
  <c r="EB435" i="2"/>
  <c r="CR435" i="2"/>
  <c r="CQ435" i="2"/>
  <c r="CN435" i="2"/>
  <c r="CH435" i="2"/>
  <c r="CG435" i="2"/>
  <c r="BC435" i="2"/>
  <c r="AS435" i="2"/>
  <c r="J435" i="2"/>
  <c r="I435" i="2"/>
  <c r="H435" i="2"/>
  <c r="FY439" i="2"/>
  <c r="FV439" i="2"/>
  <c r="FO439" i="2"/>
  <c r="FN439" i="2"/>
  <c r="FJ439" i="2"/>
  <c r="EC439" i="2"/>
  <c r="CR439" i="2"/>
  <c r="CQ439" i="2"/>
  <c r="CN439" i="2"/>
  <c r="CI439" i="2"/>
  <c r="CH439" i="2"/>
  <c r="BW439" i="2"/>
  <c r="AT439" i="2"/>
  <c r="J439" i="2"/>
  <c r="I439" i="2"/>
  <c r="H439" i="2"/>
  <c r="FY217" i="2"/>
  <c r="FT217" i="2"/>
  <c r="FJ217" i="2"/>
  <c r="FC217" i="2"/>
  <c r="FB217" i="2"/>
  <c r="EO217" i="2"/>
  <c r="EN217" i="2"/>
  <c r="EI217" i="2"/>
  <c r="EH217" i="2"/>
  <c r="EG217" i="2"/>
  <c r="EF217" i="2"/>
  <c r="EE217" i="2"/>
  <c r="ED217" i="2"/>
  <c r="EA217" i="2"/>
  <c r="DY217" i="2"/>
  <c r="DP217" i="2"/>
  <c r="DN217" i="2"/>
  <c r="DG217" i="2"/>
  <c r="DF217" i="2"/>
  <c r="DE217" i="2"/>
  <c r="DD217" i="2"/>
  <c r="CY217" i="2"/>
  <c r="CV217" i="2"/>
  <c r="CQ217" i="2"/>
  <c r="BP217" i="2"/>
  <c r="BO217" i="2"/>
  <c r="BE217" i="2"/>
  <c r="BD217" i="2"/>
  <c r="AZ217" i="2"/>
  <c r="AY217" i="2"/>
  <c r="AX217" i="2"/>
  <c r="AW217" i="2"/>
  <c r="AV217" i="2"/>
  <c r="AU217" i="2"/>
  <c r="AR217" i="2"/>
  <c r="AP217" i="2"/>
  <c r="AG217" i="2"/>
  <c r="AE217" i="2"/>
  <c r="Y217" i="2"/>
  <c r="X217" i="2"/>
  <c r="W217" i="2"/>
  <c r="V217" i="2"/>
  <c r="Q217" i="2"/>
  <c r="N217" i="2"/>
  <c r="I217" i="2"/>
  <c r="FY216" i="2"/>
  <c r="FT216" i="2"/>
  <c r="FJ216" i="2"/>
  <c r="FB216" i="2"/>
  <c r="EN216" i="2"/>
  <c r="EI216" i="2"/>
  <c r="EH216" i="2"/>
  <c r="EF216" i="2"/>
  <c r="EE216" i="2"/>
  <c r="ED216" i="2"/>
  <c r="EA216" i="2"/>
  <c r="DY216" i="2"/>
  <c r="DP216" i="2"/>
  <c r="DN216" i="2"/>
  <c r="DE216" i="2"/>
  <c r="CY216" i="2"/>
  <c r="CV216" i="2"/>
  <c r="CQ216" i="2"/>
  <c r="CA216" i="2"/>
  <c r="BY216" i="2"/>
  <c r="BS216" i="2"/>
  <c r="BO216" i="2"/>
  <c r="BD216" i="2"/>
  <c r="AZ216" i="2"/>
  <c r="AY216" i="2"/>
  <c r="AW216" i="2"/>
  <c r="AV216" i="2"/>
  <c r="AU216" i="2"/>
  <c r="AR216" i="2"/>
  <c r="AP216" i="2"/>
  <c r="AG216" i="2"/>
  <c r="AE216" i="2"/>
  <c r="W216" i="2"/>
  <c r="Q216" i="2"/>
  <c r="N216" i="2"/>
  <c r="I216" i="2"/>
  <c r="FY215" i="2"/>
  <c r="FT215" i="2"/>
  <c r="FJ215" i="2"/>
  <c r="FB215" i="2"/>
  <c r="EN215" i="2"/>
  <c r="EI215" i="2"/>
  <c r="EH215" i="2"/>
  <c r="EG215" i="2"/>
  <c r="EF215" i="2"/>
  <c r="EE215" i="2"/>
  <c r="ED215" i="2"/>
  <c r="EA215" i="2"/>
  <c r="DY215" i="2"/>
  <c r="DP215" i="2"/>
  <c r="DN215" i="2"/>
  <c r="CY215" i="2"/>
  <c r="CV215" i="2"/>
  <c r="CQ215" i="2"/>
  <c r="BY215" i="2"/>
  <c r="BT215" i="2"/>
  <c r="BS215" i="2"/>
  <c r="BO215" i="2"/>
  <c r="BD215" i="2"/>
  <c r="AZ215" i="2"/>
  <c r="AY215" i="2"/>
  <c r="AX215" i="2"/>
  <c r="AW215" i="2"/>
  <c r="AV215" i="2"/>
  <c r="AU215" i="2"/>
  <c r="AR215" i="2"/>
  <c r="AP215" i="2"/>
  <c r="AG215" i="2"/>
  <c r="AE215" i="2"/>
  <c r="Q215" i="2"/>
  <c r="N215" i="2"/>
  <c r="I215" i="2"/>
  <c r="FY214" i="2"/>
  <c r="FX214" i="2"/>
  <c r="FT214" i="2"/>
  <c r="FJ214" i="2"/>
  <c r="FD214" i="2"/>
  <c r="EO214" i="2"/>
  <c r="EN214" i="2"/>
  <c r="EK214" i="2"/>
  <c r="EH214" i="2"/>
  <c r="EG214" i="2"/>
  <c r="EF214" i="2"/>
  <c r="EE214" i="2"/>
  <c r="ED214" i="2"/>
  <c r="EA214" i="2"/>
  <c r="DY214" i="2"/>
  <c r="DN214" i="2"/>
  <c r="DG214" i="2"/>
  <c r="DF214" i="2"/>
  <c r="CY214" i="2"/>
  <c r="CV214" i="2"/>
  <c r="CQ214" i="2"/>
  <c r="CP214" i="2"/>
  <c r="BT214" i="2"/>
  <c r="BQ214" i="2"/>
  <c r="BE214" i="2"/>
  <c r="BD214" i="2"/>
  <c r="BB214" i="2"/>
  <c r="AY214" i="2"/>
  <c r="AX214" i="2"/>
  <c r="AW214" i="2"/>
  <c r="AV214" i="2"/>
  <c r="AU214" i="2"/>
  <c r="AR214" i="2"/>
  <c r="AP214" i="2"/>
  <c r="AE214" i="2"/>
  <c r="Y214" i="2"/>
  <c r="X214" i="2"/>
  <c r="Q214" i="2"/>
  <c r="N214" i="2"/>
  <c r="I214" i="2"/>
  <c r="FY213" i="2"/>
  <c r="FT213" i="2"/>
  <c r="FJ213" i="2"/>
  <c r="FD213" i="2"/>
  <c r="EU213" i="2"/>
  <c r="ET213" i="2"/>
  <c r="EP213" i="2"/>
  <c r="EO213" i="2"/>
  <c r="EN213" i="2"/>
  <c r="EK213" i="2"/>
  <c r="EH213" i="2"/>
  <c r="ED213" i="2"/>
  <c r="DN213" i="2"/>
  <c r="CY213" i="2"/>
  <c r="CV213" i="2"/>
  <c r="CQ213" i="2"/>
  <c r="BT213" i="2"/>
  <c r="BS213" i="2"/>
  <c r="BQ213" i="2"/>
  <c r="BJ213" i="2"/>
  <c r="BI213" i="2"/>
  <c r="BF213" i="2"/>
  <c r="BE213" i="2"/>
  <c r="BD213" i="2"/>
  <c r="BB213" i="2"/>
  <c r="AY213" i="2"/>
  <c r="AU213" i="2"/>
  <c r="AE213" i="2"/>
  <c r="Q213" i="2"/>
  <c r="N213" i="2"/>
  <c r="I213" i="2"/>
  <c r="FY212" i="2"/>
  <c r="FT212" i="2"/>
  <c r="FJ212" i="2"/>
  <c r="FE212" i="2"/>
  <c r="FD212" i="2"/>
  <c r="FB212" i="2"/>
  <c r="EO212" i="2"/>
  <c r="EK212" i="2"/>
  <c r="EH212" i="2"/>
  <c r="EF212" i="2"/>
  <c r="ED212" i="2"/>
  <c r="EA212" i="2"/>
  <c r="DY212" i="2"/>
  <c r="DP212" i="2"/>
  <c r="DN212" i="2"/>
  <c r="DG212" i="2"/>
  <c r="DF212" i="2"/>
  <c r="DE212" i="2"/>
  <c r="DD212" i="2"/>
  <c r="DC212" i="2"/>
  <c r="CY212" i="2"/>
  <c r="CV212" i="2"/>
  <c r="CQ212" i="2"/>
  <c r="BR212" i="2"/>
  <c r="BQ212" i="2"/>
  <c r="BO212" i="2"/>
  <c r="BE212" i="2"/>
  <c r="BB212" i="2"/>
  <c r="AY212" i="2"/>
  <c r="AW212" i="2"/>
  <c r="AU212" i="2"/>
  <c r="AR212" i="2"/>
  <c r="AP212" i="2"/>
  <c r="AG212" i="2"/>
  <c r="AE212" i="2"/>
  <c r="Y212" i="2"/>
  <c r="X212" i="2"/>
  <c r="W212" i="2"/>
  <c r="V212" i="2"/>
  <c r="U212" i="2"/>
  <c r="Q212" i="2"/>
  <c r="N212" i="2"/>
  <c r="I212" i="2"/>
  <c r="FY211" i="2"/>
  <c r="FX211" i="2"/>
  <c r="FT211" i="2"/>
  <c r="FJ211" i="2"/>
  <c r="EN211" i="2"/>
  <c r="EK211" i="2"/>
  <c r="EI211" i="2"/>
  <c r="EH211" i="2"/>
  <c r="EF211" i="2"/>
  <c r="EE211" i="2"/>
  <c r="ED211" i="2"/>
  <c r="CY211" i="2"/>
  <c r="CV211" i="2"/>
  <c r="CQ211" i="2"/>
  <c r="CP211" i="2"/>
  <c r="CA211" i="2"/>
  <c r="BY211" i="2"/>
  <c r="BX211" i="2"/>
  <c r="BW211" i="2"/>
  <c r="BT211" i="2"/>
  <c r="BS211" i="2"/>
  <c r="BD211" i="2"/>
  <c r="BB211" i="2"/>
  <c r="AZ211" i="2"/>
  <c r="AY211" i="2"/>
  <c r="AW211" i="2"/>
  <c r="AV211" i="2"/>
  <c r="AU211" i="2"/>
  <c r="Q211" i="2"/>
  <c r="N211" i="2"/>
  <c r="I211" i="2"/>
  <c r="FY210" i="2"/>
  <c r="FT210" i="2"/>
  <c r="FJ210" i="2"/>
  <c r="EN210" i="2"/>
  <c r="EK210" i="2"/>
  <c r="EI210" i="2"/>
  <c r="EH210" i="2"/>
  <c r="EF210" i="2"/>
  <c r="ED210" i="2"/>
  <c r="DY210" i="2"/>
  <c r="DP210" i="2"/>
  <c r="DN210" i="2"/>
  <c r="DD210" i="2"/>
  <c r="CY210" i="2"/>
  <c r="CV210" i="2"/>
  <c r="CQ210" i="2"/>
  <c r="CA210" i="2"/>
  <c r="BT210" i="2"/>
  <c r="BD210" i="2"/>
  <c r="BB210" i="2"/>
  <c r="AZ210" i="2"/>
  <c r="AY210" i="2"/>
  <c r="AW210" i="2"/>
  <c r="AU210" i="2"/>
  <c r="AP210" i="2"/>
  <c r="AG210" i="2"/>
  <c r="AE210" i="2"/>
  <c r="V210" i="2"/>
  <c r="Q210" i="2"/>
  <c r="N210" i="2"/>
  <c r="I210" i="2"/>
  <c r="FY419" i="2"/>
  <c r="FV419" i="2"/>
  <c r="FS419" i="2"/>
  <c r="FP419" i="2"/>
  <c r="FO419" i="2"/>
  <c r="FN419" i="2"/>
  <c r="FM419" i="2"/>
  <c r="FJ419" i="2"/>
  <c r="FG419" i="2"/>
  <c r="CS419" i="2"/>
  <c r="CR419" i="2"/>
  <c r="CQ419" i="2"/>
  <c r="CN419" i="2"/>
  <c r="CL419" i="2"/>
  <c r="CJ419" i="2"/>
  <c r="CI419" i="2"/>
  <c r="CH419" i="2"/>
  <c r="CG419" i="2"/>
  <c r="BW419" i="2"/>
  <c r="K419" i="2"/>
  <c r="J419" i="2"/>
  <c r="I419" i="2"/>
  <c r="H419" i="2"/>
  <c r="FY418" i="2"/>
  <c r="FV418" i="2"/>
  <c r="FN418" i="2"/>
  <c r="FM418" i="2"/>
  <c r="CS418" i="2"/>
  <c r="CR418" i="2"/>
  <c r="CQ418" i="2"/>
  <c r="CN418" i="2"/>
  <c r="CH418" i="2"/>
  <c r="CG418" i="2"/>
  <c r="K418" i="2"/>
  <c r="J418" i="2"/>
  <c r="I418" i="2"/>
  <c r="H418" i="2"/>
  <c r="FY417" i="2"/>
  <c r="FX417" i="2"/>
  <c r="FV417" i="2"/>
  <c r="FO417" i="2"/>
  <c r="FN417" i="2"/>
  <c r="FJ417" i="2"/>
  <c r="CS417" i="2"/>
  <c r="CR417" i="2"/>
  <c r="CQ417" i="2"/>
  <c r="CP417" i="2"/>
  <c r="CN417" i="2"/>
  <c r="CI417" i="2"/>
  <c r="CH417" i="2"/>
  <c r="K417" i="2"/>
  <c r="J417" i="2"/>
  <c r="I417" i="2"/>
  <c r="H417" i="2"/>
  <c r="FY209" i="2"/>
  <c r="EN209" i="2"/>
  <c r="CQ209" i="2"/>
  <c r="BD209" i="2"/>
  <c r="I209" i="2"/>
  <c r="FY208" i="2"/>
  <c r="FX208" i="2"/>
  <c r="FT208" i="2"/>
  <c r="FJ208" i="2"/>
  <c r="EV208" i="2"/>
  <c r="EQ208" i="2"/>
  <c r="EN208" i="2"/>
  <c r="EH208" i="2"/>
  <c r="EF208" i="2"/>
  <c r="ED208" i="2"/>
  <c r="DP208" i="2"/>
  <c r="DN208" i="2"/>
  <c r="CQ208" i="2"/>
  <c r="CP208" i="2"/>
  <c r="BY208" i="2"/>
  <c r="BG208" i="2"/>
  <c r="BD208" i="2"/>
  <c r="AY208" i="2"/>
  <c r="AW208" i="2"/>
  <c r="AU208" i="2"/>
  <c r="AG208" i="2"/>
  <c r="AE208" i="2"/>
  <c r="I208" i="2"/>
  <c r="FY207" i="2"/>
  <c r="FT207" i="2"/>
  <c r="FJ207" i="2"/>
  <c r="EV207" i="2"/>
  <c r="EO207" i="2"/>
  <c r="EN207" i="2"/>
  <c r="EK207" i="2"/>
  <c r="EH207" i="2"/>
  <c r="EG207" i="2"/>
  <c r="EF207" i="2"/>
  <c r="ED207" i="2"/>
  <c r="EA207" i="2"/>
  <c r="DY207" i="2"/>
  <c r="DP207" i="2"/>
  <c r="DN207" i="2"/>
  <c r="DD207" i="2"/>
  <c r="CY207" i="2"/>
  <c r="CV207" i="2"/>
  <c r="CQ207" i="2"/>
  <c r="CA207" i="2"/>
  <c r="BY207" i="2"/>
  <c r="BW207" i="2"/>
  <c r="BT207" i="2"/>
  <c r="BS207" i="2"/>
  <c r="BE207" i="2"/>
  <c r="BD207" i="2"/>
  <c r="BB207" i="2"/>
  <c r="AY207" i="2"/>
  <c r="AX207" i="2"/>
  <c r="AW207" i="2"/>
  <c r="AU207" i="2"/>
  <c r="AR207" i="2"/>
  <c r="AP207" i="2"/>
  <c r="AG207" i="2"/>
  <c r="AE207" i="2"/>
  <c r="V207" i="2"/>
  <c r="Q207" i="2"/>
  <c r="N207" i="2"/>
  <c r="I207" i="2"/>
  <c r="FY206" i="2"/>
  <c r="FT206" i="2"/>
  <c r="FJ206" i="2"/>
  <c r="ER206" i="2"/>
  <c r="EQ206" i="2"/>
  <c r="EN206" i="2"/>
  <c r="EK206" i="2"/>
  <c r="EI206" i="2"/>
  <c r="EH206" i="2"/>
  <c r="EF206" i="2"/>
  <c r="EE206" i="2"/>
  <c r="ED206" i="2"/>
  <c r="CY206" i="2"/>
  <c r="CV206" i="2"/>
  <c r="CQ206" i="2"/>
  <c r="CA206" i="2"/>
  <c r="BX206" i="2"/>
  <c r="BU206" i="2"/>
  <c r="BT206" i="2"/>
  <c r="BS206" i="2"/>
  <c r="BG206" i="2"/>
  <c r="BD206" i="2"/>
  <c r="BB206" i="2"/>
  <c r="AZ206" i="2"/>
  <c r="AY206" i="2"/>
  <c r="AW206" i="2"/>
  <c r="AV206" i="2"/>
  <c r="AU206" i="2"/>
  <c r="Q206" i="2"/>
  <c r="N206" i="2"/>
  <c r="I206" i="2"/>
  <c r="FY205" i="2"/>
  <c r="FX205" i="2"/>
  <c r="FT205" i="2"/>
  <c r="FJ205" i="2"/>
  <c r="FF205" i="2"/>
  <c r="EO205" i="2"/>
  <c r="EN205" i="2"/>
  <c r="EK205" i="2"/>
  <c r="EI205" i="2"/>
  <c r="EH205" i="2"/>
  <c r="EG205" i="2"/>
  <c r="EF205" i="2"/>
  <c r="ED205" i="2"/>
  <c r="DP205" i="2"/>
  <c r="DN205" i="2"/>
  <c r="DG205" i="2"/>
  <c r="DF205" i="2"/>
  <c r="DD205" i="2"/>
  <c r="CY205" i="2"/>
  <c r="CV205" i="2"/>
  <c r="CQ205" i="2"/>
  <c r="CP205" i="2"/>
  <c r="CC205" i="2"/>
  <c r="BY205" i="2"/>
  <c r="BW205" i="2"/>
  <c r="BU205" i="2"/>
  <c r="BT205" i="2"/>
  <c r="BS205" i="2"/>
  <c r="BE205" i="2"/>
  <c r="BD205" i="2"/>
  <c r="BB205" i="2"/>
  <c r="AZ205" i="2"/>
  <c r="AY205" i="2"/>
  <c r="AX205" i="2"/>
  <c r="AW205" i="2"/>
  <c r="AU205" i="2"/>
  <c r="AG205" i="2"/>
  <c r="AE205" i="2"/>
  <c r="Y205" i="2"/>
  <c r="X205" i="2"/>
  <c r="V205" i="2"/>
  <c r="Q205" i="2"/>
  <c r="N205" i="2"/>
  <c r="I205" i="2"/>
  <c r="FY204" i="2"/>
  <c r="FX204" i="2"/>
  <c r="FT204" i="2"/>
  <c r="FJ204" i="2"/>
  <c r="EN204" i="2"/>
  <c r="EK204" i="2"/>
  <c r="EH204" i="2"/>
  <c r="EF204" i="2"/>
  <c r="ED204" i="2"/>
  <c r="DC204" i="2"/>
  <c r="CY204" i="2"/>
  <c r="CV204" i="2"/>
  <c r="CQ204" i="2"/>
  <c r="CP204" i="2"/>
  <c r="CA204" i="2"/>
  <c r="BX204" i="2"/>
  <c r="BW204" i="2"/>
  <c r="BT204" i="2"/>
  <c r="BD204" i="2"/>
  <c r="BB204" i="2"/>
  <c r="AY204" i="2"/>
  <c r="AW204" i="2"/>
  <c r="AU204" i="2"/>
  <c r="U204" i="2"/>
  <c r="Q204" i="2"/>
  <c r="N204" i="2"/>
  <c r="I204" i="2"/>
  <c r="FY203" i="2"/>
  <c r="FT203" i="2"/>
  <c r="FJ203" i="2"/>
  <c r="FE203" i="2"/>
  <c r="FD203" i="2"/>
  <c r="FB203" i="2"/>
  <c r="EN203" i="2"/>
  <c r="EH203" i="2"/>
  <c r="EF203" i="2"/>
  <c r="ED203" i="2"/>
  <c r="EA203" i="2"/>
  <c r="DY203" i="2"/>
  <c r="DP203" i="2"/>
  <c r="DN203" i="2"/>
  <c r="DG203" i="2"/>
  <c r="DF203" i="2"/>
  <c r="DE203" i="2"/>
  <c r="DD203" i="2"/>
  <c r="CY203" i="2"/>
  <c r="CV203" i="2"/>
  <c r="CQ203" i="2"/>
  <c r="CA203" i="2"/>
  <c r="BT203" i="2"/>
  <c r="BR203" i="2"/>
  <c r="BQ203" i="2"/>
  <c r="BO203" i="2"/>
  <c r="BD203" i="2"/>
  <c r="AY203" i="2"/>
  <c r="AW203" i="2"/>
  <c r="AU203" i="2"/>
  <c r="AR203" i="2"/>
  <c r="AP203" i="2"/>
  <c r="AG203" i="2"/>
  <c r="AE203" i="2"/>
  <c r="Y203" i="2"/>
  <c r="X203" i="2"/>
  <c r="W203" i="2"/>
  <c r="V203" i="2"/>
  <c r="Q203" i="2"/>
  <c r="N203" i="2"/>
  <c r="I203" i="2"/>
  <c r="FY202" i="2"/>
  <c r="FT202" i="2"/>
  <c r="FJ202" i="2"/>
  <c r="FD202" i="2"/>
  <c r="EN202" i="2"/>
  <c r="EK202" i="2"/>
  <c r="ED202" i="2"/>
  <c r="DN202" i="2"/>
  <c r="CV202" i="2"/>
  <c r="CQ202" i="2"/>
  <c r="BZ202" i="2"/>
  <c r="BY202" i="2"/>
  <c r="BT202" i="2"/>
  <c r="BQ202" i="2"/>
  <c r="BD202" i="2"/>
  <c r="BB202" i="2"/>
  <c r="AU202" i="2"/>
  <c r="AE202" i="2"/>
  <c r="N202" i="2"/>
  <c r="I202" i="2"/>
  <c r="FY201" i="2"/>
  <c r="FX201" i="2"/>
  <c r="FT201" i="2"/>
  <c r="FE201" i="2"/>
  <c r="FD201" i="2"/>
  <c r="FB201" i="2"/>
  <c r="EK201" i="2"/>
  <c r="EH201" i="2"/>
  <c r="EF201" i="2"/>
  <c r="ED201" i="2"/>
  <c r="EA201" i="2"/>
  <c r="DY201" i="2"/>
  <c r="DP201" i="2"/>
  <c r="DN201" i="2"/>
  <c r="DG201" i="2"/>
  <c r="DE201" i="2"/>
  <c r="CY201" i="2"/>
  <c r="CV201" i="2"/>
  <c r="CQ201" i="2"/>
  <c r="CP201" i="2"/>
  <c r="CA201" i="2"/>
  <c r="BW201" i="2"/>
  <c r="BT201" i="2"/>
  <c r="BS201" i="2"/>
  <c r="BR201" i="2"/>
  <c r="BQ201" i="2"/>
  <c r="BO201" i="2"/>
  <c r="BB201" i="2"/>
  <c r="AY201" i="2"/>
  <c r="AW201" i="2"/>
  <c r="AU201" i="2"/>
  <c r="AR201" i="2"/>
  <c r="AP201" i="2"/>
  <c r="AG201" i="2"/>
  <c r="AE201" i="2"/>
  <c r="Y201" i="2"/>
  <c r="W201" i="2"/>
  <c r="Q201" i="2"/>
  <c r="N201" i="2"/>
  <c r="I201" i="2"/>
  <c r="FY200" i="2"/>
  <c r="FX200" i="2"/>
  <c r="CQ200" i="2"/>
  <c r="CP200" i="2"/>
  <c r="BW200" i="2"/>
  <c r="BS200" i="2"/>
  <c r="I200" i="2"/>
  <c r="FY199" i="2"/>
  <c r="FT199" i="2"/>
  <c r="FJ199" i="2"/>
  <c r="EV199" i="2"/>
  <c r="EN199" i="2"/>
  <c r="EK199" i="2"/>
  <c r="EG199" i="2"/>
  <c r="EF199" i="2"/>
  <c r="ED199" i="2"/>
  <c r="DP199" i="2"/>
  <c r="DN199" i="2"/>
  <c r="CY199" i="2"/>
  <c r="CV199" i="2"/>
  <c r="CQ199" i="2"/>
  <c r="BD199" i="2"/>
  <c r="BB199" i="2"/>
  <c r="AX199" i="2"/>
  <c r="AW199" i="2"/>
  <c r="AU199" i="2"/>
  <c r="AG199" i="2"/>
  <c r="AE199" i="2"/>
  <c r="Q199" i="2"/>
  <c r="N199" i="2"/>
  <c r="I199" i="2"/>
  <c r="FY198" i="2"/>
  <c r="FV198" i="2"/>
  <c r="FT198" i="2"/>
  <c r="FJ198" i="2"/>
  <c r="FD198" i="2"/>
  <c r="FB198" i="2"/>
  <c r="EO198" i="2"/>
  <c r="EN198" i="2"/>
  <c r="EK198" i="2"/>
  <c r="EH198" i="2"/>
  <c r="EG198" i="2"/>
  <c r="EF198" i="2"/>
  <c r="EE198" i="2"/>
  <c r="ED198" i="2"/>
  <c r="EA198" i="2"/>
  <c r="DY198" i="2"/>
  <c r="DP198" i="2"/>
  <c r="DN198" i="2"/>
  <c r="DF198" i="2"/>
  <c r="DD198" i="2"/>
  <c r="CY198" i="2"/>
  <c r="CV198" i="2"/>
  <c r="CQ198" i="2"/>
  <c r="CN198" i="2"/>
  <c r="CA198" i="2"/>
  <c r="BS198" i="2"/>
  <c r="BQ198" i="2"/>
  <c r="BO198" i="2"/>
  <c r="BE198" i="2"/>
  <c r="BD198" i="2"/>
  <c r="BB198" i="2"/>
  <c r="AY198" i="2"/>
  <c r="AX198" i="2"/>
  <c r="AW198" i="2"/>
  <c r="AV198" i="2"/>
  <c r="AU198" i="2"/>
  <c r="AR198" i="2"/>
  <c r="AP198" i="2"/>
  <c r="AG198" i="2"/>
  <c r="AE198" i="2"/>
  <c r="X198" i="2"/>
  <c r="V198" i="2"/>
  <c r="Q198" i="2"/>
  <c r="N198" i="2"/>
  <c r="I198" i="2"/>
  <c r="FY197" i="2"/>
  <c r="FX197" i="2"/>
  <c r="FJ197" i="2"/>
  <c r="EK197" i="2"/>
  <c r="EI197" i="2"/>
  <c r="EH197" i="2"/>
  <c r="EF197" i="2"/>
  <c r="ED197" i="2"/>
  <c r="CY197" i="2"/>
  <c r="CV197" i="2"/>
  <c r="CQ197" i="2"/>
  <c r="CP197" i="2"/>
  <c r="BZ197" i="2"/>
  <c r="BT197" i="2"/>
  <c r="BS197" i="2"/>
  <c r="BB197" i="2"/>
  <c r="AZ197" i="2"/>
  <c r="AY197" i="2"/>
  <c r="AW197" i="2"/>
  <c r="AU197" i="2"/>
  <c r="Q197" i="2"/>
  <c r="N197" i="2"/>
  <c r="I197" i="2"/>
  <c r="FY416" i="2"/>
  <c r="FX416" i="2"/>
  <c r="FV416" i="2"/>
  <c r="FS416" i="2"/>
  <c r="FP416" i="2"/>
  <c r="FO416" i="2"/>
  <c r="FN416" i="2"/>
  <c r="FL416" i="2"/>
  <c r="FG416" i="2"/>
  <c r="CS416" i="2"/>
  <c r="CR416" i="2"/>
  <c r="CQ416" i="2"/>
  <c r="CP416" i="2"/>
  <c r="CN416" i="2"/>
  <c r="CL416" i="2"/>
  <c r="CJ416" i="2"/>
  <c r="CI416" i="2"/>
  <c r="CH416" i="2"/>
  <c r="CF416" i="2"/>
  <c r="BW416" i="2"/>
  <c r="K416" i="2"/>
  <c r="J416" i="2"/>
  <c r="I416" i="2"/>
  <c r="H416" i="2"/>
  <c r="FY196" i="2"/>
  <c r="FT196" i="2"/>
  <c r="FJ196" i="2"/>
  <c r="FE196" i="2"/>
  <c r="FD196" i="2"/>
  <c r="FB196" i="2"/>
  <c r="EV196" i="2"/>
  <c r="ER196" i="2"/>
  <c r="EO196" i="2"/>
  <c r="EN196" i="2"/>
  <c r="EK196" i="2"/>
  <c r="EH196" i="2"/>
  <c r="EG196" i="2"/>
  <c r="EF196" i="2"/>
  <c r="ED196" i="2"/>
  <c r="EA196" i="2"/>
  <c r="DY196" i="2"/>
  <c r="DP196" i="2"/>
  <c r="DN196" i="2"/>
  <c r="DF196" i="2"/>
  <c r="DE196" i="2"/>
  <c r="DD196" i="2"/>
  <c r="CY196" i="2"/>
  <c r="CV196" i="2"/>
  <c r="CQ196" i="2"/>
  <c r="BY196" i="2"/>
  <c r="BT196" i="2"/>
  <c r="BR196" i="2"/>
  <c r="BQ196" i="2"/>
  <c r="BO196" i="2"/>
  <c r="BE196" i="2"/>
  <c r="BD196" i="2"/>
  <c r="BB196" i="2"/>
  <c r="AY196" i="2"/>
  <c r="AX196" i="2"/>
  <c r="AW196" i="2"/>
  <c r="AU196" i="2"/>
  <c r="AR196" i="2"/>
  <c r="AP196" i="2"/>
  <c r="AG196" i="2"/>
  <c r="AE196" i="2"/>
  <c r="X196" i="2"/>
  <c r="W196" i="2"/>
  <c r="V196" i="2"/>
  <c r="Q196" i="2"/>
  <c r="N196" i="2"/>
  <c r="I196" i="2"/>
  <c r="FY195" i="2"/>
  <c r="FT195" i="2"/>
  <c r="FJ195" i="2"/>
  <c r="FE195" i="2"/>
  <c r="EV195" i="2"/>
  <c r="EQ195" i="2"/>
  <c r="EN195" i="2"/>
  <c r="EI195" i="2"/>
  <c r="EH195" i="2"/>
  <c r="EG195" i="2"/>
  <c r="EF195" i="2"/>
  <c r="EE195" i="2"/>
  <c r="ED195" i="2"/>
  <c r="EA195" i="2"/>
  <c r="DP195" i="2"/>
  <c r="DN195" i="2"/>
  <c r="DG195" i="2"/>
  <c r="DF195" i="2"/>
  <c r="DE195" i="2"/>
  <c r="CY195" i="2"/>
  <c r="CV195" i="2"/>
  <c r="CQ195" i="2"/>
  <c r="BR195" i="2"/>
  <c r="BG195" i="2"/>
  <c r="BD195" i="2"/>
  <c r="AZ195" i="2"/>
  <c r="AY195" i="2"/>
  <c r="AX195" i="2"/>
  <c r="AW195" i="2"/>
  <c r="AV195" i="2"/>
  <c r="AU195" i="2"/>
  <c r="AR195" i="2"/>
  <c r="AG195" i="2"/>
  <c r="AE195" i="2"/>
  <c r="Y195" i="2"/>
  <c r="X195" i="2"/>
  <c r="W195" i="2"/>
  <c r="Q195" i="2"/>
  <c r="N195" i="2"/>
  <c r="I195" i="2"/>
  <c r="FY194" i="2"/>
  <c r="FX194" i="2"/>
  <c r="FT194" i="2"/>
  <c r="FJ194" i="2"/>
  <c r="EQ194" i="2"/>
  <c r="EN194" i="2"/>
  <c r="EI194" i="2"/>
  <c r="EH194" i="2"/>
  <c r="EF194" i="2"/>
  <c r="ED194" i="2"/>
  <c r="EA194" i="2"/>
  <c r="DY194" i="2"/>
  <c r="DP194" i="2"/>
  <c r="DN194" i="2"/>
  <c r="CQ194" i="2"/>
  <c r="CP194" i="2"/>
  <c r="CA194" i="2"/>
  <c r="BW194" i="2"/>
  <c r="BT194" i="2"/>
  <c r="BS194" i="2"/>
  <c r="BG194" i="2"/>
  <c r="BD194" i="2"/>
  <c r="AZ194" i="2"/>
  <c r="AY194" i="2"/>
  <c r="AW194" i="2"/>
  <c r="AU194" i="2"/>
  <c r="AR194" i="2"/>
  <c r="AP194" i="2"/>
  <c r="AG194" i="2"/>
  <c r="AE194" i="2"/>
  <c r="I194" i="2"/>
  <c r="FY193" i="2"/>
  <c r="FX193" i="2"/>
  <c r="FT193" i="2"/>
  <c r="FJ193" i="2"/>
  <c r="EN193" i="2"/>
  <c r="EI193" i="2"/>
  <c r="EH193" i="2"/>
  <c r="EG193" i="2"/>
  <c r="EF193" i="2"/>
  <c r="EE193" i="2"/>
  <c r="ED193" i="2"/>
  <c r="DH193" i="2"/>
  <c r="CY193" i="2"/>
  <c r="CV193" i="2"/>
  <c r="CQ193" i="2"/>
  <c r="CP193" i="2"/>
  <c r="BY193" i="2"/>
  <c r="BW193" i="2"/>
  <c r="BT193" i="2"/>
  <c r="BD193" i="2"/>
  <c r="AZ193" i="2"/>
  <c r="AY193" i="2"/>
  <c r="AX193" i="2"/>
  <c r="AW193" i="2"/>
  <c r="AV193" i="2"/>
  <c r="AU193" i="2"/>
  <c r="Z193" i="2"/>
  <c r="Q193" i="2"/>
  <c r="N193" i="2"/>
  <c r="I193" i="2"/>
  <c r="FY192" i="2"/>
  <c r="FT192" i="2"/>
  <c r="FJ192" i="2"/>
  <c r="EO192" i="2"/>
  <c r="EN192" i="2"/>
  <c r="EK192" i="2"/>
  <c r="EH192" i="2"/>
  <c r="EG192" i="2"/>
  <c r="EF192" i="2"/>
  <c r="ED192" i="2"/>
  <c r="DP192" i="2"/>
  <c r="DN192" i="2"/>
  <c r="CY192" i="2"/>
  <c r="CV192" i="2"/>
  <c r="CQ192" i="2"/>
  <c r="CC192" i="2"/>
  <c r="CA192" i="2"/>
  <c r="BY192" i="2"/>
  <c r="BW192" i="2"/>
  <c r="BS192" i="2"/>
  <c r="BE192" i="2"/>
  <c r="BD192" i="2"/>
  <c r="BB192" i="2"/>
  <c r="AY192" i="2"/>
  <c r="AX192" i="2"/>
  <c r="AW192" i="2"/>
  <c r="AU192" i="2"/>
  <c r="AG192" i="2"/>
  <c r="AE192" i="2"/>
  <c r="Q192" i="2"/>
  <c r="N192" i="2"/>
  <c r="I192" i="2"/>
  <c r="FY191" i="2"/>
  <c r="FX191" i="2"/>
  <c r="FT191" i="2"/>
  <c r="FJ191" i="2"/>
  <c r="EV191" i="2"/>
  <c r="EN191" i="2"/>
  <c r="EK191" i="2"/>
  <c r="EI191" i="2"/>
  <c r="EH191" i="2"/>
  <c r="EG191" i="2"/>
  <c r="EF191" i="2"/>
  <c r="ED191" i="2"/>
  <c r="EA191" i="2"/>
  <c r="DY191" i="2"/>
  <c r="DP191" i="2"/>
  <c r="DN191" i="2"/>
  <c r="DG191" i="2"/>
  <c r="DF191" i="2"/>
  <c r="DE191" i="2"/>
  <c r="DD191" i="2"/>
  <c r="CY191" i="2"/>
  <c r="CV191" i="2"/>
  <c r="CQ191" i="2"/>
  <c r="CP191" i="2"/>
  <c r="BU191" i="2"/>
  <c r="BT191" i="2"/>
  <c r="BD191" i="2"/>
  <c r="BB191" i="2"/>
  <c r="AZ191" i="2"/>
  <c r="AY191" i="2"/>
  <c r="AX191" i="2"/>
  <c r="AW191" i="2"/>
  <c r="AU191" i="2"/>
  <c r="AR191" i="2"/>
  <c r="AP191" i="2"/>
  <c r="AG191" i="2"/>
  <c r="AE191" i="2"/>
  <c r="Y191" i="2"/>
  <c r="X191" i="2"/>
  <c r="W191" i="2"/>
  <c r="V191" i="2"/>
  <c r="Q191" i="2"/>
  <c r="N191" i="2"/>
  <c r="I191" i="2"/>
  <c r="FY190" i="2"/>
  <c r="FX190" i="2"/>
  <c r="FT190" i="2"/>
  <c r="FJ190" i="2"/>
  <c r="FF190" i="2"/>
  <c r="EP190" i="2"/>
  <c r="EN190" i="2"/>
  <c r="EK190" i="2"/>
  <c r="EI190" i="2"/>
  <c r="EH190" i="2"/>
  <c r="EF190" i="2"/>
  <c r="EE190" i="2"/>
  <c r="ED190" i="2"/>
  <c r="CY190" i="2"/>
  <c r="CV190" i="2"/>
  <c r="CQ190" i="2"/>
  <c r="CP190" i="2"/>
  <c r="CA190" i="2"/>
  <c r="BU190" i="2"/>
  <c r="BT190" i="2"/>
  <c r="BS190" i="2"/>
  <c r="BF190" i="2"/>
  <c r="BD190" i="2"/>
  <c r="BB190" i="2"/>
  <c r="AZ190" i="2"/>
  <c r="AY190" i="2"/>
  <c r="AW190" i="2"/>
  <c r="AV190" i="2"/>
  <c r="AU190" i="2"/>
  <c r="Q190" i="2"/>
  <c r="N190" i="2"/>
  <c r="I190" i="2"/>
  <c r="FY189" i="2"/>
  <c r="FT189" i="2"/>
  <c r="FJ189" i="2"/>
  <c r="FF189" i="2"/>
  <c r="FD189" i="2"/>
  <c r="EV189" i="2"/>
  <c r="ER189" i="2"/>
  <c r="EN189" i="2"/>
  <c r="EI189" i="2"/>
  <c r="EH189" i="2"/>
  <c r="EG189" i="2"/>
  <c r="EF189" i="2"/>
  <c r="ED189" i="2"/>
  <c r="EA189" i="2"/>
  <c r="DY189" i="2"/>
  <c r="DP189" i="2"/>
  <c r="DN189" i="2"/>
  <c r="DG189" i="2"/>
  <c r="DF189" i="2"/>
  <c r="DE189" i="2"/>
  <c r="DD189" i="2"/>
  <c r="CY189" i="2"/>
  <c r="CV189" i="2"/>
  <c r="CQ189" i="2"/>
  <c r="BY189" i="2"/>
  <c r="BW189" i="2"/>
  <c r="BU189" i="2"/>
  <c r="BS189" i="2"/>
  <c r="BQ189" i="2"/>
  <c r="BD189" i="2"/>
  <c r="AZ189" i="2"/>
  <c r="AY189" i="2"/>
  <c r="AX189" i="2"/>
  <c r="AW189" i="2"/>
  <c r="AU189" i="2"/>
  <c r="AR189" i="2"/>
  <c r="AP189" i="2"/>
  <c r="AG189" i="2"/>
  <c r="AE189" i="2"/>
  <c r="Y189" i="2"/>
  <c r="X189" i="2"/>
  <c r="W189" i="2"/>
  <c r="V189" i="2"/>
  <c r="Q189" i="2"/>
  <c r="N189" i="2"/>
  <c r="I189" i="2"/>
  <c r="FY188" i="2"/>
  <c r="FT188" i="2"/>
  <c r="FJ188" i="2"/>
  <c r="FE188" i="2"/>
  <c r="FD188" i="2"/>
  <c r="EO188" i="2"/>
  <c r="EN188" i="2"/>
  <c r="EI188" i="2"/>
  <c r="EH188" i="2"/>
  <c r="EF188" i="2"/>
  <c r="ED188" i="2"/>
  <c r="EA188" i="2"/>
  <c r="DY188" i="2"/>
  <c r="DP188" i="2"/>
  <c r="DN188" i="2"/>
  <c r="CY188" i="2"/>
  <c r="CV188" i="2"/>
  <c r="CQ188" i="2"/>
  <c r="BR188" i="2"/>
  <c r="BQ188" i="2"/>
  <c r="BE188" i="2"/>
  <c r="BD188" i="2"/>
  <c r="AZ188" i="2"/>
  <c r="AY188" i="2"/>
  <c r="AW188" i="2"/>
  <c r="AU188" i="2"/>
  <c r="AR188" i="2"/>
  <c r="AP188" i="2"/>
  <c r="AG188" i="2"/>
  <c r="AE188" i="2"/>
  <c r="Q188" i="2"/>
  <c r="N188" i="2"/>
  <c r="I188" i="2"/>
  <c r="FY187" i="2"/>
  <c r="EP187" i="2"/>
  <c r="EN187" i="2"/>
  <c r="CY187" i="2"/>
  <c r="CV187" i="2"/>
  <c r="CQ187" i="2"/>
  <c r="BT187" i="2"/>
  <c r="BF187" i="2"/>
  <c r="BD187" i="2"/>
  <c r="Q187" i="2"/>
  <c r="N187" i="2"/>
  <c r="I187" i="2"/>
  <c r="FY186" i="2"/>
  <c r="FT186" i="2"/>
  <c r="FJ186" i="2"/>
  <c r="EO186" i="2"/>
  <c r="EN186" i="2"/>
  <c r="EK186" i="2"/>
  <c r="EH186" i="2"/>
  <c r="EF186" i="2"/>
  <c r="ED186" i="2"/>
  <c r="DN186" i="2"/>
  <c r="CV186" i="2"/>
  <c r="CQ186" i="2"/>
  <c r="CA186" i="2"/>
  <c r="BY186" i="2"/>
  <c r="BS186" i="2"/>
  <c r="BE186" i="2"/>
  <c r="BD186" i="2"/>
  <c r="BB186" i="2"/>
  <c r="AY186" i="2"/>
  <c r="AW186" i="2"/>
  <c r="AU186" i="2"/>
  <c r="AE186" i="2"/>
  <c r="N186" i="2"/>
  <c r="I186" i="2"/>
  <c r="FY185" i="2"/>
  <c r="FX185" i="2"/>
  <c r="EG185" i="2"/>
  <c r="EF185" i="2"/>
  <c r="ED185" i="2"/>
  <c r="DY185" i="2"/>
  <c r="DP185" i="2"/>
  <c r="DN185" i="2"/>
  <c r="CY185" i="2"/>
  <c r="CV185" i="2"/>
  <c r="CQ185" i="2"/>
  <c r="CP185" i="2"/>
  <c r="CA185" i="2"/>
  <c r="BZ185" i="2"/>
  <c r="BY185" i="2"/>
  <c r="BU185" i="2"/>
  <c r="BT185" i="2"/>
  <c r="BS185" i="2"/>
  <c r="AX185" i="2"/>
  <c r="AW185" i="2"/>
  <c r="AU185" i="2"/>
  <c r="AP185" i="2"/>
  <c r="AG185" i="2"/>
  <c r="AE185" i="2"/>
  <c r="Q185" i="2"/>
  <c r="N185" i="2"/>
  <c r="I185" i="2"/>
  <c r="FY184" i="2"/>
  <c r="FT184" i="2"/>
  <c r="FJ184" i="2"/>
  <c r="FC184" i="2"/>
  <c r="FB184" i="2"/>
  <c r="EN184" i="2"/>
  <c r="EK184" i="2"/>
  <c r="EH184" i="2"/>
  <c r="EG184" i="2"/>
  <c r="EF184" i="2"/>
  <c r="ED184" i="2"/>
  <c r="DY184" i="2"/>
  <c r="DP184" i="2"/>
  <c r="DN184" i="2"/>
  <c r="DF184" i="2"/>
  <c r="CY184" i="2"/>
  <c r="CV184" i="2"/>
  <c r="CQ184" i="2"/>
  <c r="CA184" i="2"/>
  <c r="BT184" i="2"/>
  <c r="BP184" i="2"/>
  <c r="BO184" i="2"/>
  <c r="BD184" i="2"/>
  <c r="BB184" i="2"/>
  <c r="AY184" i="2"/>
  <c r="AX184" i="2"/>
  <c r="AW184" i="2"/>
  <c r="AU184" i="2"/>
  <c r="AP184" i="2"/>
  <c r="AG184" i="2"/>
  <c r="AE184" i="2"/>
  <c r="X184" i="2"/>
  <c r="Q184" i="2"/>
  <c r="N184" i="2"/>
  <c r="I184" i="2"/>
  <c r="FY183" i="2"/>
  <c r="FX183" i="2"/>
  <c r="FT183" i="2"/>
  <c r="FJ183" i="2"/>
  <c r="EH183" i="2"/>
  <c r="ED183" i="2"/>
  <c r="DP183" i="2"/>
  <c r="DN183" i="2"/>
  <c r="CQ183" i="2"/>
  <c r="CP183" i="2"/>
  <c r="CC183" i="2"/>
  <c r="CA183" i="2"/>
  <c r="BY183" i="2"/>
  <c r="BW183" i="2"/>
  <c r="AY183" i="2"/>
  <c r="AU183" i="2"/>
  <c r="AG183" i="2"/>
  <c r="AE183" i="2"/>
  <c r="I183" i="2"/>
  <c r="FY182" i="2"/>
  <c r="FX182" i="2"/>
  <c r="FT182" i="2"/>
  <c r="FJ182" i="2"/>
  <c r="FB182" i="2"/>
  <c r="EX182" i="2"/>
  <c r="EV182" i="2"/>
  <c r="EP182" i="2"/>
  <c r="EN182" i="2"/>
  <c r="EI182" i="2"/>
  <c r="EH182" i="2"/>
  <c r="EG182" i="2"/>
  <c r="EF182" i="2"/>
  <c r="EE182" i="2"/>
  <c r="ED182" i="2"/>
  <c r="EA182" i="2"/>
  <c r="DY182" i="2"/>
  <c r="DN182" i="2"/>
  <c r="DF182" i="2"/>
  <c r="DE182" i="2"/>
  <c r="DD182" i="2"/>
  <c r="CY182" i="2"/>
  <c r="CV182" i="2"/>
  <c r="CQ182" i="2"/>
  <c r="CP182" i="2"/>
  <c r="CB182" i="2"/>
  <c r="BO182" i="2"/>
  <c r="BK182" i="2"/>
  <c r="BF182" i="2"/>
  <c r="BD182" i="2"/>
  <c r="AZ182" i="2"/>
  <c r="AY182" i="2"/>
  <c r="AX182" i="2"/>
  <c r="AW182" i="2"/>
  <c r="AV182" i="2"/>
  <c r="AU182" i="2"/>
  <c r="AR182" i="2"/>
  <c r="AP182" i="2"/>
  <c r="AE182" i="2"/>
  <c r="X182" i="2"/>
  <c r="W182" i="2"/>
  <c r="V182" i="2"/>
  <c r="Q182" i="2"/>
  <c r="N182" i="2"/>
  <c r="I182" i="2"/>
  <c r="FY415" i="2"/>
  <c r="FV415" i="2"/>
  <c r="FQ415" i="2"/>
  <c r="FP415" i="2"/>
  <c r="FO415" i="2"/>
  <c r="FN415" i="2"/>
  <c r="FJ415" i="2"/>
  <c r="FG415" i="2"/>
  <c r="EW415" i="2"/>
  <c r="CS415" i="2"/>
  <c r="CR415" i="2"/>
  <c r="CQ415" i="2"/>
  <c r="CN415" i="2"/>
  <c r="CK415" i="2"/>
  <c r="CJ415" i="2"/>
  <c r="CI415" i="2"/>
  <c r="CH415" i="2"/>
  <c r="BW415" i="2"/>
  <c r="K415" i="2"/>
  <c r="J415" i="2"/>
  <c r="I415" i="2"/>
  <c r="H415" i="2"/>
  <c r="FY181" i="2"/>
  <c r="FX181" i="2"/>
  <c r="FT181" i="2"/>
  <c r="FJ181" i="2"/>
  <c r="EP181" i="2"/>
  <c r="EN181" i="2"/>
  <c r="EE181" i="2"/>
  <c r="ED181" i="2"/>
  <c r="DN181" i="2"/>
  <c r="CV181" i="2"/>
  <c r="CQ181" i="2"/>
  <c r="CP181" i="2"/>
  <c r="BT181" i="2"/>
  <c r="BF181" i="2"/>
  <c r="BD181" i="2"/>
  <c r="AV181" i="2"/>
  <c r="AU181" i="2"/>
  <c r="AE181" i="2"/>
  <c r="N181" i="2"/>
  <c r="I181" i="2"/>
  <c r="FY434" i="2"/>
  <c r="FX434" i="2"/>
  <c r="FV434" i="2"/>
  <c r="FO434" i="2"/>
  <c r="FN434" i="2"/>
  <c r="FJ434" i="2"/>
  <c r="FG434" i="2"/>
  <c r="ER434" i="2"/>
  <c r="EB434" i="2"/>
  <c r="CR434" i="2"/>
  <c r="CQ434" i="2"/>
  <c r="CP434" i="2"/>
  <c r="CN434" i="2"/>
  <c r="CI434" i="2"/>
  <c r="CH434" i="2"/>
  <c r="CG434" i="2"/>
  <c r="BW434" i="2"/>
  <c r="BC434" i="2"/>
  <c r="AS434" i="2"/>
  <c r="J434" i="2"/>
  <c r="I434" i="2"/>
  <c r="H434" i="2"/>
  <c r="FY180" i="2"/>
  <c r="CR180" i="2"/>
  <c r="CQ180" i="2"/>
  <c r="J180" i="2"/>
  <c r="I180" i="2"/>
  <c r="H180" i="2"/>
  <c r="FY179" i="2"/>
  <c r="FT179" i="2"/>
  <c r="FJ179" i="2"/>
  <c r="FF179" i="2"/>
  <c r="FD179" i="2"/>
  <c r="EN179" i="2"/>
  <c r="EK179" i="2"/>
  <c r="EI179" i="2"/>
  <c r="EH179" i="2"/>
  <c r="EG179" i="2"/>
  <c r="EF179" i="2"/>
  <c r="ED179" i="2"/>
  <c r="EA179" i="2"/>
  <c r="DY179" i="2"/>
  <c r="DP179" i="2"/>
  <c r="DN179" i="2"/>
  <c r="CY179" i="2"/>
  <c r="CV179" i="2"/>
  <c r="CQ179" i="2"/>
  <c r="CA179" i="2"/>
  <c r="BY179" i="2"/>
  <c r="BX179" i="2"/>
  <c r="BW179" i="2"/>
  <c r="BV179" i="2"/>
  <c r="BU179" i="2"/>
  <c r="BT179" i="2"/>
  <c r="BQ179" i="2"/>
  <c r="BD179" i="2"/>
  <c r="BB179" i="2"/>
  <c r="AZ179" i="2"/>
  <c r="AY179" i="2"/>
  <c r="AX179" i="2"/>
  <c r="AW179" i="2"/>
  <c r="AU179" i="2"/>
  <c r="AR179" i="2"/>
  <c r="AP179" i="2"/>
  <c r="AG179" i="2"/>
  <c r="AE179" i="2"/>
  <c r="Q179" i="2"/>
  <c r="N179" i="2"/>
  <c r="I179" i="2"/>
  <c r="FY178" i="2"/>
  <c r="FX178" i="2"/>
  <c r="FT178" i="2"/>
  <c r="FJ178" i="2"/>
  <c r="FB178" i="2"/>
  <c r="EV178" i="2"/>
  <c r="EO178" i="2"/>
  <c r="EN178" i="2"/>
  <c r="EK178" i="2"/>
  <c r="EI178" i="2"/>
  <c r="EH178" i="2"/>
  <c r="EG178" i="2"/>
  <c r="EF178" i="2"/>
  <c r="ED178" i="2"/>
  <c r="EA178" i="2"/>
  <c r="DY178" i="2"/>
  <c r="DP178" i="2"/>
  <c r="DN178" i="2"/>
  <c r="DD178" i="2"/>
  <c r="CY178" i="2"/>
  <c r="CV178" i="2"/>
  <c r="CQ178" i="2"/>
  <c r="CP178" i="2"/>
  <c r="BY178" i="2"/>
  <c r="BT178" i="2"/>
  <c r="BO178" i="2"/>
  <c r="BE178" i="2"/>
  <c r="BD178" i="2"/>
  <c r="BB178" i="2"/>
  <c r="AZ178" i="2"/>
  <c r="AY178" i="2"/>
  <c r="AX178" i="2"/>
  <c r="AW178" i="2"/>
  <c r="AU178" i="2"/>
  <c r="AR178" i="2"/>
  <c r="AP178" i="2"/>
  <c r="AG178" i="2"/>
  <c r="AE178" i="2"/>
  <c r="V178" i="2"/>
  <c r="Q178" i="2"/>
  <c r="N178" i="2"/>
  <c r="I178" i="2"/>
  <c r="FY177" i="2"/>
  <c r="FT177" i="2"/>
  <c r="FJ177" i="2"/>
  <c r="FD177" i="2"/>
  <c r="FB177" i="2"/>
  <c r="EN177" i="2"/>
  <c r="EK177" i="2"/>
  <c r="EI177" i="2"/>
  <c r="EH177" i="2"/>
  <c r="EF177" i="2"/>
  <c r="ED177" i="2"/>
  <c r="EA177" i="2"/>
  <c r="DY177" i="2"/>
  <c r="DP177" i="2"/>
  <c r="DN177" i="2"/>
  <c r="DE177" i="2"/>
  <c r="DD177" i="2"/>
  <c r="CY177" i="2"/>
  <c r="CV177" i="2"/>
  <c r="CQ177" i="2"/>
  <c r="CA177" i="2"/>
  <c r="BY177" i="2"/>
  <c r="BW177" i="2"/>
  <c r="BT177" i="2"/>
  <c r="BS177" i="2"/>
  <c r="BQ177" i="2"/>
  <c r="BO177" i="2"/>
  <c r="BD177" i="2"/>
  <c r="BB177" i="2"/>
  <c r="AZ177" i="2"/>
  <c r="AY177" i="2"/>
  <c r="AW177" i="2"/>
  <c r="AU177" i="2"/>
  <c r="AR177" i="2"/>
  <c r="AP177" i="2"/>
  <c r="AG177" i="2"/>
  <c r="AE177" i="2"/>
  <c r="W177" i="2"/>
  <c r="V177" i="2"/>
  <c r="Q177" i="2"/>
  <c r="N177" i="2"/>
  <c r="I177" i="2"/>
  <c r="FY176" i="2"/>
  <c r="FT176" i="2"/>
  <c r="FJ176" i="2"/>
  <c r="FD176" i="2"/>
  <c r="FB176" i="2"/>
  <c r="EN176" i="2"/>
  <c r="EK176" i="2"/>
  <c r="EH176" i="2"/>
  <c r="EF176" i="2"/>
  <c r="ED176" i="2"/>
  <c r="EA176" i="2"/>
  <c r="DY176" i="2"/>
  <c r="DP176" i="2"/>
  <c r="DN176" i="2"/>
  <c r="DD176" i="2"/>
  <c r="CY176" i="2"/>
  <c r="CV176" i="2"/>
  <c r="CQ176" i="2"/>
  <c r="CC176" i="2"/>
  <c r="CA176" i="2"/>
  <c r="BY176" i="2"/>
  <c r="BW176" i="2"/>
  <c r="BT176" i="2"/>
  <c r="BS176" i="2"/>
  <c r="BQ176" i="2"/>
  <c r="BO176" i="2"/>
  <c r="BD176" i="2"/>
  <c r="BB176" i="2"/>
  <c r="AY176" i="2"/>
  <c r="AW176" i="2"/>
  <c r="AU176" i="2"/>
  <c r="AR176" i="2"/>
  <c r="AP176" i="2"/>
  <c r="AG176" i="2"/>
  <c r="AE176" i="2"/>
  <c r="V176" i="2"/>
  <c r="Q176" i="2"/>
  <c r="N176" i="2"/>
  <c r="I176" i="2"/>
  <c r="FY175" i="2"/>
  <c r="FT175" i="2"/>
  <c r="FJ175" i="2"/>
  <c r="FB175" i="2"/>
  <c r="EN175" i="2"/>
  <c r="EK175" i="2"/>
  <c r="EH175" i="2"/>
  <c r="EF175" i="2"/>
  <c r="ED175" i="2"/>
  <c r="DY175" i="2"/>
  <c r="DF175" i="2"/>
  <c r="CV175" i="2"/>
  <c r="CQ175" i="2"/>
  <c r="BY175" i="2"/>
  <c r="BT175" i="2"/>
  <c r="BO175" i="2"/>
  <c r="BD175" i="2"/>
  <c r="BB175" i="2"/>
  <c r="AY175" i="2"/>
  <c r="AW175" i="2"/>
  <c r="AU175" i="2"/>
  <c r="AP175" i="2"/>
  <c r="X175" i="2"/>
  <c r="N175" i="2"/>
  <c r="I175" i="2"/>
  <c r="FY174" i="2"/>
  <c r="FX174" i="2"/>
  <c r="FT174" i="2"/>
  <c r="FJ174" i="2"/>
  <c r="FD174" i="2"/>
  <c r="FB174" i="2"/>
  <c r="EN174" i="2"/>
  <c r="EG174" i="2"/>
  <c r="EF174" i="2"/>
  <c r="ED174" i="2"/>
  <c r="EA174" i="2"/>
  <c r="DY174" i="2"/>
  <c r="DP174" i="2"/>
  <c r="DN174" i="2"/>
  <c r="DF174" i="2"/>
  <c r="DD174" i="2"/>
  <c r="CY174" i="2"/>
  <c r="CV174" i="2"/>
  <c r="CQ174" i="2"/>
  <c r="CP174" i="2"/>
  <c r="BQ174" i="2"/>
  <c r="BO174" i="2"/>
  <c r="BD174" i="2"/>
  <c r="AX174" i="2"/>
  <c r="AW174" i="2"/>
  <c r="AU174" i="2"/>
  <c r="AR174" i="2"/>
  <c r="AP174" i="2"/>
  <c r="AG174" i="2"/>
  <c r="AE174" i="2"/>
  <c r="X174" i="2"/>
  <c r="V174" i="2"/>
  <c r="Q174" i="2"/>
  <c r="N174" i="2"/>
  <c r="I174" i="2"/>
  <c r="FY173" i="2"/>
  <c r="FT173" i="2"/>
  <c r="FJ173" i="2"/>
  <c r="FD173" i="2"/>
  <c r="FB173" i="2"/>
  <c r="EO173" i="2"/>
  <c r="EN173" i="2"/>
  <c r="EK173" i="2"/>
  <c r="EI173" i="2"/>
  <c r="EH173" i="2"/>
  <c r="EG173" i="2"/>
  <c r="EF173" i="2"/>
  <c r="ED173" i="2"/>
  <c r="EA173" i="2"/>
  <c r="DY173" i="2"/>
  <c r="DP173" i="2"/>
  <c r="DN173" i="2"/>
  <c r="DE173" i="2"/>
  <c r="DD173" i="2"/>
  <c r="CY173" i="2"/>
  <c r="CV173" i="2"/>
  <c r="CQ173" i="2"/>
  <c r="CA173" i="2"/>
  <c r="BZ173" i="2"/>
  <c r="BY173" i="2"/>
  <c r="BX173" i="2"/>
  <c r="BW173" i="2"/>
  <c r="BS173" i="2"/>
  <c r="BQ173" i="2"/>
  <c r="BO173" i="2"/>
  <c r="BE173" i="2"/>
  <c r="BD173" i="2"/>
  <c r="BB173" i="2"/>
  <c r="AZ173" i="2"/>
  <c r="AY173" i="2"/>
  <c r="AX173" i="2"/>
  <c r="AW173" i="2"/>
  <c r="AU173" i="2"/>
  <c r="AR173" i="2"/>
  <c r="AP173" i="2"/>
  <c r="AG173" i="2"/>
  <c r="AE173" i="2"/>
  <c r="W173" i="2"/>
  <c r="V173" i="2"/>
  <c r="Q173" i="2"/>
  <c r="N173" i="2"/>
  <c r="I173" i="2"/>
  <c r="FY414" i="2"/>
  <c r="FJ414" i="2"/>
  <c r="CR414" i="2"/>
  <c r="CQ414" i="2"/>
  <c r="J414" i="2"/>
  <c r="I414" i="2"/>
  <c r="H414" i="2"/>
  <c r="FY172" i="2"/>
  <c r="FX172" i="2"/>
  <c r="FT172" i="2"/>
  <c r="FJ172" i="2"/>
  <c r="FE172" i="2"/>
  <c r="FD172" i="2"/>
  <c r="FB172" i="2"/>
  <c r="EV172" i="2"/>
  <c r="EP172" i="2"/>
  <c r="EO172" i="2"/>
  <c r="EN172" i="2"/>
  <c r="EK172" i="2"/>
  <c r="EH172" i="2"/>
  <c r="EG172" i="2"/>
  <c r="EF172" i="2"/>
  <c r="EE172" i="2"/>
  <c r="ED172" i="2"/>
  <c r="EA172" i="2"/>
  <c r="DY172" i="2"/>
  <c r="DP172" i="2"/>
  <c r="DN172" i="2"/>
  <c r="DF172" i="2"/>
  <c r="DE172" i="2"/>
  <c r="CY172" i="2"/>
  <c r="CV172" i="2"/>
  <c r="CQ172" i="2"/>
  <c r="CP172" i="2"/>
  <c r="CA172" i="2"/>
  <c r="BX172" i="2"/>
  <c r="BS172" i="2"/>
  <c r="BR172" i="2"/>
  <c r="BQ172" i="2"/>
  <c r="BO172" i="2"/>
  <c r="BF172" i="2"/>
  <c r="BE172" i="2"/>
  <c r="BD172" i="2"/>
  <c r="BB172" i="2"/>
  <c r="AY172" i="2"/>
  <c r="AX172" i="2"/>
  <c r="AW172" i="2"/>
  <c r="AV172" i="2"/>
  <c r="AU172" i="2"/>
  <c r="AR172" i="2"/>
  <c r="AP172" i="2"/>
  <c r="AG172" i="2"/>
  <c r="AE172" i="2"/>
  <c r="X172" i="2"/>
  <c r="W172" i="2"/>
  <c r="Q172" i="2"/>
  <c r="N172" i="2"/>
  <c r="I172" i="2"/>
  <c r="FY171" i="2"/>
  <c r="FT171" i="2"/>
  <c r="FJ171" i="2"/>
  <c r="FE171" i="2"/>
  <c r="FD171" i="2"/>
  <c r="FC171" i="2"/>
  <c r="EV171" i="2"/>
  <c r="EN171" i="2"/>
  <c r="EK171" i="2"/>
  <c r="EH171" i="2"/>
  <c r="EG171" i="2"/>
  <c r="EF171" i="2"/>
  <c r="EE171" i="2"/>
  <c r="ED171" i="2"/>
  <c r="EA171" i="2"/>
  <c r="DY171" i="2"/>
  <c r="DP171" i="2"/>
  <c r="DN171" i="2"/>
  <c r="DG171" i="2"/>
  <c r="DF171" i="2"/>
  <c r="CY171" i="2"/>
  <c r="CV171" i="2"/>
  <c r="CQ171" i="2"/>
  <c r="CA171" i="2"/>
  <c r="BT171" i="2"/>
  <c r="BS171" i="2"/>
  <c r="BR171" i="2"/>
  <c r="BQ171" i="2"/>
  <c r="BP171" i="2"/>
  <c r="BD171" i="2"/>
  <c r="BB171" i="2"/>
  <c r="AY171" i="2"/>
  <c r="AX171" i="2"/>
  <c r="AW171" i="2"/>
  <c r="AV171" i="2"/>
  <c r="AU171" i="2"/>
  <c r="AR171" i="2"/>
  <c r="AP171" i="2"/>
  <c r="AG171" i="2"/>
  <c r="AE171" i="2"/>
  <c r="Y171" i="2"/>
  <c r="X171" i="2"/>
  <c r="Q171" i="2"/>
  <c r="N171" i="2"/>
  <c r="I171" i="2"/>
  <c r="FY170" i="2"/>
  <c r="FT170" i="2"/>
  <c r="FJ170" i="2"/>
  <c r="FD170" i="2"/>
  <c r="FB170" i="2"/>
  <c r="EN170" i="2"/>
  <c r="EK170" i="2"/>
  <c r="EI170" i="2"/>
  <c r="EH170" i="2"/>
  <c r="EG170" i="2"/>
  <c r="EF170" i="2"/>
  <c r="ED170" i="2"/>
  <c r="EA170" i="2"/>
  <c r="DY170" i="2"/>
  <c r="DP170" i="2"/>
  <c r="DN170" i="2"/>
  <c r="DD170" i="2"/>
  <c r="CY170" i="2"/>
  <c r="CV170" i="2"/>
  <c r="CQ170" i="2"/>
  <c r="BY170" i="2"/>
  <c r="BQ170" i="2"/>
  <c r="BO170" i="2"/>
  <c r="BD170" i="2"/>
  <c r="BB170" i="2"/>
  <c r="AZ170" i="2"/>
  <c r="AY170" i="2"/>
  <c r="AX170" i="2"/>
  <c r="AW170" i="2"/>
  <c r="AU170" i="2"/>
  <c r="AR170" i="2"/>
  <c r="AP170" i="2"/>
  <c r="AG170" i="2"/>
  <c r="AE170" i="2"/>
  <c r="V170" i="2"/>
  <c r="Q170" i="2"/>
  <c r="N170" i="2"/>
  <c r="I170" i="2"/>
  <c r="FY169" i="2"/>
  <c r="EN169" i="2"/>
  <c r="CQ169" i="2"/>
  <c r="CA169" i="2"/>
  <c r="BD169" i="2"/>
  <c r="I169" i="2"/>
  <c r="FY168" i="2"/>
  <c r="FR168" i="2"/>
  <c r="EN168" i="2"/>
  <c r="EK168" i="2"/>
  <c r="EH168" i="2"/>
  <c r="EG168" i="2"/>
  <c r="EF168" i="2"/>
  <c r="ED168" i="2"/>
  <c r="CY168" i="2"/>
  <c r="CV168" i="2"/>
  <c r="CQ168" i="2"/>
  <c r="BW168" i="2"/>
  <c r="BS168" i="2"/>
  <c r="BD168" i="2"/>
  <c r="BB168" i="2"/>
  <c r="AY168" i="2"/>
  <c r="AX168" i="2"/>
  <c r="AW168" i="2"/>
  <c r="AU168" i="2"/>
  <c r="Q168" i="2"/>
  <c r="N168" i="2"/>
  <c r="I168" i="2"/>
  <c r="FY167" i="2"/>
  <c r="FX167" i="2"/>
  <c r="FT167" i="2"/>
  <c r="FJ167" i="2"/>
  <c r="FE167" i="2"/>
  <c r="FD167" i="2"/>
  <c r="EV167" i="2"/>
  <c r="EO167" i="2"/>
  <c r="EN167" i="2"/>
  <c r="EK167" i="2"/>
  <c r="EI167" i="2"/>
  <c r="EF167" i="2"/>
  <c r="ED167" i="2"/>
  <c r="EA167" i="2"/>
  <c r="DY167" i="2"/>
  <c r="DP167" i="2"/>
  <c r="DN167" i="2"/>
  <c r="CY167" i="2"/>
  <c r="CV167" i="2"/>
  <c r="CQ167" i="2"/>
  <c r="CP167" i="2"/>
  <c r="CA167" i="2"/>
  <c r="BY167" i="2"/>
  <c r="BW167" i="2"/>
  <c r="BU167" i="2"/>
  <c r="BT167" i="2"/>
  <c r="BS167" i="2"/>
  <c r="BR167" i="2"/>
  <c r="BQ167" i="2"/>
  <c r="BE167" i="2"/>
  <c r="BD167" i="2"/>
  <c r="BB167" i="2"/>
  <c r="AZ167" i="2"/>
  <c r="AW167" i="2"/>
  <c r="AU167" i="2"/>
  <c r="AR167" i="2"/>
  <c r="AP167" i="2"/>
  <c r="AG167" i="2"/>
  <c r="AE167" i="2"/>
  <c r="Q167" i="2"/>
  <c r="N167" i="2"/>
  <c r="I167" i="2"/>
  <c r="FY166" i="2"/>
  <c r="FX166" i="2"/>
  <c r="FT166" i="2"/>
  <c r="FJ166" i="2"/>
  <c r="EO166" i="2"/>
  <c r="EN166" i="2"/>
  <c r="EK166" i="2"/>
  <c r="EI166" i="2"/>
  <c r="EH166" i="2"/>
  <c r="EG166" i="2"/>
  <c r="EF166" i="2"/>
  <c r="ED166" i="2"/>
  <c r="EA166" i="2"/>
  <c r="DP166" i="2"/>
  <c r="DN166" i="2"/>
  <c r="DF166" i="2"/>
  <c r="CY166" i="2"/>
  <c r="CV166" i="2"/>
  <c r="CQ166" i="2"/>
  <c r="CP166" i="2"/>
  <c r="BZ166" i="2"/>
  <c r="BX166" i="2"/>
  <c r="BW166" i="2"/>
  <c r="BT166" i="2"/>
  <c r="BE166" i="2"/>
  <c r="BD166" i="2"/>
  <c r="BB166" i="2"/>
  <c r="AZ166" i="2"/>
  <c r="AY166" i="2"/>
  <c r="AX166" i="2"/>
  <c r="AW166" i="2"/>
  <c r="AU166" i="2"/>
  <c r="AR166" i="2"/>
  <c r="AG166" i="2"/>
  <c r="AE166" i="2"/>
  <c r="X166" i="2"/>
  <c r="Q166" i="2"/>
  <c r="N166" i="2"/>
  <c r="I166" i="2"/>
  <c r="FY165" i="2"/>
  <c r="FT165" i="2"/>
  <c r="FJ165" i="2"/>
  <c r="EU165" i="2"/>
  <c r="ET165" i="2"/>
  <c r="EP165" i="2"/>
  <c r="EN165" i="2"/>
  <c r="ED165" i="2"/>
  <c r="DY165" i="2"/>
  <c r="DN165" i="2"/>
  <c r="CV165" i="2"/>
  <c r="CQ165" i="2"/>
  <c r="BJ165" i="2"/>
  <c r="BI165" i="2"/>
  <c r="BF165" i="2"/>
  <c r="BD165" i="2"/>
  <c r="AU165" i="2"/>
  <c r="AP165" i="2"/>
  <c r="AE165" i="2"/>
  <c r="N165" i="2"/>
  <c r="I165" i="2"/>
  <c r="FY164" i="2"/>
  <c r="FT164" i="2"/>
  <c r="FJ164" i="2"/>
  <c r="EN164" i="2"/>
  <c r="EK164" i="2"/>
  <c r="EI164" i="2"/>
  <c r="EH164" i="2"/>
  <c r="EF164" i="2"/>
  <c r="ED164" i="2"/>
  <c r="DY164" i="2"/>
  <c r="DP164" i="2"/>
  <c r="DN164" i="2"/>
  <c r="CY164" i="2"/>
  <c r="CV164" i="2"/>
  <c r="CQ164" i="2"/>
  <c r="CA164" i="2"/>
  <c r="BX164" i="2"/>
  <c r="BW164" i="2"/>
  <c r="BT164" i="2"/>
  <c r="BS164" i="2"/>
  <c r="BD164" i="2"/>
  <c r="BB164" i="2"/>
  <c r="AZ164" i="2"/>
  <c r="AY164" i="2"/>
  <c r="AW164" i="2"/>
  <c r="AU164" i="2"/>
  <c r="AP164" i="2"/>
  <c r="AG164" i="2"/>
  <c r="AE164" i="2"/>
  <c r="Q164" i="2"/>
  <c r="N164" i="2"/>
  <c r="I164" i="2"/>
  <c r="FY163" i="2"/>
  <c r="FT163" i="2"/>
  <c r="FJ163" i="2"/>
  <c r="EN163" i="2"/>
  <c r="EK163" i="2"/>
  <c r="EI163" i="2"/>
  <c r="EH163" i="2"/>
  <c r="EF163" i="2"/>
  <c r="EE163" i="2"/>
  <c r="ED163" i="2"/>
  <c r="CY163" i="2"/>
  <c r="CV163" i="2"/>
  <c r="CQ163" i="2"/>
  <c r="BS163" i="2"/>
  <c r="BD163" i="2"/>
  <c r="BB163" i="2"/>
  <c r="AZ163" i="2"/>
  <c r="AY163" i="2"/>
  <c r="AW163" i="2"/>
  <c r="AV163" i="2"/>
  <c r="AU163" i="2"/>
  <c r="Q163" i="2"/>
  <c r="N163" i="2"/>
  <c r="I163" i="2"/>
  <c r="FY438" i="2"/>
  <c r="FV438" i="2"/>
  <c r="FN438" i="2"/>
  <c r="FJ438" i="2"/>
  <c r="EC438" i="2"/>
  <c r="CR438" i="2"/>
  <c r="CQ438" i="2"/>
  <c r="CN438" i="2"/>
  <c r="CI438" i="2"/>
  <c r="CH438" i="2"/>
  <c r="BW438" i="2"/>
  <c r="AT438" i="2"/>
  <c r="J438" i="2"/>
  <c r="I438" i="2"/>
  <c r="H438" i="2"/>
  <c r="FY162" i="2"/>
  <c r="FX162" i="2"/>
  <c r="FT162" i="2"/>
  <c r="FJ162" i="2"/>
  <c r="FB162" i="2"/>
  <c r="EU162" i="2"/>
  <c r="ET162" i="2"/>
  <c r="EP162" i="2"/>
  <c r="EN162" i="2"/>
  <c r="EG162" i="2"/>
  <c r="EF162" i="2"/>
  <c r="ED162" i="2"/>
  <c r="DY162" i="2"/>
  <c r="DF162" i="2"/>
  <c r="CY162" i="2"/>
  <c r="CV162" i="2"/>
  <c r="CQ162" i="2"/>
  <c r="CP162" i="2"/>
  <c r="BS162" i="2"/>
  <c r="BO162" i="2"/>
  <c r="BJ162" i="2"/>
  <c r="BI162" i="2"/>
  <c r="BF162" i="2"/>
  <c r="BD162" i="2"/>
  <c r="AX162" i="2"/>
  <c r="AW162" i="2"/>
  <c r="AU162" i="2"/>
  <c r="AP162" i="2"/>
  <c r="X162" i="2"/>
  <c r="Q162" i="2"/>
  <c r="N162" i="2"/>
  <c r="I162" i="2"/>
  <c r="FY161" i="2"/>
  <c r="FX161" i="2"/>
  <c r="FT161" i="2"/>
  <c r="FJ161" i="2"/>
  <c r="FD161" i="2"/>
  <c r="FB161" i="2"/>
  <c r="EV161" i="2"/>
  <c r="EO161" i="2"/>
  <c r="EN161" i="2"/>
  <c r="EI161" i="2"/>
  <c r="EH161" i="2"/>
  <c r="EG161" i="2"/>
  <c r="EF161" i="2"/>
  <c r="EE161" i="2"/>
  <c r="ED161" i="2"/>
  <c r="EA161" i="2"/>
  <c r="DY161" i="2"/>
  <c r="DP161" i="2"/>
  <c r="DN161" i="2"/>
  <c r="DG161" i="2"/>
  <c r="DF161" i="2"/>
  <c r="DE161" i="2"/>
  <c r="DD161" i="2"/>
  <c r="CY161" i="2"/>
  <c r="CV161" i="2"/>
  <c r="CQ161" i="2"/>
  <c r="CP161" i="2"/>
  <c r="CA161" i="2"/>
  <c r="BT161" i="2"/>
  <c r="BQ161" i="2"/>
  <c r="BO161" i="2"/>
  <c r="BE161" i="2"/>
  <c r="BD161" i="2"/>
  <c r="AZ161" i="2"/>
  <c r="AY161" i="2"/>
  <c r="AX161" i="2"/>
  <c r="AW161" i="2"/>
  <c r="AV161" i="2"/>
  <c r="AU161" i="2"/>
  <c r="AR161" i="2"/>
  <c r="AP161" i="2"/>
  <c r="AG161" i="2"/>
  <c r="AE161" i="2"/>
  <c r="Y161" i="2"/>
  <c r="X161" i="2"/>
  <c r="W161" i="2"/>
  <c r="V161" i="2"/>
  <c r="Q161" i="2"/>
  <c r="N161" i="2"/>
  <c r="I161" i="2"/>
  <c r="FY413" i="2"/>
  <c r="FW413" i="2"/>
  <c r="FV413" i="2"/>
  <c r="FS413" i="2"/>
  <c r="FP413" i="2"/>
  <c r="FO413" i="2"/>
  <c r="FN413" i="2"/>
  <c r="FM413" i="2"/>
  <c r="FJ413" i="2"/>
  <c r="FG413" i="2"/>
  <c r="EW413" i="2"/>
  <c r="CS413" i="2"/>
  <c r="CR413" i="2"/>
  <c r="CQ413" i="2"/>
  <c r="CO413" i="2"/>
  <c r="CN413" i="2"/>
  <c r="CL413" i="2"/>
  <c r="CJ413" i="2"/>
  <c r="CI413" i="2"/>
  <c r="CH413" i="2"/>
  <c r="CG413" i="2"/>
  <c r="BW413" i="2"/>
  <c r="K413" i="2"/>
  <c r="J413" i="2"/>
  <c r="I413" i="2"/>
  <c r="H413" i="2"/>
  <c r="FY160" i="2"/>
  <c r="FX160" i="2"/>
  <c r="FT160" i="2"/>
  <c r="FJ160" i="2"/>
  <c r="EN160" i="2"/>
  <c r="EI160" i="2"/>
  <c r="EH160" i="2"/>
  <c r="EG160" i="2"/>
  <c r="EF160" i="2"/>
  <c r="EE160" i="2"/>
  <c r="ED160" i="2"/>
  <c r="CY160" i="2"/>
  <c r="CV160" i="2"/>
  <c r="CQ160" i="2"/>
  <c r="CP160" i="2"/>
  <c r="BY160" i="2"/>
  <c r="BD160" i="2"/>
  <c r="AZ160" i="2"/>
  <c r="AY160" i="2"/>
  <c r="AX160" i="2"/>
  <c r="AW160" i="2"/>
  <c r="AV160" i="2"/>
  <c r="AU160" i="2"/>
  <c r="Q160" i="2"/>
  <c r="N160" i="2"/>
  <c r="I160" i="2"/>
  <c r="FY159" i="2"/>
  <c r="FJ159" i="2"/>
  <c r="FD159" i="2"/>
  <c r="FB159" i="2"/>
  <c r="EN159" i="2"/>
  <c r="EH159" i="2"/>
  <c r="EF159" i="2"/>
  <c r="ED159" i="2"/>
  <c r="DY159" i="2"/>
  <c r="DN159" i="2"/>
  <c r="DF159" i="2"/>
  <c r="CY159" i="2"/>
  <c r="CV159" i="2"/>
  <c r="CQ159" i="2"/>
  <c r="CA159" i="2"/>
  <c r="BY159" i="2"/>
  <c r="BT159" i="2"/>
  <c r="BQ159" i="2"/>
  <c r="BO159" i="2"/>
  <c r="BD159" i="2"/>
  <c r="AY159" i="2"/>
  <c r="AW159" i="2"/>
  <c r="AU159" i="2"/>
  <c r="AP159" i="2"/>
  <c r="AE159" i="2"/>
  <c r="X159" i="2"/>
  <c r="Q159" i="2"/>
  <c r="N159" i="2"/>
  <c r="I159" i="2"/>
  <c r="FY158" i="2"/>
  <c r="FX158" i="2"/>
  <c r="FT158" i="2"/>
  <c r="FJ158" i="2"/>
  <c r="FB158" i="2"/>
  <c r="EN158" i="2"/>
  <c r="EK158" i="2"/>
  <c r="EH158" i="2"/>
  <c r="EF158" i="2"/>
  <c r="EE158" i="2"/>
  <c r="ED158" i="2"/>
  <c r="EA158" i="2"/>
  <c r="DY158" i="2"/>
  <c r="DP158" i="2"/>
  <c r="DN158" i="2"/>
  <c r="DF158" i="2"/>
  <c r="DD158" i="2"/>
  <c r="CY158" i="2"/>
  <c r="CV158" i="2"/>
  <c r="CQ158" i="2"/>
  <c r="CP158" i="2"/>
  <c r="BW158" i="2"/>
  <c r="BO158" i="2"/>
  <c r="BD158" i="2"/>
  <c r="BB158" i="2"/>
  <c r="AY158" i="2"/>
  <c r="AW158" i="2"/>
  <c r="AV158" i="2"/>
  <c r="AU158" i="2"/>
  <c r="AR158" i="2"/>
  <c r="AP158" i="2"/>
  <c r="AG158" i="2"/>
  <c r="AE158" i="2"/>
  <c r="X158" i="2"/>
  <c r="V158" i="2"/>
  <c r="Q158" i="2"/>
  <c r="N158" i="2"/>
  <c r="I158" i="2"/>
  <c r="FY412" i="2"/>
  <c r="FM412" i="2"/>
  <c r="FG412" i="2"/>
  <c r="CR412" i="2"/>
  <c r="CQ412" i="2"/>
  <c r="CG412" i="2"/>
  <c r="BW412" i="2"/>
  <c r="J412" i="2"/>
  <c r="I412" i="2"/>
  <c r="H412" i="2"/>
  <c r="FY157" i="2"/>
  <c r="FT157" i="2"/>
  <c r="FJ157" i="2"/>
  <c r="FH157" i="2"/>
  <c r="FF157" i="2"/>
  <c r="EY157" i="2"/>
  <c r="EX157" i="2"/>
  <c r="EN157" i="2"/>
  <c r="EK157" i="2"/>
  <c r="EH157" i="2"/>
  <c r="EF157" i="2"/>
  <c r="EE157" i="2"/>
  <c r="ED157" i="2"/>
  <c r="DF157" i="2"/>
  <c r="CY157" i="2"/>
  <c r="CV157" i="2"/>
  <c r="CQ157" i="2"/>
  <c r="CB157" i="2"/>
  <c r="BU157" i="2"/>
  <c r="BL157" i="2"/>
  <c r="BK157" i="2"/>
  <c r="BD157" i="2"/>
  <c r="BB157" i="2"/>
  <c r="AY157" i="2"/>
  <c r="AW157" i="2"/>
  <c r="AV157" i="2"/>
  <c r="AU157" i="2"/>
  <c r="X157" i="2"/>
  <c r="Q157" i="2"/>
  <c r="N157" i="2"/>
  <c r="I157" i="2"/>
  <c r="FY156" i="2"/>
  <c r="FX156" i="2"/>
  <c r="FT156" i="2"/>
  <c r="FJ156" i="2"/>
  <c r="EV156" i="2"/>
  <c r="EO156" i="2"/>
  <c r="EN156" i="2"/>
  <c r="EK156" i="2"/>
  <c r="EI156" i="2"/>
  <c r="EH156" i="2"/>
  <c r="EF156" i="2"/>
  <c r="ED156" i="2"/>
  <c r="DY156" i="2"/>
  <c r="DP156" i="2"/>
  <c r="DN156" i="2"/>
  <c r="CV156" i="2"/>
  <c r="CQ156" i="2"/>
  <c r="CP156" i="2"/>
  <c r="CA156" i="2"/>
  <c r="BS156" i="2"/>
  <c r="BE156" i="2"/>
  <c r="BD156" i="2"/>
  <c r="BB156" i="2"/>
  <c r="AZ156" i="2"/>
  <c r="AY156" i="2"/>
  <c r="AW156" i="2"/>
  <c r="AU156" i="2"/>
  <c r="AP156" i="2"/>
  <c r="AG156" i="2"/>
  <c r="AE156" i="2"/>
  <c r="N156" i="2"/>
  <c r="I156" i="2"/>
  <c r="FY155" i="2"/>
  <c r="FX155" i="2"/>
  <c r="FT155" i="2"/>
  <c r="FJ155" i="2"/>
  <c r="FF155" i="2"/>
  <c r="FD155" i="2"/>
  <c r="FB155" i="2"/>
  <c r="EN155" i="2"/>
  <c r="EK155" i="2"/>
  <c r="EI155" i="2"/>
  <c r="EH155" i="2"/>
  <c r="EG155" i="2"/>
  <c r="EF155" i="2"/>
  <c r="EE155" i="2"/>
  <c r="ED155" i="2"/>
  <c r="EA155" i="2"/>
  <c r="DY155" i="2"/>
  <c r="DP155" i="2"/>
  <c r="DN155" i="2"/>
  <c r="CY155" i="2"/>
  <c r="CV155" i="2"/>
  <c r="CQ155" i="2"/>
  <c r="CP155" i="2"/>
  <c r="BY155" i="2"/>
  <c r="BU155" i="2"/>
  <c r="BQ155" i="2"/>
  <c r="BO155" i="2"/>
  <c r="BD155" i="2"/>
  <c r="BB155" i="2"/>
  <c r="AZ155" i="2"/>
  <c r="AY155" i="2"/>
  <c r="AX155" i="2"/>
  <c r="AW155" i="2"/>
  <c r="AV155" i="2"/>
  <c r="AU155" i="2"/>
  <c r="AR155" i="2"/>
  <c r="AP155" i="2"/>
  <c r="AG155" i="2"/>
  <c r="AE155" i="2"/>
  <c r="Q155" i="2"/>
  <c r="N155" i="2"/>
  <c r="I155" i="2"/>
  <c r="FY154" i="2"/>
  <c r="FT154" i="2"/>
  <c r="FJ154" i="2"/>
  <c r="EN154" i="2"/>
  <c r="EK154" i="2"/>
  <c r="EI154" i="2"/>
  <c r="EH154" i="2"/>
  <c r="EG154" i="2"/>
  <c r="EF154" i="2"/>
  <c r="EE154" i="2"/>
  <c r="ED154" i="2"/>
  <c r="DY154" i="2"/>
  <c r="DP154" i="2"/>
  <c r="DN154" i="2"/>
  <c r="CY154" i="2"/>
  <c r="CV154" i="2"/>
  <c r="CQ154" i="2"/>
  <c r="CA154" i="2"/>
  <c r="BZ154" i="2"/>
  <c r="BU154" i="2"/>
  <c r="BT154" i="2"/>
  <c r="BS154" i="2"/>
  <c r="BD154" i="2"/>
  <c r="BB154" i="2"/>
  <c r="AZ154" i="2"/>
  <c r="AY154" i="2"/>
  <c r="AX154" i="2"/>
  <c r="AW154" i="2"/>
  <c r="AV154" i="2"/>
  <c r="AU154" i="2"/>
  <c r="AP154" i="2"/>
  <c r="AG154" i="2"/>
  <c r="AE154" i="2"/>
  <c r="Q154" i="2"/>
  <c r="N154" i="2"/>
  <c r="I154" i="2"/>
  <c r="FY153" i="2"/>
  <c r="FX153" i="2"/>
  <c r="FT153" i="2"/>
  <c r="FJ153" i="2"/>
  <c r="EN153" i="2"/>
  <c r="EI153" i="2"/>
  <c r="EH153" i="2"/>
  <c r="EG153" i="2"/>
  <c r="EF153" i="2"/>
  <c r="EE153" i="2"/>
  <c r="ED153" i="2"/>
  <c r="CY153" i="2"/>
  <c r="CV153" i="2"/>
  <c r="CQ153" i="2"/>
  <c r="CP153" i="2"/>
  <c r="CA153" i="2"/>
  <c r="BY153" i="2"/>
  <c r="BD153" i="2"/>
  <c r="AZ153" i="2"/>
  <c r="AY153" i="2"/>
  <c r="AX153" i="2"/>
  <c r="AW153" i="2"/>
  <c r="AV153" i="2"/>
  <c r="AU153" i="2"/>
  <c r="Q153" i="2"/>
  <c r="N153" i="2"/>
  <c r="I153" i="2"/>
  <c r="FY152" i="2"/>
  <c r="FT152" i="2"/>
  <c r="FJ152" i="2"/>
  <c r="FF152" i="2"/>
  <c r="FD152" i="2"/>
  <c r="FB152" i="2"/>
  <c r="EN152" i="2"/>
  <c r="EK152" i="2"/>
  <c r="EI152" i="2"/>
  <c r="EH152" i="2"/>
  <c r="EF152" i="2"/>
  <c r="EE152" i="2"/>
  <c r="ED152" i="2"/>
  <c r="DY152" i="2"/>
  <c r="DP152" i="2"/>
  <c r="DN152" i="2"/>
  <c r="CY152" i="2"/>
  <c r="CV152" i="2"/>
  <c r="CQ152" i="2"/>
  <c r="CA152" i="2"/>
  <c r="BW152" i="2"/>
  <c r="BU152" i="2"/>
  <c r="BT152" i="2"/>
  <c r="BQ152" i="2"/>
  <c r="BO152" i="2"/>
  <c r="BD152" i="2"/>
  <c r="BB152" i="2"/>
  <c r="AZ152" i="2"/>
  <c r="AY152" i="2"/>
  <c r="AW152" i="2"/>
  <c r="AV152" i="2"/>
  <c r="AU152" i="2"/>
  <c r="AP152" i="2"/>
  <c r="AG152" i="2"/>
  <c r="AE152" i="2"/>
  <c r="Q152" i="2"/>
  <c r="N152" i="2"/>
  <c r="I152" i="2"/>
  <c r="FY151" i="2"/>
  <c r="FT151" i="2"/>
  <c r="FJ151" i="2"/>
  <c r="FD151" i="2"/>
  <c r="EQ151" i="2"/>
  <c r="EN151" i="2"/>
  <c r="EH151" i="2"/>
  <c r="EF151" i="2"/>
  <c r="ED151" i="2"/>
  <c r="CQ151" i="2"/>
  <c r="BQ151" i="2"/>
  <c r="BG151" i="2"/>
  <c r="BD151" i="2"/>
  <c r="AY151" i="2"/>
  <c r="AW151" i="2"/>
  <c r="AU151" i="2"/>
  <c r="I151" i="2"/>
  <c r="FY150" i="2"/>
  <c r="FX150" i="2"/>
  <c r="FT150" i="2"/>
  <c r="FJ150" i="2"/>
  <c r="FE150" i="2"/>
  <c r="FD150" i="2"/>
  <c r="FB150" i="2"/>
  <c r="ES150" i="2"/>
  <c r="EN150" i="2"/>
  <c r="EH150" i="2"/>
  <c r="EF150" i="2"/>
  <c r="ED150" i="2"/>
  <c r="EA150" i="2"/>
  <c r="DY150" i="2"/>
  <c r="DP150" i="2"/>
  <c r="DN150" i="2"/>
  <c r="DH150" i="2"/>
  <c r="DG150" i="2"/>
  <c r="DF150" i="2"/>
  <c r="DE150" i="2"/>
  <c r="DD150" i="2"/>
  <c r="CY150" i="2"/>
  <c r="CV150" i="2"/>
  <c r="CQ150" i="2"/>
  <c r="CP150" i="2"/>
  <c r="BR150" i="2"/>
  <c r="BQ150" i="2"/>
  <c r="BO150" i="2"/>
  <c r="BH150" i="2"/>
  <c r="BD150" i="2"/>
  <c r="AY150" i="2"/>
  <c r="AW150" i="2"/>
  <c r="AU150" i="2"/>
  <c r="AR150" i="2"/>
  <c r="AP150" i="2"/>
  <c r="AG150" i="2"/>
  <c r="AE150" i="2"/>
  <c r="Z150" i="2"/>
  <c r="Y150" i="2"/>
  <c r="X150" i="2"/>
  <c r="W150" i="2"/>
  <c r="V150" i="2"/>
  <c r="Q150" i="2"/>
  <c r="N150" i="2"/>
  <c r="I150" i="2"/>
  <c r="FY149" i="2"/>
  <c r="FX149" i="2"/>
  <c r="FT149" i="2"/>
  <c r="FJ149" i="2"/>
  <c r="FD149" i="2"/>
  <c r="FB149" i="2"/>
  <c r="EQ149" i="2"/>
  <c r="EN149" i="2"/>
  <c r="EK149" i="2"/>
  <c r="EH149" i="2"/>
  <c r="EG149" i="2"/>
  <c r="EF149" i="2"/>
  <c r="EE149" i="2"/>
  <c r="ED149" i="2"/>
  <c r="DY149" i="2"/>
  <c r="DP149" i="2"/>
  <c r="DN149" i="2"/>
  <c r="DH149" i="2"/>
  <c r="CY149" i="2"/>
  <c r="CV149" i="2"/>
  <c r="CQ149" i="2"/>
  <c r="CP149" i="2"/>
  <c r="CC149" i="2"/>
  <c r="CA149" i="2"/>
  <c r="BY149" i="2"/>
  <c r="BW149" i="2"/>
  <c r="BS149" i="2"/>
  <c r="BQ149" i="2"/>
  <c r="BO149" i="2"/>
  <c r="BG149" i="2"/>
  <c r="BD149" i="2"/>
  <c r="BB149" i="2"/>
  <c r="AY149" i="2"/>
  <c r="AX149" i="2"/>
  <c r="AW149" i="2"/>
  <c r="AV149" i="2"/>
  <c r="AU149" i="2"/>
  <c r="AP149" i="2"/>
  <c r="AG149" i="2"/>
  <c r="AE149" i="2"/>
  <c r="Z149" i="2"/>
  <c r="Q149" i="2"/>
  <c r="N149" i="2"/>
  <c r="I149" i="2"/>
  <c r="FY148" i="2"/>
  <c r="FT148" i="2"/>
  <c r="FJ148" i="2"/>
  <c r="EN148" i="2"/>
  <c r="EK148" i="2"/>
  <c r="EI148" i="2"/>
  <c r="EH148" i="2"/>
  <c r="EG148" i="2"/>
  <c r="EF148" i="2"/>
  <c r="ED148" i="2"/>
  <c r="EA148" i="2"/>
  <c r="DY148" i="2"/>
  <c r="DH148" i="2"/>
  <c r="DG148" i="2"/>
  <c r="DF148" i="2"/>
  <c r="DE148" i="2"/>
  <c r="DD148" i="2"/>
  <c r="DC148" i="2"/>
  <c r="CY148" i="2"/>
  <c r="CV148" i="2"/>
  <c r="CQ148" i="2"/>
  <c r="CA148" i="2"/>
  <c r="BT148" i="2"/>
  <c r="BD148" i="2"/>
  <c r="BB148" i="2"/>
  <c r="AZ148" i="2"/>
  <c r="AY148" i="2"/>
  <c r="AX148" i="2"/>
  <c r="AW148" i="2"/>
  <c r="AU148" i="2"/>
  <c r="AR148" i="2"/>
  <c r="AP148" i="2"/>
  <c r="Z148" i="2"/>
  <c r="Y148" i="2"/>
  <c r="X148" i="2"/>
  <c r="W148" i="2"/>
  <c r="V148" i="2"/>
  <c r="U148" i="2"/>
  <c r="Q148" i="2"/>
  <c r="N148" i="2"/>
  <c r="I148" i="2"/>
  <c r="FY147" i="2"/>
  <c r="FT147" i="2"/>
  <c r="FJ147" i="2"/>
  <c r="FF147" i="2"/>
  <c r="EO147" i="2"/>
  <c r="EN147" i="2"/>
  <c r="EK147" i="2"/>
  <c r="EI147" i="2"/>
  <c r="EH147" i="2"/>
  <c r="EF147" i="2"/>
  <c r="ED147" i="2"/>
  <c r="CY147" i="2"/>
  <c r="CV147" i="2"/>
  <c r="CQ147" i="2"/>
  <c r="CA147" i="2"/>
  <c r="BY147" i="2"/>
  <c r="BX147" i="2"/>
  <c r="BW147" i="2"/>
  <c r="BU147" i="2"/>
  <c r="BT147" i="2"/>
  <c r="BS147" i="2"/>
  <c r="BE147" i="2"/>
  <c r="BD147" i="2"/>
  <c r="BB147" i="2"/>
  <c r="AZ147" i="2"/>
  <c r="AY147" i="2"/>
  <c r="AW147" i="2"/>
  <c r="AU147" i="2"/>
  <c r="Q147" i="2"/>
  <c r="N147" i="2"/>
  <c r="I147" i="2"/>
  <c r="FY146" i="2"/>
  <c r="FX146" i="2"/>
  <c r="FJ146" i="2"/>
  <c r="EO146" i="2"/>
  <c r="EN146" i="2"/>
  <c r="EK146" i="2"/>
  <c r="EH146" i="2"/>
  <c r="EF146" i="2"/>
  <c r="EE146" i="2"/>
  <c r="ED146" i="2"/>
  <c r="DY146" i="2"/>
  <c r="DP146" i="2"/>
  <c r="DN146" i="2"/>
  <c r="DE146" i="2"/>
  <c r="DD146" i="2"/>
  <c r="CY146" i="2"/>
  <c r="CV146" i="2"/>
  <c r="CQ146" i="2"/>
  <c r="CP146" i="2"/>
  <c r="CA146" i="2"/>
  <c r="BZ146" i="2"/>
  <c r="BX146" i="2"/>
  <c r="BT146" i="2"/>
  <c r="BE146" i="2"/>
  <c r="BD146" i="2"/>
  <c r="BB146" i="2"/>
  <c r="AY146" i="2"/>
  <c r="AW146" i="2"/>
  <c r="AV146" i="2"/>
  <c r="AU146" i="2"/>
  <c r="AP146" i="2"/>
  <c r="AG146" i="2"/>
  <c r="AE146" i="2"/>
  <c r="W146" i="2"/>
  <c r="V146" i="2"/>
  <c r="Q146" i="2"/>
  <c r="N146" i="2"/>
  <c r="I146" i="2"/>
  <c r="FY145" i="2"/>
  <c r="FT145" i="2"/>
  <c r="FJ145" i="2"/>
  <c r="EO145" i="2"/>
  <c r="EN145" i="2"/>
  <c r="EK145" i="2"/>
  <c r="EI145" i="2"/>
  <c r="EH145" i="2"/>
  <c r="EG145" i="2"/>
  <c r="EF145" i="2"/>
  <c r="EE145" i="2"/>
  <c r="ED145" i="2"/>
  <c r="DY145" i="2"/>
  <c r="DP145" i="2"/>
  <c r="DN145" i="2"/>
  <c r="DH145" i="2"/>
  <c r="CY145" i="2"/>
  <c r="CV145" i="2"/>
  <c r="CQ145" i="2"/>
  <c r="CA145" i="2"/>
  <c r="BZ145" i="2"/>
  <c r="BY145" i="2"/>
  <c r="BT145" i="2"/>
  <c r="BS145" i="2"/>
  <c r="BE145" i="2"/>
  <c r="BD145" i="2"/>
  <c r="BB145" i="2"/>
  <c r="AZ145" i="2"/>
  <c r="AY145" i="2"/>
  <c r="AX145" i="2"/>
  <c r="AW145" i="2"/>
  <c r="AV145" i="2"/>
  <c r="AU145" i="2"/>
  <c r="AP145" i="2"/>
  <c r="AG145" i="2"/>
  <c r="AE145" i="2"/>
  <c r="Z145" i="2"/>
  <c r="Q145" i="2"/>
  <c r="N145" i="2"/>
  <c r="I145" i="2"/>
  <c r="FY144" i="2"/>
  <c r="FX144" i="2"/>
  <c r="FT144" i="2"/>
  <c r="FJ144" i="2"/>
  <c r="FD144" i="2"/>
  <c r="FB144" i="2"/>
  <c r="EV144" i="2"/>
  <c r="EQ144" i="2"/>
  <c r="EP144" i="2"/>
  <c r="EO144" i="2"/>
  <c r="EN144" i="2"/>
  <c r="EK144" i="2"/>
  <c r="EI144" i="2"/>
  <c r="EH144" i="2"/>
  <c r="EG144" i="2"/>
  <c r="EF144" i="2"/>
  <c r="EE144" i="2"/>
  <c r="ED144" i="2"/>
  <c r="EA144" i="2"/>
  <c r="DY144" i="2"/>
  <c r="DP144" i="2"/>
  <c r="DN144" i="2"/>
  <c r="DG144" i="2"/>
  <c r="DF144" i="2"/>
  <c r="DE144" i="2"/>
  <c r="CY144" i="2"/>
  <c r="CV144" i="2"/>
  <c r="CQ144" i="2"/>
  <c r="CP144" i="2"/>
  <c r="CA144" i="2"/>
  <c r="BY144" i="2"/>
  <c r="BT144" i="2"/>
  <c r="BQ144" i="2"/>
  <c r="BO144" i="2"/>
  <c r="BG144" i="2"/>
  <c r="BF144" i="2"/>
  <c r="BE144" i="2"/>
  <c r="BD144" i="2"/>
  <c r="BB144" i="2"/>
  <c r="AZ144" i="2"/>
  <c r="AY144" i="2"/>
  <c r="AX144" i="2"/>
  <c r="AW144" i="2"/>
  <c r="AV144" i="2"/>
  <c r="AU144" i="2"/>
  <c r="AR144" i="2"/>
  <c r="AP144" i="2"/>
  <c r="AG144" i="2"/>
  <c r="AE144" i="2"/>
  <c r="Y144" i="2"/>
  <c r="X144" i="2"/>
  <c r="W144" i="2"/>
  <c r="Q144" i="2"/>
  <c r="N144" i="2"/>
  <c r="I144" i="2"/>
  <c r="FY143" i="2"/>
  <c r="FT143" i="2"/>
  <c r="FJ143" i="2"/>
  <c r="FD143" i="2"/>
  <c r="FB143" i="2"/>
  <c r="EN143" i="2"/>
  <c r="EK143" i="2"/>
  <c r="EH143" i="2"/>
  <c r="EG143" i="2"/>
  <c r="EF143" i="2"/>
  <c r="ED143" i="2"/>
  <c r="EA143" i="2"/>
  <c r="DY143" i="2"/>
  <c r="DP143" i="2"/>
  <c r="DN143" i="2"/>
  <c r="CY143" i="2"/>
  <c r="CV143" i="2"/>
  <c r="CQ143" i="2"/>
  <c r="CA143" i="2"/>
  <c r="BZ143" i="2"/>
  <c r="BY143" i="2"/>
  <c r="BT143" i="2"/>
  <c r="BQ143" i="2"/>
  <c r="BO143" i="2"/>
  <c r="BD143" i="2"/>
  <c r="BB143" i="2"/>
  <c r="AY143" i="2"/>
  <c r="AX143" i="2"/>
  <c r="AW143" i="2"/>
  <c r="AU143" i="2"/>
  <c r="AR143" i="2"/>
  <c r="AP143" i="2"/>
  <c r="AG143" i="2"/>
  <c r="AE143" i="2"/>
  <c r="Q143" i="2"/>
  <c r="N143" i="2"/>
  <c r="I143" i="2"/>
  <c r="FY142" i="2"/>
  <c r="FT142" i="2"/>
  <c r="FJ142" i="2"/>
  <c r="FE142" i="2"/>
  <c r="FD142" i="2"/>
  <c r="EP142" i="2"/>
  <c r="EN142" i="2"/>
  <c r="EI142" i="2"/>
  <c r="EH142" i="2"/>
  <c r="EG142" i="2"/>
  <c r="EF142" i="2"/>
  <c r="ED142" i="2"/>
  <c r="EA142" i="2"/>
  <c r="DP142" i="2"/>
  <c r="DG142" i="2"/>
  <c r="DF142" i="2"/>
  <c r="DE142" i="2"/>
  <c r="CY142" i="2"/>
  <c r="CV142" i="2"/>
  <c r="CQ142" i="2"/>
  <c r="BY142" i="2"/>
  <c r="BW142" i="2"/>
  <c r="BR142" i="2"/>
  <c r="BQ142" i="2"/>
  <c r="BF142" i="2"/>
  <c r="BD142" i="2"/>
  <c r="AZ142" i="2"/>
  <c r="AY142" i="2"/>
  <c r="AX142" i="2"/>
  <c r="AW142" i="2"/>
  <c r="AU142" i="2"/>
  <c r="AR142" i="2"/>
  <c r="AG142" i="2"/>
  <c r="Y142" i="2"/>
  <c r="X142" i="2"/>
  <c r="W142" i="2"/>
  <c r="Q142" i="2"/>
  <c r="N142" i="2"/>
  <c r="I142" i="2"/>
  <c r="FY141" i="2"/>
  <c r="FT141" i="2"/>
  <c r="FJ141" i="2"/>
  <c r="FE141" i="2"/>
  <c r="FD141" i="2"/>
  <c r="FC141" i="2"/>
  <c r="FB141" i="2"/>
  <c r="FA141" i="2"/>
  <c r="EN141" i="2"/>
  <c r="EK141" i="2"/>
  <c r="EI141" i="2"/>
  <c r="EH141" i="2"/>
  <c r="EG141" i="2"/>
  <c r="EF141" i="2"/>
  <c r="ED141" i="2"/>
  <c r="EA141" i="2"/>
  <c r="DY141" i="2"/>
  <c r="DP141" i="2"/>
  <c r="DN141" i="2"/>
  <c r="DG141" i="2"/>
  <c r="DF141" i="2"/>
  <c r="DE141" i="2"/>
  <c r="DD141" i="2"/>
  <c r="CY141" i="2"/>
  <c r="CV141" i="2"/>
  <c r="CQ141" i="2"/>
  <c r="BY141" i="2"/>
  <c r="BR141" i="2"/>
  <c r="BQ141" i="2"/>
  <c r="BP141" i="2"/>
  <c r="BO141" i="2"/>
  <c r="BN141" i="2"/>
  <c r="BD141" i="2"/>
  <c r="BB141" i="2"/>
  <c r="AZ141" i="2"/>
  <c r="AY141" i="2"/>
  <c r="AX141" i="2"/>
  <c r="AW141" i="2"/>
  <c r="AU141" i="2"/>
  <c r="AR141" i="2"/>
  <c r="AP141" i="2"/>
  <c r="AG141" i="2"/>
  <c r="AE141" i="2"/>
  <c r="Y141" i="2"/>
  <c r="X141" i="2"/>
  <c r="W141" i="2"/>
  <c r="V141" i="2"/>
  <c r="Q141" i="2"/>
  <c r="N141" i="2"/>
  <c r="I141" i="2"/>
  <c r="FY140" i="2"/>
  <c r="FT140" i="2"/>
  <c r="FJ140" i="2"/>
  <c r="EN140" i="2"/>
  <c r="EK140" i="2"/>
  <c r="EH140" i="2"/>
  <c r="EF140" i="2"/>
  <c r="ED140" i="2"/>
  <c r="DY140" i="2"/>
  <c r="DD140" i="2"/>
  <c r="CV140" i="2"/>
  <c r="CQ140" i="2"/>
  <c r="CA140" i="2"/>
  <c r="BZ140" i="2"/>
  <c r="BY140" i="2"/>
  <c r="BX140" i="2"/>
  <c r="BW140" i="2"/>
  <c r="BT140" i="2"/>
  <c r="BS140" i="2"/>
  <c r="BD140" i="2"/>
  <c r="BB140" i="2"/>
  <c r="AY140" i="2"/>
  <c r="AW140" i="2"/>
  <c r="AU140" i="2"/>
  <c r="AP140" i="2"/>
  <c r="V140" i="2"/>
  <c r="N140" i="2"/>
  <c r="I140" i="2"/>
  <c r="FY139" i="2"/>
  <c r="FX139" i="2"/>
  <c r="FT139" i="2"/>
  <c r="FJ139" i="2"/>
  <c r="EH139" i="2"/>
  <c r="EG139" i="2"/>
  <c r="EF139" i="2"/>
  <c r="ED139" i="2"/>
  <c r="CY139" i="2"/>
  <c r="CV139" i="2"/>
  <c r="CQ139" i="2"/>
  <c r="CP139" i="2"/>
  <c r="BZ139" i="2"/>
  <c r="AY139" i="2"/>
  <c r="AX139" i="2"/>
  <c r="AW139" i="2"/>
  <c r="AU139" i="2"/>
  <c r="Q139" i="2"/>
  <c r="N139" i="2"/>
  <c r="I139" i="2"/>
  <c r="FY138" i="2"/>
  <c r="FX138" i="2"/>
  <c r="FT138" i="2"/>
  <c r="FJ138" i="2"/>
  <c r="FD138" i="2"/>
  <c r="FB138" i="2"/>
  <c r="EV138" i="2"/>
  <c r="EO138" i="2"/>
  <c r="EN138" i="2"/>
  <c r="EK138" i="2"/>
  <c r="EI138" i="2"/>
  <c r="EH138" i="2"/>
  <c r="EF138" i="2"/>
  <c r="ED138" i="2"/>
  <c r="DY138" i="2"/>
  <c r="DP138" i="2"/>
  <c r="DN138" i="2"/>
  <c r="CY138" i="2"/>
  <c r="CV138" i="2"/>
  <c r="CQ138" i="2"/>
  <c r="CP138" i="2"/>
  <c r="BY138" i="2"/>
  <c r="BW138" i="2"/>
  <c r="BS138" i="2"/>
  <c r="BQ138" i="2"/>
  <c r="BO138" i="2"/>
  <c r="BE138" i="2"/>
  <c r="BD138" i="2"/>
  <c r="BB138" i="2"/>
  <c r="AZ138" i="2"/>
  <c r="AY138" i="2"/>
  <c r="AW138" i="2"/>
  <c r="AU138" i="2"/>
  <c r="AP138" i="2"/>
  <c r="AG138" i="2"/>
  <c r="AE138" i="2"/>
  <c r="Q138" i="2"/>
  <c r="N138" i="2"/>
  <c r="I138" i="2"/>
  <c r="FY137" i="2"/>
  <c r="FX137" i="2"/>
  <c r="FT137" i="2"/>
  <c r="FJ137" i="2"/>
  <c r="FD137" i="2"/>
  <c r="EN137" i="2"/>
  <c r="EK137" i="2"/>
  <c r="EI137" i="2"/>
  <c r="EH137" i="2"/>
  <c r="EG137" i="2"/>
  <c r="EF137" i="2"/>
  <c r="ED137" i="2"/>
  <c r="EA137" i="2"/>
  <c r="DY137" i="2"/>
  <c r="DP137" i="2"/>
  <c r="DN137" i="2"/>
  <c r="DH137" i="2"/>
  <c r="DF137" i="2"/>
  <c r="CY137" i="2"/>
  <c r="CV137" i="2"/>
  <c r="CQ137" i="2"/>
  <c r="CP137" i="2"/>
  <c r="CA137" i="2"/>
  <c r="BZ137" i="2"/>
  <c r="BW137" i="2"/>
  <c r="BT137" i="2"/>
  <c r="BS137" i="2"/>
  <c r="BQ137" i="2"/>
  <c r="BD137" i="2"/>
  <c r="BB137" i="2"/>
  <c r="AZ137" i="2"/>
  <c r="AY137" i="2"/>
  <c r="AX137" i="2"/>
  <c r="AW137" i="2"/>
  <c r="AU137" i="2"/>
  <c r="AR137" i="2"/>
  <c r="AP137" i="2"/>
  <c r="AG137" i="2"/>
  <c r="AE137" i="2"/>
  <c r="Z137" i="2"/>
  <c r="X137" i="2"/>
  <c r="Q137" i="2"/>
  <c r="N137" i="2"/>
  <c r="I137" i="2"/>
  <c r="FY136" i="2"/>
  <c r="FX136" i="2"/>
  <c r="FT136" i="2"/>
  <c r="FJ136" i="2"/>
  <c r="FE136" i="2"/>
  <c r="EN136" i="2"/>
  <c r="EI136" i="2"/>
  <c r="EH136" i="2"/>
  <c r="EF136" i="2"/>
  <c r="EE136" i="2"/>
  <c r="ED136" i="2"/>
  <c r="EA136" i="2"/>
  <c r="DP136" i="2"/>
  <c r="DF136" i="2"/>
  <c r="DE136" i="2"/>
  <c r="DD136" i="2"/>
  <c r="CY136" i="2"/>
  <c r="CV136" i="2"/>
  <c r="CQ136" i="2"/>
  <c r="CP136" i="2"/>
  <c r="BR136" i="2"/>
  <c r="BD136" i="2"/>
  <c r="AZ136" i="2"/>
  <c r="AY136" i="2"/>
  <c r="AW136" i="2"/>
  <c r="AV136" i="2"/>
  <c r="AU136" i="2"/>
  <c r="AR136" i="2"/>
  <c r="AG136" i="2"/>
  <c r="X136" i="2"/>
  <c r="W136" i="2"/>
  <c r="V136" i="2"/>
  <c r="Q136" i="2"/>
  <c r="N136" i="2"/>
  <c r="I136" i="2"/>
  <c r="FY135" i="2"/>
  <c r="FX135" i="2"/>
  <c r="FT135" i="2"/>
  <c r="FJ135" i="2"/>
  <c r="FD135" i="2"/>
  <c r="FB135" i="2"/>
  <c r="EN135" i="2"/>
  <c r="EH135" i="2"/>
  <c r="EG135" i="2"/>
  <c r="EF135" i="2"/>
  <c r="ED135" i="2"/>
  <c r="EA135" i="2"/>
  <c r="DY135" i="2"/>
  <c r="DP135" i="2"/>
  <c r="DN135" i="2"/>
  <c r="DD135" i="2"/>
  <c r="CY135" i="2"/>
  <c r="CV135" i="2"/>
  <c r="CQ135" i="2"/>
  <c r="CP135" i="2"/>
  <c r="BY135" i="2"/>
  <c r="BX135" i="2"/>
  <c r="BT135" i="2"/>
  <c r="BQ135" i="2"/>
  <c r="BO135" i="2"/>
  <c r="BD135" i="2"/>
  <c r="AY135" i="2"/>
  <c r="AX135" i="2"/>
  <c r="AW135" i="2"/>
  <c r="AU135" i="2"/>
  <c r="AR135" i="2"/>
  <c r="AP135" i="2"/>
  <c r="AG135" i="2"/>
  <c r="AE135" i="2"/>
  <c r="V135" i="2"/>
  <c r="Q135" i="2"/>
  <c r="N135" i="2"/>
  <c r="I135" i="2"/>
  <c r="FY441" i="1"/>
  <c r="FJ441" i="1"/>
  <c r="FD441" i="1"/>
  <c r="EQ441" i="1"/>
  <c r="EN441" i="1"/>
  <c r="EK441" i="1"/>
  <c r="EH441" i="1"/>
  <c r="EF441" i="1"/>
  <c r="ED441" i="1"/>
  <c r="EA441" i="1"/>
  <c r="DY441" i="1"/>
  <c r="DP441" i="1"/>
  <c r="DN441" i="1"/>
  <c r="DI441" i="1"/>
  <c r="DE441" i="1"/>
  <c r="DD441" i="1"/>
  <c r="CY441" i="1"/>
  <c r="CV441" i="1"/>
  <c r="CQ441" i="1"/>
  <c r="CA441" i="1"/>
  <c r="BZ441" i="1"/>
  <c r="BY441" i="1"/>
  <c r="BT441" i="1"/>
  <c r="BQ441" i="1"/>
  <c r="BG441" i="1"/>
  <c r="BD441" i="1"/>
  <c r="BB441" i="1"/>
  <c r="AY441" i="1"/>
  <c r="AW441" i="1"/>
  <c r="AU441" i="1"/>
  <c r="AR441" i="1"/>
  <c r="AP441" i="1"/>
  <c r="AG441" i="1"/>
  <c r="AE441" i="1"/>
  <c r="W441" i="1"/>
  <c r="V441" i="1"/>
  <c r="Q441" i="1"/>
  <c r="N441" i="1"/>
  <c r="I441" i="1"/>
  <c r="FY440" i="1"/>
  <c r="FX440" i="1"/>
  <c r="FT440" i="1"/>
  <c r="FJ440" i="1"/>
  <c r="EV440" i="1"/>
  <c r="EO440" i="1"/>
  <c r="EN440" i="1"/>
  <c r="EG440" i="1"/>
  <c r="EF440" i="1"/>
  <c r="EE440" i="1"/>
  <c r="ED440" i="1"/>
  <c r="CY440" i="1"/>
  <c r="CV440" i="1"/>
  <c r="CQ440" i="1"/>
  <c r="CP440" i="1"/>
  <c r="BE440" i="1"/>
  <c r="BD440" i="1"/>
  <c r="AX440" i="1"/>
  <c r="AW440" i="1"/>
  <c r="AV440" i="1"/>
  <c r="AU440" i="1"/>
  <c r="Q440" i="1"/>
  <c r="N440" i="1"/>
  <c r="I440" i="1"/>
  <c r="FY439" i="1"/>
  <c r="FV439" i="1"/>
  <c r="FO439" i="1"/>
  <c r="FN439" i="1"/>
  <c r="FM439" i="1"/>
  <c r="FJ439" i="1"/>
  <c r="FG439" i="1"/>
  <c r="EW439" i="1"/>
  <c r="DZ439" i="1"/>
  <c r="CR439" i="1"/>
  <c r="CQ439" i="1"/>
  <c r="CN439" i="1"/>
  <c r="CI439" i="1"/>
  <c r="CH439" i="1"/>
  <c r="CG439" i="1"/>
  <c r="BW439" i="1"/>
  <c r="AQ439" i="1"/>
  <c r="J439" i="1"/>
  <c r="I439" i="1"/>
  <c r="H439" i="1"/>
  <c r="FY438" i="1"/>
  <c r="FT438" i="1"/>
  <c r="FJ438" i="1"/>
  <c r="FD438" i="1"/>
  <c r="EV438" i="1"/>
  <c r="EN438" i="1"/>
  <c r="EK438" i="1"/>
  <c r="EJ438" i="1"/>
  <c r="EH438" i="1"/>
  <c r="EG438" i="1"/>
  <c r="EF438" i="1"/>
  <c r="ED438" i="1"/>
  <c r="EA438" i="1"/>
  <c r="DY438" i="1"/>
  <c r="DP438" i="1"/>
  <c r="DN438" i="1"/>
  <c r="DE438" i="1"/>
  <c r="DD438" i="1"/>
  <c r="CY438" i="1"/>
  <c r="CV438" i="1"/>
  <c r="CQ438" i="1"/>
  <c r="CA438" i="1"/>
  <c r="BY438" i="1"/>
  <c r="BT438" i="1"/>
  <c r="BS438" i="1"/>
  <c r="BQ438" i="1"/>
  <c r="BD438" i="1"/>
  <c r="BB438" i="1"/>
  <c r="BA438" i="1"/>
  <c r="AY438" i="1"/>
  <c r="AX438" i="1"/>
  <c r="AW438" i="1"/>
  <c r="AU438" i="1"/>
  <c r="AR438" i="1"/>
  <c r="AP438" i="1"/>
  <c r="AG438" i="1"/>
  <c r="AE438" i="1"/>
  <c r="W438" i="1"/>
  <c r="V438" i="1"/>
  <c r="Q438" i="1"/>
  <c r="N438" i="1"/>
  <c r="I438" i="1"/>
  <c r="FY437" i="1"/>
  <c r="FX437" i="1"/>
  <c r="FT437" i="1"/>
  <c r="FJ437" i="1"/>
  <c r="FE437" i="1"/>
  <c r="FD437" i="1"/>
  <c r="FC437" i="1"/>
  <c r="FB437" i="1"/>
  <c r="EN437" i="1"/>
  <c r="EH437" i="1"/>
  <c r="EF437" i="1"/>
  <c r="ED437" i="1"/>
  <c r="EA437" i="1"/>
  <c r="DY437" i="1"/>
  <c r="DP437" i="1"/>
  <c r="DN437" i="1"/>
  <c r="DF437" i="1"/>
  <c r="DE437" i="1"/>
  <c r="DD437" i="1"/>
  <c r="CY437" i="1"/>
  <c r="CV437" i="1"/>
  <c r="CQ437" i="1"/>
  <c r="CP437" i="1"/>
  <c r="CA437" i="1"/>
  <c r="BY437" i="1"/>
  <c r="BW437" i="1"/>
  <c r="BT437" i="1"/>
  <c r="BS437" i="1"/>
  <c r="BR437" i="1"/>
  <c r="BQ437" i="1"/>
  <c r="BP437" i="1"/>
  <c r="BO437" i="1"/>
  <c r="BD437" i="1"/>
  <c r="AY437" i="1"/>
  <c r="AW437" i="1"/>
  <c r="AU437" i="1"/>
  <c r="AR437" i="1"/>
  <c r="AP437" i="1"/>
  <c r="AG437" i="1"/>
  <c r="AE437" i="1"/>
  <c r="X437" i="1"/>
  <c r="W437" i="1"/>
  <c r="V437" i="1"/>
  <c r="Q437" i="1"/>
  <c r="N437" i="1"/>
  <c r="I437" i="1"/>
  <c r="FY436" i="1"/>
  <c r="FX436" i="1"/>
  <c r="FT436" i="1"/>
  <c r="FJ436" i="1"/>
  <c r="FD436" i="1"/>
  <c r="ET436" i="1"/>
  <c r="EP436" i="1"/>
  <c r="EN436" i="1"/>
  <c r="ED436" i="1"/>
  <c r="DN436" i="1"/>
  <c r="CY436" i="1"/>
  <c r="CV436" i="1"/>
  <c r="CQ436" i="1"/>
  <c r="CP436" i="1"/>
  <c r="CA436" i="1"/>
  <c r="BT436" i="1"/>
  <c r="BS436" i="1"/>
  <c r="BQ436" i="1"/>
  <c r="BI436" i="1"/>
  <c r="BF436" i="1"/>
  <c r="BD436" i="1"/>
  <c r="AU436" i="1"/>
  <c r="AE436" i="1"/>
  <c r="Q436" i="1"/>
  <c r="N436" i="1"/>
  <c r="I436" i="1"/>
  <c r="FY435" i="1"/>
  <c r="FV435" i="1"/>
  <c r="FS435" i="1"/>
  <c r="FP435" i="1"/>
  <c r="FO435" i="1"/>
  <c r="FN435" i="1"/>
  <c r="FM435" i="1"/>
  <c r="FJ435" i="1"/>
  <c r="FG435" i="1"/>
  <c r="CS435" i="1"/>
  <c r="CR435" i="1"/>
  <c r="CQ435" i="1"/>
  <c r="CN435" i="1"/>
  <c r="CL435" i="1"/>
  <c r="CJ435" i="1"/>
  <c r="CI435" i="1"/>
  <c r="CH435" i="1"/>
  <c r="CG435" i="1"/>
  <c r="BW435" i="1"/>
  <c r="K435" i="1"/>
  <c r="J435" i="1"/>
  <c r="I435" i="1"/>
  <c r="H435" i="1"/>
  <c r="FY434" i="1"/>
  <c r="FX434" i="1"/>
  <c r="FT434" i="1"/>
  <c r="FJ434" i="1"/>
  <c r="FD434" i="1"/>
  <c r="FC434" i="1"/>
  <c r="FB434" i="1"/>
  <c r="EV434" i="1"/>
  <c r="ER434" i="1"/>
  <c r="EO434" i="1"/>
  <c r="EN434" i="1"/>
  <c r="EI434" i="1"/>
  <c r="EH434" i="1"/>
  <c r="EG434" i="1"/>
  <c r="EF434" i="1"/>
  <c r="EE434" i="1"/>
  <c r="ED434" i="1"/>
  <c r="EA434" i="1"/>
  <c r="DY434" i="1"/>
  <c r="DP434" i="1"/>
  <c r="DN434" i="1"/>
  <c r="DG434" i="1"/>
  <c r="DF434" i="1"/>
  <c r="DE434" i="1"/>
  <c r="DD434" i="1"/>
  <c r="CY434" i="1"/>
  <c r="CV434" i="1"/>
  <c r="CQ434" i="1"/>
  <c r="CP434" i="1"/>
  <c r="CA434" i="1"/>
  <c r="BZ434" i="1"/>
  <c r="BQ434" i="1"/>
  <c r="BP434" i="1"/>
  <c r="BO434" i="1"/>
  <c r="BE434" i="1"/>
  <c r="BD434" i="1"/>
  <c r="AZ434" i="1"/>
  <c r="AY434" i="1"/>
  <c r="AX434" i="1"/>
  <c r="AW434" i="1"/>
  <c r="AV434" i="1"/>
  <c r="AU434" i="1"/>
  <c r="AR434" i="1"/>
  <c r="AP434" i="1"/>
  <c r="AG434" i="1"/>
  <c r="AE434" i="1"/>
  <c r="Y434" i="1"/>
  <c r="X434" i="1"/>
  <c r="W434" i="1"/>
  <c r="V434" i="1"/>
  <c r="Q434" i="1"/>
  <c r="N434" i="1"/>
  <c r="I434" i="1"/>
  <c r="FY433" i="1"/>
  <c r="FT433" i="1"/>
  <c r="FJ433" i="1"/>
  <c r="FI433" i="1"/>
  <c r="FE433" i="1"/>
  <c r="FD433" i="1"/>
  <c r="FB433" i="1"/>
  <c r="EO433" i="1"/>
  <c r="EN433" i="1"/>
  <c r="EK433" i="1"/>
  <c r="EF433" i="1"/>
  <c r="ED433" i="1"/>
  <c r="EA433" i="1"/>
  <c r="DY433" i="1"/>
  <c r="DP433" i="1"/>
  <c r="DN433" i="1"/>
  <c r="DE433" i="1"/>
  <c r="DD433" i="1"/>
  <c r="CY433" i="1"/>
  <c r="CV433" i="1"/>
  <c r="CQ433" i="1"/>
  <c r="CD433" i="1"/>
  <c r="CA433" i="1"/>
  <c r="BZ433" i="1"/>
  <c r="BY433" i="1"/>
  <c r="BW433" i="1"/>
  <c r="BR433" i="1"/>
  <c r="BQ433" i="1"/>
  <c r="BO433" i="1"/>
  <c r="BE433" i="1"/>
  <c r="BD433" i="1"/>
  <c r="BB433" i="1"/>
  <c r="AW433" i="1"/>
  <c r="AU433" i="1"/>
  <c r="AR433" i="1"/>
  <c r="AP433" i="1"/>
  <c r="AG433" i="1"/>
  <c r="AE433" i="1"/>
  <c r="W433" i="1"/>
  <c r="V433" i="1"/>
  <c r="Q433" i="1"/>
  <c r="N433" i="1"/>
  <c r="I433" i="1"/>
  <c r="FY432" i="1"/>
  <c r="FV432" i="1"/>
  <c r="FO432" i="1"/>
  <c r="FN432" i="1"/>
  <c r="FJ432" i="1"/>
  <c r="FG432" i="1"/>
  <c r="CR432" i="1"/>
  <c r="CQ432" i="1"/>
  <c r="CN432" i="1"/>
  <c r="CI432" i="1"/>
  <c r="CH432" i="1"/>
  <c r="BW432" i="1"/>
  <c r="J432" i="1"/>
  <c r="I432" i="1"/>
  <c r="H432" i="1"/>
  <c r="FY431" i="1"/>
  <c r="FT431" i="1"/>
  <c r="FJ431" i="1"/>
  <c r="EK431" i="1"/>
  <c r="EI431" i="1"/>
  <c r="EH431" i="1"/>
  <c r="EG431" i="1"/>
  <c r="EF431" i="1"/>
  <c r="ED431" i="1"/>
  <c r="DA431" i="1"/>
  <c r="CZ431" i="1"/>
  <c r="CQ431" i="1"/>
  <c r="BW431" i="1"/>
  <c r="BV431" i="1"/>
  <c r="BS431" i="1"/>
  <c r="BB431" i="1"/>
  <c r="AZ431" i="1"/>
  <c r="AY431" i="1"/>
  <c r="AX431" i="1"/>
  <c r="AW431" i="1"/>
  <c r="AU431" i="1"/>
  <c r="S431" i="1"/>
  <c r="R431" i="1"/>
  <c r="I431" i="1"/>
  <c r="FY430" i="1"/>
  <c r="FT430" i="1"/>
  <c r="FJ430" i="1"/>
  <c r="FE430" i="1"/>
  <c r="FD430" i="1"/>
  <c r="FC430" i="1"/>
  <c r="FB430" i="1"/>
  <c r="EN430" i="1"/>
  <c r="EK430" i="1"/>
  <c r="EI430" i="1"/>
  <c r="EH430" i="1"/>
  <c r="EF430" i="1"/>
  <c r="EE430" i="1"/>
  <c r="ED430" i="1"/>
  <c r="EA430" i="1"/>
  <c r="DY430" i="1"/>
  <c r="DP430" i="1"/>
  <c r="DN430" i="1"/>
  <c r="DD430" i="1"/>
  <c r="CY430" i="1"/>
  <c r="CV430" i="1"/>
  <c r="CQ430" i="1"/>
  <c r="CA430" i="1"/>
  <c r="BT430" i="1"/>
  <c r="BS430" i="1"/>
  <c r="BR430" i="1"/>
  <c r="BQ430" i="1"/>
  <c r="BP430" i="1"/>
  <c r="BO430" i="1"/>
  <c r="BD430" i="1"/>
  <c r="BB430" i="1"/>
  <c r="AZ430" i="1"/>
  <c r="AY430" i="1"/>
  <c r="AW430" i="1"/>
  <c r="AV430" i="1"/>
  <c r="AU430" i="1"/>
  <c r="AR430" i="1"/>
  <c r="AP430" i="1"/>
  <c r="AG430" i="1"/>
  <c r="AE430" i="1"/>
  <c r="V430" i="1"/>
  <c r="Q430" i="1"/>
  <c r="N430" i="1"/>
  <c r="I430" i="1"/>
  <c r="FY429" i="1"/>
  <c r="FT429" i="1"/>
  <c r="FJ429" i="1"/>
  <c r="FE429" i="1"/>
  <c r="FD429" i="1"/>
  <c r="FC429" i="1"/>
  <c r="FB429" i="1"/>
  <c r="ER429" i="1"/>
  <c r="EN429" i="1"/>
  <c r="EK429" i="1"/>
  <c r="EI429" i="1"/>
  <c r="EH429" i="1"/>
  <c r="EF429" i="1"/>
  <c r="EE429" i="1"/>
  <c r="ED429" i="1"/>
  <c r="EA429" i="1"/>
  <c r="DY429" i="1"/>
  <c r="DP429" i="1"/>
  <c r="DN429" i="1"/>
  <c r="DG429" i="1"/>
  <c r="DF429" i="1"/>
  <c r="DE429" i="1"/>
  <c r="CY429" i="1"/>
  <c r="CV429" i="1"/>
  <c r="CQ429" i="1"/>
  <c r="CA429" i="1"/>
  <c r="BR429" i="1"/>
  <c r="BQ429" i="1"/>
  <c r="BP429" i="1"/>
  <c r="BO429" i="1"/>
  <c r="BD429" i="1"/>
  <c r="BB429" i="1"/>
  <c r="AZ429" i="1"/>
  <c r="AY429" i="1"/>
  <c r="AW429" i="1"/>
  <c r="AV429" i="1"/>
  <c r="AU429" i="1"/>
  <c r="AR429" i="1"/>
  <c r="AP429" i="1"/>
  <c r="AG429" i="1"/>
  <c r="AE429" i="1"/>
  <c r="Y429" i="1"/>
  <c r="X429" i="1"/>
  <c r="W429" i="1"/>
  <c r="Q429" i="1"/>
  <c r="N429" i="1"/>
  <c r="I429" i="1"/>
  <c r="FY428" i="1"/>
  <c r="FX428" i="1"/>
  <c r="FT428" i="1"/>
  <c r="FJ428" i="1"/>
  <c r="FB428" i="1"/>
  <c r="EV428" i="1"/>
  <c r="EO428" i="1"/>
  <c r="EN428" i="1"/>
  <c r="EK428" i="1"/>
  <c r="EF428" i="1"/>
  <c r="ED428" i="1"/>
  <c r="EA428" i="1"/>
  <c r="DY428" i="1"/>
  <c r="DP428" i="1"/>
  <c r="DN428" i="1"/>
  <c r="DG428" i="1"/>
  <c r="DF428" i="1"/>
  <c r="DE428" i="1"/>
  <c r="DD428" i="1"/>
  <c r="CY428" i="1"/>
  <c r="CV428" i="1"/>
  <c r="CQ428" i="1"/>
  <c r="CP428" i="1"/>
  <c r="CA428" i="1"/>
  <c r="BY428" i="1"/>
  <c r="BW428" i="1"/>
  <c r="BS428" i="1"/>
  <c r="BO428" i="1"/>
  <c r="BE428" i="1"/>
  <c r="BD428" i="1"/>
  <c r="BB428" i="1"/>
  <c r="AW428" i="1"/>
  <c r="AU428" i="1"/>
  <c r="AR428" i="1"/>
  <c r="AP428" i="1"/>
  <c r="AG428" i="1"/>
  <c r="AE428" i="1"/>
  <c r="Y428" i="1"/>
  <c r="X428" i="1"/>
  <c r="W428" i="1"/>
  <c r="V428" i="1"/>
  <c r="Q428" i="1"/>
  <c r="N428" i="1"/>
  <c r="I428" i="1"/>
  <c r="FY427" i="1"/>
  <c r="FX427" i="1"/>
  <c r="FV427" i="1"/>
  <c r="FN427" i="1"/>
  <c r="FM427" i="1"/>
  <c r="FJ427" i="1"/>
  <c r="EC427" i="1"/>
  <c r="CR427" i="1"/>
  <c r="CQ427" i="1"/>
  <c r="CP427" i="1"/>
  <c r="CN427" i="1"/>
  <c r="CI427" i="1"/>
  <c r="CH427" i="1"/>
  <c r="CG427" i="1"/>
  <c r="BW427" i="1"/>
  <c r="AT427" i="1"/>
  <c r="J427" i="1"/>
  <c r="I427" i="1"/>
  <c r="H427" i="1"/>
  <c r="FY426" i="1"/>
  <c r="FT426" i="1"/>
  <c r="FJ426" i="1"/>
  <c r="FB426" i="1"/>
  <c r="EN426" i="1"/>
  <c r="EK426" i="1"/>
  <c r="EH426" i="1"/>
  <c r="EF426" i="1"/>
  <c r="ED426" i="1"/>
  <c r="EA426" i="1"/>
  <c r="DY426" i="1"/>
  <c r="DP426" i="1"/>
  <c r="DN426" i="1"/>
  <c r="DF426" i="1"/>
  <c r="CY426" i="1"/>
  <c r="CV426" i="1"/>
  <c r="CQ426" i="1"/>
  <c r="CA426" i="1"/>
  <c r="BY426" i="1"/>
  <c r="BW426" i="1"/>
  <c r="BT426" i="1"/>
  <c r="BS426" i="1"/>
  <c r="BO426" i="1"/>
  <c r="BD426" i="1"/>
  <c r="BB426" i="1"/>
  <c r="AY426" i="1"/>
  <c r="AW426" i="1"/>
  <c r="AU426" i="1"/>
  <c r="AR426" i="1"/>
  <c r="AP426" i="1"/>
  <c r="AG426" i="1"/>
  <c r="AE426" i="1"/>
  <c r="X426" i="1"/>
  <c r="Q426" i="1"/>
  <c r="N426" i="1"/>
  <c r="I426" i="1"/>
  <c r="FY425" i="1"/>
  <c r="FV425" i="1"/>
  <c r="FP425" i="1"/>
  <c r="FO425" i="1"/>
  <c r="FN425" i="1"/>
  <c r="FM425" i="1"/>
  <c r="FJ425" i="1"/>
  <c r="CR425" i="1"/>
  <c r="CQ425" i="1"/>
  <c r="CN425" i="1"/>
  <c r="CJ425" i="1"/>
  <c r="CI425" i="1"/>
  <c r="CH425" i="1"/>
  <c r="CG425" i="1"/>
  <c r="J425" i="1"/>
  <c r="I425" i="1"/>
  <c r="H425" i="1"/>
  <c r="FY424" i="1"/>
  <c r="FX424" i="1"/>
  <c r="FT424" i="1"/>
  <c r="FJ424" i="1"/>
  <c r="EO424" i="1"/>
  <c r="EN424" i="1"/>
  <c r="EK424" i="1"/>
  <c r="EH424" i="1"/>
  <c r="EF424" i="1"/>
  <c r="ED424" i="1"/>
  <c r="EA424" i="1"/>
  <c r="DY424" i="1"/>
  <c r="DP424" i="1"/>
  <c r="DN424" i="1"/>
  <c r="DG424" i="1"/>
  <c r="DF424" i="1"/>
  <c r="DD424" i="1"/>
  <c r="CY424" i="1"/>
  <c r="CV424" i="1"/>
  <c r="CQ424" i="1"/>
  <c r="CP424" i="1"/>
  <c r="CA424" i="1"/>
  <c r="BY424" i="1"/>
  <c r="BU424" i="1"/>
  <c r="BT424" i="1"/>
  <c r="BE424" i="1"/>
  <c r="BD424" i="1"/>
  <c r="BB424" i="1"/>
  <c r="AY424" i="1"/>
  <c r="AW424" i="1"/>
  <c r="AU424" i="1"/>
  <c r="AR424" i="1"/>
  <c r="AP424" i="1"/>
  <c r="AG424" i="1"/>
  <c r="AE424" i="1"/>
  <c r="Y424" i="1"/>
  <c r="X424" i="1"/>
  <c r="V424" i="1"/>
  <c r="Q424" i="1"/>
  <c r="N424" i="1"/>
  <c r="I424" i="1"/>
  <c r="FY423" i="1"/>
  <c r="FT423" i="1"/>
  <c r="FJ423" i="1"/>
  <c r="FB423" i="1"/>
  <c r="EO423" i="1"/>
  <c r="EN423" i="1"/>
  <c r="EK423" i="1"/>
  <c r="EI423" i="1"/>
  <c r="EH423" i="1"/>
  <c r="EG423" i="1"/>
  <c r="EF423" i="1"/>
  <c r="ED423" i="1"/>
  <c r="EA423" i="1"/>
  <c r="DY423" i="1"/>
  <c r="DP423" i="1"/>
  <c r="DN423" i="1"/>
  <c r="DG423" i="1"/>
  <c r="DE423" i="1"/>
  <c r="DD423" i="1"/>
  <c r="CY423" i="1"/>
  <c r="CV423" i="1"/>
  <c r="CQ423" i="1"/>
  <c r="CA423" i="1"/>
  <c r="BY423" i="1"/>
  <c r="BX423" i="1"/>
  <c r="BT423" i="1"/>
  <c r="BS423" i="1"/>
  <c r="BO423" i="1"/>
  <c r="BE423" i="1"/>
  <c r="BD423" i="1"/>
  <c r="BB423" i="1"/>
  <c r="AZ423" i="1"/>
  <c r="AY423" i="1"/>
  <c r="AX423" i="1"/>
  <c r="AW423" i="1"/>
  <c r="AU423" i="1"/>
  <c r="AR423" i="1"/>
  <c r="AP423" i="1"/>
  <c r="AG423" i="1"/>
  <c r="AE423" i="1"/>
  <c r="Y423" i="1"/>
  <c r="W423" i="1"/>
  <c r="V423" i="1"/>
  <c r="Q423" i="1"/>
  <c r="N423" i="1"/>
  <c r="I423" i="1"/>
  <c r="FY422" i="1"/>
  <c r="FX422" i="1"/>
  <c r="FT422" i="1"/>
  <c r="FJ422" i="1"/>
  <c r="EN422" i="1"/>
  <c r="EK422" i="1"/>
  <c r="EI422" i="1"/>
  <c r="EH422" i="1"/>
  <c r="EG422" i="1"/>
  <c r="EF422" i="1"/>
  <c r="EE422" i="1"/>
  <c r="ED422" i="1"/>
  <c r="EA422" i="1"/>
  <c r="DF422" i="1"/>
  <c r="DE422" i="1"/>
  <c r="CY422" i="1"/>
  <c r="CV422" i="1"/>
  <c r="CQ422" i="1"/>
  <c r="CP422" i="1"/>
  <c r="CA422" i="1"/>
  <c r="BT422" i="1"/>
  <c r="BS422" i="1"/>
  <c r="BD422" i="1"/>
  <c r="BB422" i="1"/>
  <c r="AZ422" i="1"/>
  <c r="AY422" i="1"/>
  <c r="AX422" i="1"/>
  <c r="AW422" i="1"/>
  <c r="AV422" i="1"/>
  <c r="AU422" i="1"/>
  <c r="AR422" i="1"/>
  <c r="X422" i="1"/>
  <c r="W422" i="1"/>
  <c r="Q422" i="1"/>
  <c r="N422" i="1"/>
  <c r="I422" i="1"/>
  <c r="FY421" i="1"/>
  <c r="FX421" i="1"/>
  <c r="FT421" i="1"/>
  <c r="FJ421" i="1"/>
  <c r="FB421" i="1"/>
  <c r="EN421" i="1"/>
  <c r="EK421" i="1"/>
  <c r="EH421" i="1"/>
  <c r="EF421" i="1"/>
  <c r="ED421" i="1"/>
  <c r="EA421" i="1"/>
  <c r="DY421" i="1"/>
  <c r="DN421" i="1"/>
  <c r="DD421" i="1"/>
  <c r="CY421" i="1"/>
  <c r="CV421" i="1"/>
  <c r="CQ421" i="1"/>
  <c r="CP421" i="1"/>
  <c r="BO421" i="1"/>
  <c r="BD421" i="1"/>
  <c r="BB421" i="1"/>
  <c r="AY421" i="1"/>
  <c r="AW421" i="1"/>
  <c r="AU421" i="1"/>
  <c r="AR421" i="1"/>
  <c r="AP421" i="1"/>
  <c r="AE421" i="1"/>
  <c r="V421" i="1"/>
  <c r="Q421" i="1"/>
  <c r="N421" i="1"/>
  <c r="I421" i="1"/>
  <c r="FY420" i="1"/>
  <c r="FT420" i="1"/>
  <c r="FJ420" i="1"/>
  <c r="EO420" i="1"/>
  <c r="EN420" i="1"/>
  <c r="EI420" i="1"/>
  <c r="EH420" i="1"/>
  <c r="EF420" i="1"/>
  <c r="ED420" i="1"/>
  <c r="DP420" i="1"/>
  <c r="DN420" i="1"/>
  <c r="CY420" i="1"/>
  <c r="CV420" i="1"/>
  <c r="CQ420" i="1"/>
  <c r="CA420" i="1"/>
  <c r="BY420" i="1"/>
  <c r="BS420" i="1"/>
  <c r="BE420" i="1"/>
  <c r="BD420" i="1"/>
  <c r="AZ420" i="1"/>
  <c r="AY420" i="1"/>
  <c r="AW420" i="1"/>
  <c r="AU420" i="1"/>
  <c r="AG420" i="1"/>
  <c r="AE420" i="1"/>
  <c r="Q420" i="1"/>
  <c r="N420" i="1"/>
  <c r="I420" i="1"/>
  <c r="FY419" i="1"/>
  <c r="FT419" i="1"/>
  <c r="FJ419" i="1"/>
  <c r="EN419" i="1"/>
  <c r="EK419" i="1"/>
  <c r="EI419" i="1"/>
  <c r="EH419" i="1"/>
  <c r="EG419" i="1"/>
  <c r="EF419" i="1"/>
  <c r="ED419" i="1"/>
  <c r="DY419" i="1"/>
  <c r="CY419" i="1"/>
  <c r="CV419" i="1"/>
  <c r="CQ419" i="1"/>
  <c r="CA419" i="1"/>
  <c r="BZ419" i="1"/>
  <c r="BT419" i="1"/>
  <c r="BD419" i="1"/>
  <c r="BB419" i="1"/>
  <c r="AZ419" i="1"/>
  <c r="AY419" i="1"/>
  <c r="AX419" i="1"/>
  <c r="AW419" i="1"/>
  <c r="AU419" i="1"/>
  <c r="AP419" i="1"/>
  <c r="Q419" i="1"/>
  <c r="N419" i="1"/>
  <c r="I419" i="1"/>
  <c r="FY418" i="1"/>
  <c r="FX418" i="1"/>
  <c r="FT418" i="1"/>
  <c r="FJ418" i="1"/>
  <c r="FE418" i="1"/>
  <c r="FD418" i="1"/>
  <c r="FB418" i="1"/>
  <c r="EO418" i="1"/>
  <c r="EN418" i="1"/>
  <c r="EH418" i="1"/>
  <c r="EG418" i="1"/>
  <c r="EF418" i="1"/>
  <c r="ED418" i="1"/>
  <c r="EA418" i="1"/>
  <c r="DY418" i="1"/>
  <c r="DP418" i="1"/>
  <c r="DN418" i="1"/>
  <c r="DG418" i="1"/>
  <c r="DF418" i="1"/>
  <c r="DE418" i="1"/>
  <c r="DD418" i="1"/>
  <c r="CY418" i="1"/>
  <c r="CV418" i="1"/>
  <c r="CQ418" i="1"/>
  <c r="CP418" i="1"/>
  <c r="CA418" i="1"/>
  <c r="BT418" i="1"/>
  <c r="BR418" i="1"/>
  <c r="BQ418" i="1"/>
  <c r="BO418" i="1"/>
  <c r="BE418" i="1"/>
  <c r="BD418" i="1"/>
  <c r="AY418" i="1"/>
  <c r="AX418" i="1"/>
  <c r="AW418" i="1"/>
  <c r="AU418" i="1"/>
  <c r="AR418" i="1"/>
  <c r="AP418" i="1"/>
  <c r="AG418" i="1"/>
  <c r="AE418" i="1"/>
  <c r="Y418" i="1"/>
  <c r="X418" i="1"/>
  <c r="W418" i="1"/>
  <c r="V418" i="1"/>
  <c r="Q418" i="1"/>
  <c r="N418" i="1"/>
  <c r="I418" i="1"/>
  <c r="FY417" i="1"/>
  <c r="FX417" i="1"/>
  <c r="FT417" i="1"/>
  <c r="FJ417" i="1"/>
  <c r="FD417" i="1"/>
  <c r="ET417" i="1"/>
  <c r="EP417" i="1"/>
  <c r="EO417" i="1"/>
  <c r="EN417" i="1"/>
  <c r="ED417" i="1"/>
  <c r="DY417" i="1"/>
  <c r="DN417" i="1"/>
  <c r="DD417" i="1"/>
  <c r="CY417" i="1"/>
  <c r="CV417" i="1"/>
  <c r="CQ417" i="1"/>
  <c r="CP417" i="1"/>
  <c r="CA417" i="1"/>
  <c r="BT417" i="1"/>
  <c r="BQ417" i="1"/>
  <c r="BI417" i="1"/>
  <c r="BF417" i="1"/>
  <c r="BE417" i="1"/>
  <c r="BD417" i="1"/>
  <c r="AU417" i="1"/>
  <c r="AP417" i="1"/>
  <c r="AE417" i="1"/>
  <c r="V417" i="1"/>
  <c r="Q417" i="1"/>
  <c r="N417" i="1"/>
  <c r="I417" i="1"/>
  <c r="FY416" i="1"/>
  <c r="FV416" i="1"/>
  <c r="FN416" i="1"/>
  <c r="FM416" i="1"/>
  <c r="FJ416" i="1"/>
  <c r="EL416" i="1"/>
  <c r="DM416" i="1"/>
  <c r="DL416" i="1"/>
  <c r="DK416" i="1"/>
  <c r="CR416" i="1"/>
  <c r="CQ416" i="1"/>
  <c r="CN416" i="1"/>
  <c r="CH416" i="1"/>
  <c r="CG416" i="1"/>
  <c r="BW416" i="1"/>
  <c r="BC416" i="1"/>
  <c r="AD416" i="1"/>
  <c r="AC416" i="1"/>
  <c r="AB416" i="1"/>
  <c r="J416" i="1"/>
  <c r="I416" i="1"/>
  <c r="H416" i="1"/>
  <c r="FY415" i="1"/>
  <c r="FT415" i="1"/>
  <c r="FJ415" i="1"/>
  <c r="EI415" i="1"/>
  <c r="EH415" i="1"/>
  <c r="EG415" i="1"/>
  <c r="EF415" i="1"/>
  <c r="ED415" i="1"/>
  <c r="CU415" i="1"/>
  <c r="CT415" i="1"/>
  <c r="CQ415" i="1"/>
  <c r="BW415" i="1"/>
  <c r="BV415" i="1"/>
  <c r="BU415" i="1"/>
  <c r="BS415" i="1"/>
  <c r="AZ415" i="1"/>
  <c r="AY415" i="1"/>
  <c r="AX415" i="1"/>
  <c r="AW415" i="1"/>
  <c r="AU415" i="1"/>
  <c r="M415" i="1"/>
  <c r="L415" i="1"/>
  <c r="I415" i="1"/>
  <c r="FY414" i="1"/>
  <c r="FT414" i="1"/>
  <c r="FJ414" i="1"/>
  <c r="EI414" i="1"/>
  <c r="EH414" i="1"/>
  <c r="EG414" i="1"/>
  <c r="EF414" i="1"/>
  <c r="ED414" i="1"/>
  <c r="CU414" i="1"/>
  <c r="CT414" i="1"/>
  <c r="CQ414" i="1"/>
  <c r="BV414" i="1"/>
  <c r="AZ414" i="1"/>
  <c r="AY414" i="1"/>
  <c r="AX414" i="1"/>
  <c r="AW414" i="1"/>
  <c r="AU414" i="1"/>
  <c r="M414" i="1"/>
  <c r="L414" i="1"/>
  <c r="I414" i="1"/>
  <c r="FY413" i="1"/>
  <c r="FX413" i="1"/>
  <c r="FT413" i="1"/>
  <c r="FJ413" i="1"/>
  <c r="EX413" i="1"/>
  <c r="EO413" i="1"/>
  <c r="EN413" i="1"/>
  <c r="EK413" i="1"/>
  <c r="EI413" i="1"/>
  <c r="EH413" i="1"/>
  <c r="EG413" i="1"/>
  <c r="EF413" i="1"/>
  <c r="EE413" i="1"/>
  <c r="ED413" i="1"/>
  <c r="EA413" i="1"/>
  <c r="DP413" i="1"/>
  <c r="DN413" i="1"/>
  <c r="DF413" i="1"/>
  <c r="DE413" i="1"/>
  <c r="CY413" i="1"/>
  <c r="CV413" i="1"/>
  <c r="CQ413" i="1"/>
  <c r="CP413" i="1"/>
  <c r="BT413" i="1"/>
  <c r="BK413" i="1"/>
  <c r="BE413" i="1"/>
  <c r="BD413" i="1"/>
  <c r="BB413" i="1"/>
  <c r="AZ413" i="1"/>
  <c r="AY413" i="1"/>
  <c r="AX413" i="1"/>
  <c r="AW413" i="1"/>
  <c r="AV413" i="1"/>
  <c r="AU413" i="1"/>
  <c r="AR413" i="1"/>
  <c r="AG413" i="1"/>
  <c r="AE413" i="1"/>
  <c r="X413" i="1"/>
  <c r="W413" i="1"/>
  <c r="Q413" i="1"/>
  <c r="N413" i="1"/>
  <c r="I413" i="1"/>
  <c r="FY412" i="1"/>
  <c r="FX412" i="1"/>
  <c r="FT412" i="1"/>
  <c r="FJ412" i="1"/>
  <c r="ES412" i="1"/>
  <c r="EP412" i="1"/>
  <c r="EO412" i="1"/>
  <c r="EN412" i="1"/>
  <c r="EK412" i="1"/>
  <c r="EH412" i="1"/>
  <c r="EF412" i="1"/>
  <c r="ED412" i="1"/>
  <c r="DY412" i="1"/>
  <c r="DN412" i="1"/>
  <c r="CY412" i="1"/>
  <c r="CV412" i="1"/>
  <c r="CQ412" i="1"/>
  <c r="CP412" i="1"/>
  <c r="BW412" i="1"/>
  <c r="BH412" i="1"/>
  <c r="BF412" i="1"/>
  <c r="BE412" i="1"/>
  <c r="BD412" i="1"/>
  <c r="BB412" i="1"/>
  <c r="AY412" i="1"/>
  <c r="AW412" i="1"/>
  <c r="AU412" i="1"/>
  <c r="AP412" i="1"/>
  <c r="AE412" i="1"/>
  <c r="Q412" i="1"/>
  <c r="N412" i="1"/>
  <c r="I412" i="1"/>
  <c r="FY411" i="1"/>
  <c r="FT411" i="1"/>
  <c r="FJ411" i="1"/>
  <c r="FE411" i="1"/>
  <c r="FD411" i="1"/>
  <c r="FB411" i="1"/>
  <c r="EQ411" i="1"/>
  <c r="EO411" i="1"/>
  <c r="EN411" i="1"/>
  <c r="EK411" i="1"/>
  <c r="EH411" i="1"/>
  <c r="EF411" i="1"/>
  <c r="ED411" i="1"/>
  <c r="EA411" i="1"/>
  <c r="DY411" i="1"/>
  <c r="DP411" i="1"/>
  <c r="DN411" i="1"/>
  <c r="DF411" i="1"/>
  <c r="DD411" i="1"/>
  <c r="CY411" i="1"/>
  <c r="CV411" i="1"/>
  <c r="CQ411" i="1"/>
  <c r="CA411" i="1"/>
  <c r="BZ411" i="1"/>
  <c r="BY411" i="1"/>
  <c r="BX411" i="1"/>
  <c r="BT411" i="1"/>
  <c r="BS411" i="1"/>
  <c r="BR411" i="1"/>
  <c r="BQ411" i="1"/>
  <c r="BO411" i="1"/>
  <c r="BG411" i="1"/>
  <c r="BE411" i="1"/>
  <c r="BD411" i="1"/>
  <c r="BB411" i="1"/>
  <c r="AY411" i="1"/>
  <c r="AW411" i="1"/>
  <c r="AU411" i="1"/>
  <c r="AR411" i="1"/>
  <c r="AP411" i="1"/>
  <c r="AG411" i="1"/>
  <c r="AE411" i="1"/>
  <c r="X411" i="1"/>
  <c r="V411" i="1"/>
  <c r="Q411" i="1"/>
  <c r="N411" i="1"/>
  <c r="I411" i="1"/>
  <c r="FY410" i="1"/>
  <c r="FX410" i="1"/>
  <c r="FT410" i="1"/>
  <c r="FJ410" i="1"/>
  <c r="FF410" i="1"/>
  <c r="FD410" i="1"/>
  <c r="FC410" i="1"/>
  <c r="FB410" i="1"/>
  <c r="EO410" i="1"/>
  <c r="EN410" i="1"/>
  <c r="EK410" i="1"/>
  <c r="EH410" i="1"/>
  <c r="EF410" i="1"/>
  <c r="ED410" i="1"/>
  <c r="EA410" i="1"/>
  <c r="DY410" i="1"/>
  <c r="DN410" i="1"/>
  <c r="DF410" i="1"/>
  <c r="DE410" i="1"/>
  <c r="DD410" i="1"/>
  <c r="CY410" i="1"/>
  <c r="CV410" i="1"/>
  <c r="CQ410" i="1"/>
  <c r="CP410" i="1"/>
  <c r="CA410" i="1"/>
  <c r="BY410" i="1"/>
  <c r="BX410" i="1"/>
  <c r="BV410" i="1"/>
  <c r="BU410" i="1"/>
  <c r="BT410" i="1"/>
  <c r="BS410" i="1"/>
  <c r="BQ410" i="1"/>
  <c r="BP410" i="1"/>
  <c r="BO410" i="1"/>
  <c r="BE410" i="1"/>
  <c r="BD410" i="1"/>
  <c r="BB410" i="1"/>
  <c r="AY410" i="1"/>
  <c r="AW410" i="1"/>
  <c r="AU410" i="1"/>
  <c r="AR410" i="1"/>
  <c r="AP410" i="1"/>
  <c r="AE410" i="1"/>
  <c r="X410" i="1"/>
  <c r="W410" i="1"/>
  <c r="V410" i="1"/>
  <c r="Q410" i="1"/>
  <c r="N410" i="1"/>
  <c r="I410" i="1"/>
  <c r="FY409" i="1"/>
  <c r="FX409" i="1"/>
  <c r="FT409" i="1"/>
  <c r="FJ409" i="1"/>
  <c r="FF409" i="1"/>
  <c r="EP409" i="1"/>
  <c r="EK409" i="1"/>
  <c r="EI409" i="1"/>
  <c r="EH409" i="1"/>
  <c r="EF409" i="1"/>
  <c r="EE409" i="1"/>
  <c r="ED409" i="1"/>
  <c r="DP409" i="1"/>
  <c r="DN409" i="1"/>
  <c r="CY409" i="1"/>
  <c r="CQ409" i="1"/>
  <c r="CP409" i="1"/>
  <c r="BV409" i="1"/>
  <c r="BU409" i="1"/>
  <c r="BT409" i="1"/>
  <c r="BS409" i="1"/>
  <c r="BF409" i="1"/>
  <c r="BB409" i="1"/>
  <c r="AZ409" i="1"/>
  <c r="AY409" i="1"/>
  <c r="AW409" i="1"/>
  <c r="AV409" i="1"/>
  <c r="AU409" i="1"/>
  <c r="AG409" i="1"/>
  <c r="AE409" i="1"/>
  <c r="Q409" i="1"/>
  <c r="I409" i="1"/>
  <c r="FY408" i="1"/>
  <c r="FT408" i="1"/>
  <c r="FJ408" i="1"/>
  <c r="EO408" i="1"/>
  <c r="EN408" i="1"/>
  <c r="EH408" i="1"/>
  <c r="EG408" i="1"/>
  <c r="EF408" i="1"/>
  <c r="ED408" i="1"/>
  <c r="DY408" i="1"/>
  <c r="DN408" i="1"/>
  <c r="CY408" i="1"/>
  <c r="CV408" i="1"/>
  <c r="CQ408" i="1"/>
  <c r="CA408" i="1"/>
  <c r="BY408" i="1"/>
  <c r="BX408" i="1"/>
  <c r="BW408" i="1"/>
  <c r="BT408" i="1"/>
  <c r="BS408" i="1"/>
  <c r="BE408" i="1"/>
  <c r="BD408" i="1"/>
  <c r="AY408" i="1"/>
  <c r="AX408" i="1"/>
  <c r="AW408" i="1"/>
  <c r="AU408" i="1"/>
  <c r="AP408" i="1"/>
  <c r="AE408" i="1"/>
  <c r="Q408" i="1"/>
  <c r="N408" i="1"/>
  <c r="I408" i="1"/>
  <c r="FY407" i="1"/>
  <c r="FX407" i="1"/>
  <c r="FT407" i="1"/>
  <c r="FJ407" i="1"/>
  <c r="FD407" i="1"/>
  <c r="EP407" i="1"/>
  <c r="EN407" i="1"/>
  <c r="EK407" i="1"/>
  <c r="EF407" i="1"/>
  <c r="ED407" i="1"/>
  <c r="DN407" i="1"/>
  <c r="CY407" i="1"/>
  <c r="CV407" i="1"/>
  <c r="CQ407" i="1"/>
  <c r="CP407" i="1"/>
  <c r="BY407" i="1"/>
  <c r="BQ407" i="1"/>
  <c r="BF407" i="1"/>
  <c r="BD407" i="1"/>
  <c r="BB407" i="1"/>
  <c r="AW407" i="1"/>
  <c r="AU407" i="1"/>
  <c r="AE407" i="1"/>
  <c r="Q407" i="1"/>
  <c r="N407" i="1"/>
  <c r="I407" i="1"/>
  <c r="FY406" i="1"/>
  <c r="FT406" i="1"/>
  <c r="FJ406" i="1"/>
  <c r="FB406" i="1"/>
  <c r="EO406" i="1"/>
  <c r="EN406" i="1"/>
  <c r="EK406" i="1"/>
  <c r="EH406" i="1"/>
  <c r="EF406" i="1"/>
  <c r="ED406" i="1"/>
  <c r="EA406" i="1"/>
  <c r="DY406" i="1"/>
  <c r="DP406" i="1"/>
  <c r="DN406" i="1"/>
  <c r="CY406" i="1"/>
  <c r="CV406" i="1"/>
  <c r="CQ406" i="1"/>
  <c r="BT406" i="1"/>
  <c r="BO406" i="1"/>
  <c r="BE406" i="1"/>
  <c r="BD406" i="1"/>
  <c r="BB406" i="1"/>
  <c r="AY406" i="1"/>
  <c r="AW406" i="1"/>
  <c r="AU406" i="1"/>
  <c r="AR406" i="1"/>
  <c r="AP406" i="1"/>
  <c r="AG406" i="1"/>
  <c r="AE406" i="1"/>
  <c r="Q406" i="1"/>
  <c r="N406" i="1"/>
  <c r="I406" i="1"/>
  <c r="FY405" i="1"/>
  <c r="FX405" i="1"/>
  <c r="FT405" i="1"/>
  <c r="FJ405" i="1"/>
  <c r="FF405" i="1"/>
  <c r="FD405" i="1"/>
  <c r="FC405" i="1"/>
  <c r="FB405" i="1"/>
  <c r="EN405" i="1"/>
  <c r="EK405" i="1"/>
  <c r="EI405" i="1"/>
  <c r="EH405" i="1"/>
  <c r="EG405" i="1"/>
  <c r="EF405" i="1"/>
  <c r="EE405" i="1"/>
  <c r="ED405" i="1"/>
  <c r="EA405" i="1"/>
  <c r="DY405" i="1"/>
  <c r="DP405" i="1"/>
  <c r="DN405" i="1"/>
  <c r="DH405" i="1"/>
  <c r="DG405" i="1"/>
  <c r="DF405" i="1"/>
  <c r="DE405" i="1"/>
  <c r="DD405" i="1"/>
  <c r="CY405" i="1"/>
  <c r="CV405" i="1"/>
  <c r="CQ405" i="1"/>
  <c r="CP405" i="1"/>
  <c r="CA405" i="1"/>
  <c r="BY405" i="1"/>
  <c r="BU405" i="1"/>
  <c r="BT405" i="1"/>
  <c r="BQ405" i="1"/>
  <c r="BP405" i="1"/>
  <c r="BO405" i="1"/>
  <c r="BD405" i="1"/>
  <c r="BB405" i="1"/>
  <c r="AZ405" i="1"/>
  <c r="AY405" i="1"/>
  <c r="AX405" i="1"/>
  <c r="AW405" i="1"/>
  <c r="AV405" i="1"/>
  <c r="AU405" i="1"/>
  <c r="AR405" i="1"/>
  <c r="AP405" i="1"/>
  <c r="AG405" i="1"/>
  <c r="AE405" i="1"/>
  <c r="Z405" i="1"/>
  <c r="Y405" i="1"/>
  <c r="X405" i="1"/>
  <c r="W405" i="1"/>
  <c r="V405" i="1"/>
  <c r="Q405" i="1"/>
  <c r="N405" i="1"/>
  <c r="I405" i="1"/>
  <c r="FY404" i="1"/>
  <c r="FX404" i="1"/>
  <c r="FF404" i="1"/>
  <c r="EV404" i="1"/>
  <c r="EN404" i="1"/>
  <c r="EK404" i="1"/>
  <c r="EH404" i="1"/>
  <c r="DY404" i="1"/>
  <c r="CV404" i="1"/>
  <c r="CQ404" i="1"/>
  <c r="CP404" i="1"/>
  <c r="CA404" i="1"/>
  <c r="BY404" i="1"/>
  <c r="BX404" i="1"/>
  <c r="BW404" i="1"/>
  <c r="BU404" i="1"/>
  <c r="BS404" i="1"/>
  <c r="BD404" i="1"/>
  <c r="BB404" i="1"/>
  <c r="AY404" i="1"/>
  <c r="AP404" i="1"/>
  <c r="N404" i="1"/>
  <c r="I404" i="1"/>
  <c r="FY403" i="1"/>
  <c r="FV403" i="1"/>
  <c r="FS403" i="1"/>
  <c r="FO403" i="1"/>
  <c r="FN403" i="1"/>
  <c r="FM403" i="1"/>
  <c r="FJ403" i="1"/>
  <c r="FG403" i="1"/>
  <c r="CS403" i="1"/>
  <c r="CR403" i="1"/>
  <c r="CQ403" i="1"/>
  <c r="CN403" i="1"/>
  <c r="CL403" i="1"/>
  <c r="CI403" i="1"/>
  <c r="CH403" i="1"/>
  <c r="CG403" i="1"/>
  <c r="BW403" i="1"/>
  <c r="K403" i="1"/>
  <c r="J403" i="1"/>
  <c r="I403" i="1"/>
  <c r="H403" i="1"/>
  <c r="FY402" i="1"/>
  <c r="FT402" i="1"/>
  <c r="FJ402" i="1"/>
  <c r="EH402" i="1"/>
  <c r="EF402" i="1"/>
  <c r="ED402" i="1"/>
  <c r="CZ402" i="1"/>
  <c r="CQ402" i="1"/>
  <c r="AY402" i="1"/>
  <c r="AW402" i="1"/>
  <c r="AU402" i="1"/>
  <c r="R402" i="1"/>
  <c r="I402" i="1"/>
  <c r="FY401" i="1"/>
  <c r="FX401" i="1"/>
  <c r="FT401" i="1"/>
  <c r="FJ401" i="1"/>
  <c r="ES401" i="1"/>
  <c r="EN401" i="1"/>
  <c r="EI401" i="1"/>
  <c r="EH401" i="1"/>
  <c r="EG401" i="1"/>
  <c r="EF401" i="1"/>
  <c r="ED401" i="1"/>
  <c r="DH401" i="1"/>
  <c r="CY401" i="1"/>
  <c r="CV401" i="1"/>
  <c r="CQ401" i="1"/>
  <c r="CP401" i="1"/>
  <c r="BH401" i="1"/>
  <c r="BD401" i="1"/>
  <c r="AZ401" i="1"/>
  <c r="AY401" i="1"/>
  <c r="AX401" i="1"/>
  <c r="AW401" i="1"/>
  <c r="AU401" i="1"/>
  <c r="Z401" i="1"/>
  <c r="Q401" i="1"/>
  <c r="N401" i="1"/>
  <c r="I401" i="1"/>
  <c r="FY400" i="1"/>
  <c r="FX400" i="1"/>
  <c r="FV400" i="1"/>
  <c r="FN400" i="1"/>
  <c r="FM400" i="1"/>
  <c r="FL400" i="1"/>
  <c r="FJ400" i="1"/>
  <c r="DQ400" i="1"/>
  <c r="CR400" i="1"/>
  <c r="CQ400" i="1"/>
  <c r="CP400" i="1"/>
  <c r="CN400" i="1"/>
  <c r="CI400" i="1"/>
  <c r="CH400" i="1"/>
  <c r="CG400" i="1"/>
  <c r="CF400" i="1"/>
  <c r="BW400" i="1"/>
  <c r="BC400" i="1"/>
  <c r="AH400" i="1"/>
  <c r="J400" i="1"/>
  <c r="I400" i="1"/>
  <c r="H400" i="1"/>
  <c r="FY399" i="1"/>
  <c r="FX399" i="1"/>
  <c r="FJ399" i="1"/>
  <c r="EN399" i="1"/>
  <c r="EH399" i="1"/>
  <c r="ED399" i="1"/>
  <c r="CV399" i="1"/>
  <c r="CQ399" i="1"/>
  <c r="CP399" i="1"/>
  <c r="CA399" i="1"/>
  <c r="BY399" i="1"/>
  <c r="BD399" i="1"/>
  <c r="AY399" i="1"/>
  <c r="AU399" i="1"/>
  <c r="N399" i="1"/>
  <c r="I399" i="1"/>
  <c r="FY398" i="1"/>
  <c r="FX398" i="1"/>
  <c r="FT398" i="1"/>
  <c r="FJ398" i="1"/>
  <c r="EN398" i="1"/>
  <c r="EK398" i="1"/>
  <c r="EI398" i="1"/>
  <c r="EH398" i="1"/>
  <c r="EG398" i="1"/>
  <c r="EF398" i="1"/>
  <c r="ED398" i="1"/>
  <c r="CY398" i="1"/>
  <c r="CV398" i="1"/>
  <c r="CQ398" i="1"/>
  <c r="CP398" i="1"/>
  <c r="BD398" i="1"/>
  <c r="BB398" i="1"/>
  <c r="AZ398" i="1"/>
  <c r="AY398" i="1"/>
  <c r="AX398" i="1"/>
  <c r="AW398" i="1"/>
  <c r="AU398" i="1"/>
  <c r="Q398" i="1"/>
  <c r="N398" i="1"/>
  <c r="I398" i="1"/>
  <c r="FY397" i="1"/>
  <c r="FX397" i="1"/>
  <c r="FT397" i="1"/>
  <c r="FJ397" i="1"/>
  <c r="EU397" i="1"/>
  <c r="ET397" i="1"/>
  <c r="EP397" i="1"/>
  <c r="EO397" i="1"/>
  <c r="EN397" i="1"/>
  <c r="ED397" i="1"/>
  <c r="CV397" i="1"/>
  <c r="CQ397" i="1"/>
  <c r="CP397" i="1"/>
  <c r="BJ397" i="1"/>
  <c r="BI397" i="1"/>
  <c r="BF397" i="1"/>
  <c r="BE397" i="1"/>
  <c r="BD397" i="1"/>
  <c r="AU397" i="1"/>
  <c r="N397" i="1"/>
  <c r="I397" i="1"/>
  <c r="FY396" i="1"/>
  <c r="FT396" i="1"/>
  <c r="FJ396" i="1"/>
  <c r="FF396" i="1"/>
  <c r="EV396" i="1"/>
  <c r="EO396" i="1"/>
  <c r="EN396" i="1"/>
  <c r="EK396" i="1"/>
  <c r="EI396" i="1"/>
  <c r="EH396" i="1"/>
  <c r="EG396" i="1"/>
  <c r="EF396" i="1"/>
  <c r="ED396" i="1"/>
  <c r="CY396" i="1"/>
  <c r="CV396" i="1"/>
  <c r="CQ396" i="1"/>
  <c r="CA396" i="1"/>
  <c r="BY396" i="1"/>
  <c r="BU396" i="1"/>
  <c r="BT396" i="1"/>
  <c r="BE396" i="1"/>
  <c r="BD396" i="1"/>
  <c r="BB396" i="1"/>
  <c r="AZ396" i="1"/>
  <c r="AY396" i="1"/>
  <c r="AX396" i="1"/>
  <c r="AW396" i="1"/>
  <c r="AU396" i="1"/>
  <c r="Q396" i="1"/>
  <c r="N396" i="1"/>
  <c r="I396" i="1"/>
  <c r="FY395" i="1"/>
  <c r="FT395" i="1"/>
  <c r="FF395" i="1"/>
  <c r="EV395" i="1"/>
  <c r="EN395" i="1"/>
  <c r="EH395" i="1"/>
  <c r="EF395" i="1"/>
  <c r="ED395" i="1"/>
  <c r="CY395" i="1"/>
  <c r="CV395" i="1"/>
  <c r="CQ395" i="1"/>
  <c r="CC395" i="1"/>
  <c r="CA395" i="1"/>
  <c r="BY395" i="1"/>
  <c r="BW395" i="1"/>
  <c r="BV395" i="1"/>
  <c r="BU395" i="1"/>
  <c r="BT395" i="1"/>
  <c r="BS395" i="1"/>
  <c r="BD395" i="1"/>
  <c r="AY395" i="1"/>
  <c r="AW395" i="1"/>
  <c r="AU395" i="1"/>
  <c r="Q395" i="1"/>
  <c r="N395" i="1"/>
  <c r="I395" i="1"/>
  <c r="FY394" i="1"/>
  <c r="FX394" i="1"/>
  <c r="FT394" i="1"/>
  <c r="FJ394" i="1"/>
  <c r="EQ394" i="1"/>
  <c r="EN394" i="1"/>
  <c r="EK394" i="1"/>
  <c r="EH394" i="1"/>
  <c r="EG394" i="1"/>
  <c r="EF394" i="1"/>
  <c r="ED394" i="1"/>
  <c r="EA394" i="1"/>
  <c r="DY394" i="1"/>
  <c r="DN394" i="1"/>
  <c r="CY394" i="1"/>
  <c r="CV394" i="1"/>
  <c r="CQ394" i="1"/>
  <c r="CP394" i="1"/>
  <c r="BU394" i="1"/>
  <c r="BT394" i="1"/>
  <c r="BS394" i="1"/>
  <c r="BG394" i="1"/>
  <c r="BD394" i="1"/>
  <c r="BB394" i="1"/>
  <c r="AY394" i="1"/>
  <c r="AX394" i="1"/>
  <c r="AW394" i="1"/>
  <c r="AU394" i="1"/>
  <c r="AR394" i="1"/>
  <c r="AP394" i="1"/>
  <c r="AE394" i="1"/>
  <c r="Q394" i="1"/>
  <c r="N394" i="1"/>
  <c r="I394" i="1"/>
  <c r="FY393" i="1"/>
  <c r="EN393" i="1"/>
  <c r="CQ393" i="1"/>
  <c r="CA393" i="1"/>
  <c r="BD393" i="1"/>
  <c r="I393" i="1"/>
  <c r="FY392" i="1"/>
  <c r="FV392" i="1"/>
  <c r="FO392" i="1"/>
  <c r="FN392" i="1"/>
  <c r="FM392" i="1"/>
  <c r="FJ392" i="1"/>
  <c r="EL392" i="1"/>
  <c r="DS392" i="1"/>
  <c r="DR392" i="1"/>
  <c r="CR392" i="1"/>
  <c r="CQ392" i="1"/>
  <c r="CN392" i="1"/>
  <c r="CI392" i="1"/>
  <c r="CH392" i="1"/>
  <c r="CG392" i="1"/>
  <c r="BW392" i="1"/>
  <c r="BC392" i="1"/>
  <c r="AJ392" i="1"/>
  <c r="AI392" i="1"/>
  <c r="J392" i="1"/>
  <c r="I392" i="1"/>
  <c r="H392" i="1"/>
  <c r="FY391" i="1"/>
  <c r="FT391" i="1"/>
  <c r="FJ391" i="1"/>
  <c r="FF391" i="1"/>
  <c r="EP391" i="1"/>
  <c r="EO391" i="1"/>
  <c r="EN391" i="1"/>
  <c r="EK391" i="1"/>
  <c r="EI391" i="1"/>
  <c r="EH391" i="1"/>
  <c r="EF391" i="1"/>
  <c r="EE391" i="1"/>
  <c r="ED391" i="1"/>
  <c r="CY391" i="1"/>
  <c r="CV391" i="1"/>
  <c r="CS391" i="1"/>
  <c r="CR391" i="1"/>
  <c r="CQ391" i="1"/>
  <c r="BV391" i="1"/>
  <c r="BU391" i="1"/>
  <c r="BT391" i="1"/>
  <c r="BF391" i="1"/>
  <c r="BE391" i="1"/>
  <c r="BD391" i="1"/>
  <c r="BB391" i="1"/>
  <c r="AZ391" i="1"/>
  <c r="AY391" i="1"/>
  <c r="AW391" i="1"/>
  <c r="AV391" i="1"/>
  <c r="AU391" i="1"/>
  <c r="Q391" i="1"/>
  <c r="N391" i="1"/>
  <c r="K391" i="1"/>
  <c r="J391" i="1"/>
  <c r="I391" i="1"/>
  <c r="FY390" i="1"/>
  <c r="FT390" i="1"/>
  <c r="FJ390" i="1"/>
  <c r="FB390" i="1"/>
  <c r="EZ390" i="1"/>
  <c r="EN390" i="1"/>
  <c r="EI390" i="1"/>
  <c r="EH390" i="1"/>
  <c r="EF390" i="1"/>
  <c r="ED390" i="1"/>
  <c r="EA390" i="1"/>
  <c r="DY390" i="1"/>
  <c r="DP390" i="1"/>
  <c r="DN390" i="1"/>
  <c r="DF390" i="1"/>
  <c r="DE390" i="1"/>
  <c r="DD390" i="1"/>
  <c r="CY390" i="1"/>
  <c r="CV390" i="1"/>
  <c r="CQ390" i="1"/>
  <c r="CA390" i="1"/>
  <c r="BY390" i="1"/>
  <c r="BU390" i="1"/>
  <c r="BT390" i="1"/>
  <c r="BS390" i="1"/>
  <c r="BO390" i="1"/>
  <c r="BM390" i="1"/>
  <c r="BD390" i="1"/>
  <c r="AZ390" i="1"/>
  <c r="AY390" i="1"/>
  <c r="AW390" i="1"/>
  <c r="AU390" i="1"/>
  <c r="AR390" i="1"/>
  <c r="AP390" i="1"/>
  <c r="AG390" i="1"/>
  <c r="AE390" i="1"/>
  <c r="X390" i="1"/>
  <c r="W390" i="1"/>
  <c r="V390" i="1"/>
  <c r="Q390" i="1"/>
  <c r="N390" i="1"/>
  <c r="I390" i="1"/>
  <c r="FY389" i="1"/>
  <c r="FX389" i="1"/>
  <c r="FT389" i="1"/>
  <c r="FJ389" i="1"/>
  <c r="EK389" i="1"/>
  <c r="EI389" i="1"/>
  <c r="EH389" i="1"/>
  <c r="EF389" i="1"/>
  <c r="ED389" i="1"/>
  <c r="DN389" i="1"/>
  <c r="CY389" i="1"/>
  <c r="CV389" i="1"/>
  <c r="CQ389" i="1"/>
  <c r="CP389" i="1"/>
  <c r="CA389" i="1"/>
  <c r="BW389" i="1"/>
  <c r="BU389" i="1"/>
  <c r="BT389" i="1"/>
  <c r="BS389" i="1"/>
  <c r="BB389" i="1"/>
  <c r="AZ389" i="1"/>
  <c r="AY389" i="1"/>
  <c r="AW389" i="1"/>
  <c r="AU389" i="1"/>
  <c r="AE389" i="1"/>
  <c r="Q389" i="1"/>
  <c r="N389" i="1"/>
  <c r="I389" i="1"/>
  <c r="FY388" i="1"/>
  <c r="FX388" i="1"/>
  <c r="FT388" i="1"/>
  <c r="FJ388" i="1"/>
  <c r="FE388" i="1"/>
  <c r="FD388" i="1"/>
  <c r="FB388" i="1"/>
  <c r="EN388" i="1"/>
  <c r="EK388" i="1"/>
  <c r="EH388" i="1"/>
  <c r="EF388" i="1"/>
  <c r="ED388" i="1"/>
  <c r="DP388" i="1"/>
  <c r="DN388" i="1"/>
  <c r="CQ388" i="1"/>
  <c r="CP388" i="1"/>
  <c r="CC388" i="1"/>
  <c r="CA388" i="1"/>
  <c r="BY388" i="1"/>
  <c r="BW388" i="1"/>
  <c r="BT388" i="1"/>
  <c r="BS388" i="1"/>
  <c r="BR388" i="1"/>
  <c r="BQ388" i="1"/>
  <c r="BO388" i="1"/>
  <c r="BD388" i="1"/>
  <c r="BB388" i="1"/>
  <c r="AY388" i="1"/>
  <c r="AW388" i="1"/>
  <c r="AU388" i="1"/>
  <c r="AG388" i="1"/>
  <c r="AE388" i="1"/>
  <c r="I388" i="1"/>
  <c r="FY387" i="1"/>
  <c r="FT387" i="1"/>
  <c r="FJ387" i="1"/>
  <c r="FI387" i="1"/>
  <c r="FE387" i="1"/>
  <c r="FD387" i="1"/>
  <c r="FC387" i="1"/>
  <c r="FB387" i="1"/>
  <c r="EP387" i="1"/>
  <c r="EN387" i="1"/>
  <c r="EI387" i="1"/>
  <c r="EH387" i="1"/>
  <c r="EG387" i="1"/>
  <c r="EF387" i="1"/>
  <c r="ED387" i="1"/>
  <c r="EA387" i="1"/>
  <c r="DY387" i="1"/>
  <c r="DP387" i="1"/>
  <c r="DN387" i="1"/>
  <c r="DG387" i="1"/>
  <c r="DF387" i="1"/>
  <c r="DE387" i="1"/>
  <c r="DD387" i="1"/>
  <c r="CY387" i="1"/>
  <c r="CV387" i="1"/>
  <c r="CQ387" i="1"/>
  <c r="CD387" i="1"/>
  <c r="BR387" i="1"/>
  <c r="BQ387" i="1"/>
  <c r="BP387" i="1"/>
  <c r="BO387" i="1"/>
  <c r="BF387" i="1"/>
  <c r="BD387" i="1"/>
  <c r="AZ387" i="1"/>
  <c r="AY387" i="1"/>
  <c r="AX387" i="1"/>
  <c r="AW387" i="1"/>
  <c r="AU387" i="1"/>
  <c r="AR387" i="1"/>
  <c r="AP387" i="1"/>
  <c r="AG387" i="1"/>
  <c r="AE387" i="1"/>
  <c r="Y387" i="1"/>
  <c r="X387" i="1"/>
  <c r="W387" i="1"/>
  <c r="V387" i="1"/>
  <c r="Q387" i="1"/>
  <c r="N387" i="1"/>
  <c r="I387" i="1"/>
  <c r="FY386" i="1"/>
  <c r="FI386" i="1"/>
  <c r="EN386" i="1"/>
  <c r="CQ386" i="1"/>
  <c r="CA386" i="1"/>
  <c r="BD386" i="1"/>
  <c r="J386" i="1"/>
  <c r="I386" i="1"/>
  <c r="FY385" i="1"/>
  <c r="FT385" i="1"/>
  <c r="FJ385" i="1"/>
  <c r="EO385" i="1"/>
  <c r="EN385" i="1"/>
  <c r="EK385" i="1"/>
  <c r="EI385" i="1"/>
  <c r="EH385" i="1"/>
  <c r="EG385" i="1"/>
  <c r="EF385" i="1"/>
  <c r="ED385" i="1"/>
  <c r="DD385" i="1"/>
  <c r="CY385" i="1"/>
  <c r="CV385" i="1"/>
  <c r="CQ385" i="1"/>
  <c r="BY385" i="1"/>
  <c r="BE385" i="1"/>
  <c r="BD385" i="1"/>
  <c r="BB385" i="1"/>
  <c r="AZ385" i="1"/>
  <c r="AY385" i="1"/>
  <c r="AX385" i="1"/>
  <c r="AW385" i="1"/>
  <c r="AU385" i="1"/>
  <c r="V385" i="1"/>
  <c r="Q385" i="1"/>
  <c r="N385" i="1"/>
  <c r="I385" i="1"/>
  <c r="FY384" i="1"/>
  <c r="FV384" i="1"/>
  <c r="FS384" i="1"/>
  <c r="FO384" i="1"/>
  <c r="FN384" i="1"/>
  <c r="FJ384" i="1"/>
  <c r="FG384" i="1"/>
  <c r="CS384" i="1"/>
  <c r="CR384" i="1"/>
  <c r="CQ384" i="1"/>
  <c r="CN384" i="1"/>
  <c r="CL384" i="1"/>
  <c r="CI384" i="1"/>
  <c r="CH384" i="1"/>
  <c r="BW384" i="1"/>
  <c r="K384" i="1"/>
  <c r="J384" i="1"/>
  <c r="I384" i="1"/>
  <c r="H384" i="1"/>
  <c r="FY383" i="1"/>
  <c r="FT383" i="1"/>
  <c r="FJ383" i="1"/>
  <c r="FE383" i="1"/>
  <c r="FD383" i="1"/>
  <c r="EN383" i="1"/>
  <c r="EK383" i="1"/>
  <c r="EI383" i="1"/>
  <c r="EH383" i="1"/>
  <c r="EF383" i="1"/>
  <c r="ED383" i="1"/>
  <c r="EA383" i="1"/>
  <c r="DY383" i="1"/>
  <c r="DP383" i="1"/>
  <c r="DN383" i="1"/>
  <c r="CY383" i="1"/>
  <c r="CV383" i="1"/>
  <c r="CQ383" i="1"/>
  <c r="BT383" i="1"/>
  <c r="BS383" i="1"/>
  <c r="BR383" i="1"/>
  <c r="BQ383" i="1"/>
  <c r="BD383" i="1"/>
  <c r="BB383" i="1"/>
  <c r="AZ383" i="1"/>
  <c r="AY383" i="1"/>
  <c r="AW383" i="1"/>
  <c r="AU383" i="1"/>
  <c r="AR383" i="1"/>
  <c r="AP383" i="1"/>
  <c r="AG383" i="1"/>
  <c r="AE383" i="1"/>
  <c r="Q383" i="1"/>
  <c r="N383" i="1"/>
  <c r="I383" i="1"/>
  <c r="FY382" i="1"/>
  <c r="FX382" i="1"/>
  <c r="FT382" i="1"/>
  <c r="FJ382" i="1"/>
  <c r="FD382" i="1"/>
  <c r="FB382" i="1"/>
  <c r="EV382" i="1"/>
  <c r="EP382" i="1"/>
  <c r="EO382" i="1"/>
  <c r="EN382" i="1"/>
  <c r="EI382" i="1"/>
  <c r="EH382" i="1"/>
  <c r="EF382" i="1"/>
  <c r="EE382" i="1"/>
  <c r="ED382" i="1"/>
  <c r="EA382" i="1"/>
  <c r="DY382" i="1"/>
  <c r="DP382" i="1"/>
  <c r="DN382" i="1"/>
  <c r="DG382" i="1"/>
  <c r="DF382" i="1"/>
  <c r="DE382" i="1"/>
  <c r="DD382" i="1"/>
  <c r="CY382" i="1"/>
  <c r="CV382" i="1"/>
  <c r="CQ382" i="1"/>
  <c r="CP382" i="1"/>
  <c r="CB382" i="1"/>
  <c r="BQ382" i="1"/>
  <c r="BO382" i="1"/>
  <c r="BF382" i="1"/>
  <c r="BE382" i="1"/>
  <c r="BD382" i="1"/>
  <c r="AZ382" i="1"/>
  <c r="AY382" i="1"/>
  <c r="AW382" i="1"/>
  <c r="AV382" i="1"/>
  <c r="AU382" i="1"/>
  <c r="AR382" i="1"/>
  <c r="AP382" i="1"/>
  <c r="AG382" i="1"/>
  <c r="AE382" i="1"/>
  <c r="Y382" i="1"/>
  <c r="X382" i="1"/>
  <c r="W382" i="1"/>
  <c r="V382" i="1"/>
  <c r="Q382" i="1"/>
  <c r="N382" i="1"/>
  <c r="I382" i="1"/>
  <c r="FY381" i="1"/>
  <c r="FX381" i="1"/>
  <c r="FT381" i="1"/>
  <c r="FJ381" i="1"/>
  <c r="EQ381" i="1"/>
  <c r="EN381" i="1"/>
  <c r="EK381" i="1"/>
  <c r="EH381" i="1"/>
  <c r="ED381" i="1"/>
  <c r="CV381" i="1"/>
  <c r="CQ381" i="1"/>
  <c r="CP381" i="1"/>
  <c r="CA381" i="1"/>
  <c r="BZ381" i="1"/>
  <c r="BY381" i="1"/>
  <c r="BS381" i="1"/>
  <c r="BG381" i="1"/>
  <c r="BD381" i="1"/>
  <c r="BB381" i="1"/>
  <c r="AY381" i="1"/>
  <c r="AU381" i="1"/>
  <c r="N381" i="1"/>
  <c r="I381" i="1"/>
  <c r="FY380" i="1"/>
  <c r="FT380" i="1"/>
  <c r="FJ380" i="1"/>
  <c r="FC380" i="1"/>
  <c r="FB380" i="1"/>
  <c r="EN380" i="1"/>
  <c r="EK380" i="1"/>
  <c r="EI380" i="1"/>
  <c r="EH380" i="1"/>
  <c r="EF380" i="1"/>
  <c r="ED380" i="1"/>
  <c r="CQ380" i="1"/>
  <c r="CA380" i="1"/>
  <c r="BW380" i="1"/>
  <c r="BT380" i="1"/>
  <c r="BS380" i="1"/>
  <c r="BP380" i="1"/>
  <c r="BO380" i="1"/>
  <c r="BD380" i="1"/>
  <c r="BB380" i="1"/>
  <c r="AZ380" i="1"/>
  <c r="AY380" i="1"/>
  <c r="AW380" i="1"/>
  <c r="AU380" i="1"/>
  <c r="I380" i="1"/>
  <c r="FY379" i="1"/>
  <c r="FX379" i="1"/>
  <c r="FT379" i="1"/>
  <c r="FJ379" i="1"/>
  <c r="EO379" i="1"/>
  <c r="EN379" i="1"/>
  <c r="EK379" i="1"/>
  <c r="EI379" i="1"/>
  <c r="EH379" i="1"/>
  <c r="EF379" i="1"/>
  <c r="EE379" i="1"/>
  <c r="ED379" i="1"/>
  <c r="EA379" i="1"/>
  <c r="DY379" i="1"/>
  <c r="DP379" i="1"/>
  <c r="DN379" i="1"/>
  <c r="DG379" i="1"/>
  <c r="DE379" i="1"/>
  <c r="CY379" i="1"/>
  <c r="CV379" i="1"/>
  <c r="CQ379" i="1"/>
  <c r="CP379" i="1"/>
  <c r="CA379" i="1"/>
  <c r="BW379" i="1"/>
  <c r="BT379" i="1"/>
  <c r="BS379" i="1"/>
  <c r="BE379" i="1"/>
  <c r="BD379" i="1"/>
  <c r="BB379" i="1"/>
  <c r="AZ379" i="1"/>
  <c r="AY379" i="1"/>
  <c r="AW379" i="1"/>
  <c r="AV379" i="1"/>
  <c r="AU379" i="1"/>
  <c r="AR379" i="1"/>
  <c r="AP379" i="1"/>
  <c r="AG379" i="1"/>
  <c r="AE379" i="1"/>
  <c r="Y379" i="1"/>
  <c r="W379" i="1"/>
  <c r="Q379" i="1"/>
  <c r="N379" i="1"/>
  <c r="I379" i="1"/>
  <c r="FY378" i="1"/>
  <c r="FX378" i="1"/>
  <c r="FT378" i="1"/>
  <c r="FJ378" i="1"/>
  <c r="FB378" i="1"/>
  <c r="EV378" i="1"/>
  <c r="ER378" i="1"/>
  <c r="EQ378" i="1"/>
  <c r="EO378" i="1"/>
  <c r="EN378" i="1"/>
  <c r="EK378" i="1"/>
  <c r="EI378" i="1"/>
  <c r="EH378" i="1"/>
  <c r="EF378" i="1"/>
  <c r="EE378" i="1"/>
  <c r="ED378" i="1"/>
  <c r="EA378" i="1"/>
  <c r="DY378" i="1"/>
  <c r="DP378" i="1"/>
  <c r="DN378" i="1"/>
  <c r="DH378" i="1"/>
  <c r="DG378" i="1"/>
  <c r="DF378" i="1"/>
  <c r="DE378" i="1"/>
  <c r="DD378" i="1"/>
  <c r="CY378" i="1"/>
  <c r="CV378" i="1"/>
  <c r="CQ378" i="1"/>
  <c r="CP378" i="1"/>
  <c r="BY378" i="1"/>
  <c r="BT378" i="1"/>
  <c r="BO378" i="1"/>
  <c r="BG378" i="1"/>
  <c r="BE378" i="1"/>
  <c r="BD378" i="1"/>
  <c r="BB378" i="1"/>
  <c r="AZ378" i="1"/>
  <c r="AY378" i="1"/>
  <c r="AW378" i="1"/>
  <c r="AV378" i="1"/>
  <c r="AU378" i="1"/>
  <c r="AR378" i="1"/>
  <c r="AP378" i="1"/>
  <c r="AG378" i="1"/>
  <c r="AE378" i="1"/>
  <c r="Z378" i="1"/>
  <c r="Y378" i="1"/>
  <c r="X378" i="1"/>
  <c r="W378" i="1"/>
  <c r="V378" i="1"/>
  <c r="Q378" i="1"/>
  <c r="N378" i="1"/>
  <c r="I378" i="1"/>
  <c r="FY377" i="1"/>
  <c r="FK377" i="1"/>
  <c r="EK377" i="1"/>
  <c r="EH377" i="1"/>
  <c r="EG377" i="1"/>
  <c r="EF377" i="1"/>
  <c r="ED377" i="1"/>
  <c r="CY377" i="1"/>
  <c r="CV377" i="1"/>
  <c r="CQ377" i="1"/>
  <c r="BB377" i="1"/>
  <c r="AY377" i="1"/>
  <c r="AX377" i="1"/>
  <c r="AW377" i="1"/>
  <c r="AU377" i="1"/>
  <c r="Q377" i="1"/>
  <c r="N377" i="1"/>
  <c r="I377" i="1"/>
  <c r="FY376" i="1"/>
  <c r="FV376" i="1"/>
  <c r="FM376" i="1"/>
  <c r="EL376" i="1"/>
  <c r="DT376" i="1"/>
  <c r="CR376" i="1"/>
  <c r="CQ376" i="1"/>
  <c r="CN376" i="1"/>
  <c r="CI376" i="1"/>
  <c r="CH376" i="1"/>
  <c r="CG376" i="1"/>
  <c r="CF376" i="1"/>
  <c r="BW376" i="1"/>
  <c r="BC376" i="1"/>
  <c r="AK376" i="1"/>
  <c r="J376" i="1"/>
  <c r="I376" i="1"/>
  <c r="H376" i="1"/>
  <c r="FY375" i="1"/>
  <c r="FX375" i="1"/>
  <c r="FJ375" i="1"/>
  <c r="EI375" i="1"/>
  <c r="EH375" i="1"/>
  <c r="EG375" i="1"/>
  <c r="EF375" i="1"/>
  <c r="ED375" i="1"/>
  <c r="CY375" i="1"/>
  <c r="CV375" i="1"/>
  <c r="CQ375" i="1"/>
  <c r="CP375" i="1"/>
  <c r="AZ375" i="1"/>
  <c r="AY375" i="1"/>
  <c r="AX375" i="1"/>
  <c r="AW375" i="1"/>
  <c r="AU375" i="1"/>
  <c r="Q375" i="1"/>
  <c r="N375" i="1"/>
  <c r="I375" i="1"/>
  <c r="FY374" i="1"/>
  <c r="FT374" i="1"/>
  <c r="FJ374" i="1"/>
  <c r="FC374" i="1"/>
  <c r="EN374" i="1"/>
  <c r="EK374" i="1"/>
  <c r="EI374" i="1"/>
  <c r="EH374" i="1"/>
  <c r="EG374" i="1"/>
  <c r="EF374" i="1"/>
  <c r="EE374" i="1"/>
  <c r="ED374" i="1"/>
  <c r="EA374" i="1"/>
  <c r="DG374" i="1"/>
  <c r="DF374" i="1"/>
  <c r="DE374" i="1"/>
  <c r="CY374" i="1"/>
  <c r="CV374" i="1"/>
  <c r="CQ374" i="1"/>
  <c r="BY374" i="1"/>
  <c r="BU374" i="1"/>
  <c r="BT374" i="1"/>
  <c r="BP374" i="1"/>
  <c r="BD374" i="1"/>
  <c r="BB374" i="1"/>
  <c r="AZ374" i="1"/>
  <c r="AY374" i="1"/>
  <c r="AX374" i="1"/>
  <c r="AW374" i="1"/>
  <c r="AV374" i="1"/>
  <c r="AU374" i="1"/>
  <c r="AR374" i="1"/>
  <c r="Y374" i="1"/>
  <c r="X374" i="1"/>
  <c r="W374" i="1"/>
  <c r="Q374" i="1"/>
  <c r="N374" i="1"/>
  <c r="I374" i="1"/>
  <c r="FY373" i="1"/>
  <c r="FX373" i="1"/>
  <c r="FT373" i="1"/>
  <c r="FJ373" i="1"/>
  <c r="FD373" i="1"/>
  <c r="FC373" i="1"/>
  <c r="FB373" i="1"/>
  <c r="EO373" i="1"/>
  <c r="EN373" i="1"/>
  <c r="EI373" i="1"/>
  <c r="EH373" i="1"/>
  <c r="EF373" i="1"/>
  <c r="ED373" i="1"/>
  <c r="EA373" i="1"/>
  <c r="DY373" i="1"/>
  <c r="DP373" i="1"/>
  <c r="DN373" i="1"/>
  <c r="DH373" i="1"/>
  <c r="DF373" i="1"/>
  <c r="DE373" i="1"/>
  <c r="DD373" i="1"/>
  <c r="CY373" i="1"/>
  <c r="CV373" i="1"/>
  <c r="CQ373" i="1"/>
  <c r="CP373" i="1"/>
  <c r="BQ373" i="1"/>
  <c r="BP373" i="1"/>
  <c r="BO373" i="1"/>
  <c r="BE373" i="1"/>
  <c r="BD373" i="1"/>
  <c r="AZ373" i="1"/>
  <c r="AY373" i="1"/>
  <c r="AW373" i="1"/>
  <c r="AU373" i="1"/>
  <c r="AR373" i="1"/>
  <c r="AP373" i="1"/>
  <c r="AG373" i="1"/>
  <c r="AE373" i="1"/>
  <c r="Z373" i="1"/>
  <c r="X373" i="1"/>
  <c r="W373" i="1"/>
  <c r="V373" i="1"/>
  <c r="Q373" i="1"/>
  <c r="N373" i="1"/>
  <c r="I373" i="1"/>
  <c r="FY372" i="1"/>
  <c r="FT372" i="1"/>
  <c r="FJ372" i="1"/>
  <c r="FB372" i="1"/>
  <c r="FA372" i="1"/>
  <c r="EZ372" i="1"/>
  <c r="EO372" i="1"/>
  <c r="EN372" i="1"/>
  <c r="EI372" i="1"/>
  <c r="EH372" i="1"/>
  <c r="EF372" i="1"/>
  <c r="ED372" i="1"/>
  <c r="EA372" i="1"/>
  <c r="DY372" i="1"/>
  <c r="DP372" i="1"/>
  <c r="DN372" i="1"/>
  <c r="DG372" i="1"/>
  <c r="DF372" i="1"/>
  <c r="DE372" i="1"/>
  <c r="DD372" i="1"/>
  <c r="CY372" i="1"/>
  <c r="CV372" i="1"/>
  <c r="CQ372" i="1"/>
  <c r="BO372" i="1"/>
  <c r="BN372" i="1"/>
  <c r="BM372" i="1"/>
  <c r="BE372" i="1"/>
  <c r="BD372" i="1"/>
  <c r="AZ372" i="1"/>
  <c r="AY372" i="1"/>
  <c r="AW372" i="1"/>
  <c r="AU372" i="1"/>
  <c r="AR372" i="1"/>
  <c r="AP372" i="1"/>
  <c r="AG372" i="1"/>
  <c r="AE372" i="1"/>
  <c r="Y372" i="1"/>
  <c r="X372" i="1"/>
  <c r="W372" i="1"/>
  <c r="V372" i="1"/>
  <c r="Q372" i="1"/>
  <c r="N372" i="1"/>
  <c r="I372" i="1"/>
  <c r="FY371" i="1"/>
  <c r="FX371" i="1"/>
  <c r="FT371" i="1"/>
  <c r="FJ371" i="1"/>
  <c r="EN371" i="1"/>
  <c r="EI371" i="1"/>
  <c r="EH371" i="1"/>
  <c r="EF371" i="1"/>
  <c r="ED371" i="1"/>
  <c r="DP371" i="1"/>
  <c r="DN371" i="1"/>
  <c r="CY371" i="1"/>
  <c r="CV371" i="1"/>
  <c r="CQ371" i="1"/>
  <c r="CP371" i="1"/>
  <c r="BD371" i="1"/>
  <c r="AZ371" i="1"/>
  <c r="AY371" i="1"/>
  <c r="AW371" i="1"/>
  <c r="AU371" i="1"/>
  <c r="AG371" i="1"/>
  <c r="AE371" i="1"/>
  <c r="Q371" i="1"/>
  <c r="N371" i="1"/>
  <c r="I371" i="1"/>
  <c r="FY370" i="1"/>
  <c r="FX370" i="1"/>
  <c r="FT370" i="1"/>
  <c r="FJ370" i="1"/>
  <c r="FC370" i="1"/>
  <c r="FB370" i="1"/>
  <c r="EQ370" i="1"/>
  <c r="EO370" i="1"/>
  <c r="EN370" i="1"/>
  <c r="EK370" i="1"/>
  <c r="EI370" i="1"/>
  <c r="EH370" i="1"/>
  <c r="EG370" i="1"/>
  <c r="EF370" i="1"/>
  <c r="EE370" i="1"/>
  <c r="ED370" i="1"/>
  <c r="EA370" i="1"/>
  <c r="DY370" i="1"/>
  <c r="DP370" i="1"/>
  <c r="DN370" i="1"/>
  <c r="DG370" i="1"/>
  <c r="DE370" i="1"/>
  <c r="DD370" i="1"/>
  <c r="CY370" i="1"/>
  <c r="CV370" i="1"/>
  <c r="CQ370" i="1"/>
  <c r="CP370" i="1"/>
  <c r="BP370" i="1"/>
  <c r="BO370" i="1"/>
  <c r="BG370" i="1"/>
  <c r="BE370" i="1"/>
  <c r="BD370" i="1"/>
  <c r="BB370" i="1"/>
  <c r="AZ370" i="1"/>
  <c r="AY370" i="1"/>
  <c r="AX370" i="1"/>
  <c r="AW370" i="1"/>
  <c r="AV370" i="1"/>
  <c r="AU370" i="1"/>
  <c r="AR370" i="1"/>
  <c r="AP370" i="1"/>
  <c r="AG370" i="1"/>
  <c r="AE370" i="1"/>
  <c r="Y370" i="1"/>
  <c r="W370" i="1"/>
  <c r="V370" i="1"/>
  <c r="Q370" i="1"/>
  <c r="N370" i="1"/>
  <c r="I370" i="1"/>
  <c r="FY369" i="1"/>
  <c r="FV369" i="1"/>
  <c r="FO369" i="1"/>
  <c r="FN369" i="1"/>
  <c r="FM369" i="1"/>
  <c r="FJ369" i="1"/>
  <c r="FG369" i="1"/>
  <c r="EW369" i="1"/>
  <c r="DZ369" i="1"/>
  <c r="CR369" i="1"/>
  <c r="CQ369" i="1"/>
  <c r="CN369" i="1"/>
  <c r="CI369" i="1"/>
  <c r="CH369" i="1"/>
  <c r="CG369" i="1"/>
  <c r="BW369" i="1"/>
  <c r="AQ369" i="1"/>
  <c r="J369" i="1"/>
  <c r="I369" i="1"/>
  <c r="H369" i="1"/>
  <c r="FY368" i="1"/>
  <c r="FJ368" i="1"/>
  <c r="FD368" i="1"/>
  <c r="FB368" i="1"/>
  <c r="EO368" i="1"/>
  <c r="EN368" i="1"/>
  <c r="EK368" i="1"/>
  <c r="EH368" i="1"/>
  <c r="EG368" i="1"/>
  <c r="EF368" i="1"/>
  <c r="ED368" i="1"/>
  <c r="EA368" i="1"/>
  <c r="DY368" i="1"/>
  <c r="DP368" i="1"/>
  <c r="DN368" i="1"/>
  <c r="DG368" i="1"/>
  <c r="DF368" i="1"/>
  <c r="DE368" i="1"/>
  <c r="DD368" i="1"/>
  <c r="CY368" i="1"/>
  <c r="CV368" i="1"/>
  <c r="CQ368" i="1"/>
  <c r="CA368" i="1"/>
  <c r="BZ368" i="1"/>
  <c r="BY368" i="1"/>
  <c r="BW368" i="1"/>
  <c r="BT368" i="1"/>
  <c r="BS368" i="1"/>
  <c r="BQ368" i="1"/>
  <c r="BO368" i="1"/>
  <c r="BE368" i="1"/>
  <c r="BD368" i="1"/>
  <c r="BB368" i="1"/>
  <c r="AY368" i="1"/>
  <c r="AX368" i="1"/>
  <c r="AW368" i="1"/>
  <c r="AU368" i="1"/>
  <c r="AR368" i="1"/>
  <c r="AP368" i="1"/>
  <c r="AG368" i="1"/>
  <c r="AE368" i="1"/>
  <c r="Y368" i="1"/>
  <c r="X368" i="1"/>
  <c r="W368" i="1"/>
  <c r="V368" i="1"/>
  <c r="Q368" i="1"/>
  <c r="N368" i="1"/>
  <c r="I368" i="1"/>
  <c r="FY366" i="1"/>
  <c r="FV366" i="1"/>
  <c r="FU366" i="1"/>
  <c r="FS366" i="1"/>
  <c r="FP366" i="1"/>
  <c r="FO366" i="1"/>
  <c r="FN366" i="1"/>
  <c r="FM366" i="1"/>
  <c r="FL366" i="1"/>
  <c r="FJ366" i="1"/>
  <c r="FG366" i="1"/>
  <c r="CS366" i="1"/>
  <c r="CR366" i="1"/>
  <c r="CQ366" i="1"/>
  <c r="CN366" i="1"/>
  <c r="CM366" i="1"/>
  <c r="CL366" i="1"/>
  <c r="CJ366" i="1"/>
  <c r="CI366" i="1"/>
  <c r="CH366" i="1"/>
  <c r="CG366" i="1"/>
  <c r="CF366" i="1"/>
  <c r="BW366" i="1"/>
  <c r="K366" i="1"/>
  <c r="J366" i="1"/>
  <c r="I366" i="1"/>
  <c r="H366" i="1"/>
  <c r="FY365" i="1"/>
  <c r="FV365" i="1"/>
  <c r="FN365" i="1"/>
  <c r="FM365" i="1"/>
  <c r="FL365" i="1"/>
  <c r="FJ365" i="1"/>
  <c r="FG365" i="1"/>
  <c r="CR365" i="1"/>
  <c r="CQ365" i="1"/>
  <c r="CN365" i="1"/>
  <c r="CH365" i="1"/>
  <c r="CG365" i="1"/>
  <c r="CF365" i="1"/>
  <c r="BW365" i="1"/>
  <c r="J365" i="1"/>
  <c r="I365" i="1"/>
  <c r="H365" i="1"/>
  <c r="FY364" i="1"/>
  <c r="FX364" i="1"/>
  <c r="FF364" i="1"/>
  <c r="EF364" i="1"/>
  <c r="ED364" i="1"/>
  <c r="DP364" i="1"/>
  <c r="DN364" i="1"/>
  <c r="CV364" i="1"/>
  <c r="CQ364" i="1"/>
  <c r="CP364" i="1"/>
  <c r="BU364" i="1"/>
  <c r="AW364" i="1"/>
  <c r="AU364" i="1"/>
  <c r="AG364" i="1"/>
  <c r="AE364" i="1"/>
  <c r="N364" i="1"/>
  <c r="I364" i="1"/>
  <c r="FY363" i="1"/>
  <c r="FT363" i="1"/>
  <c r="FJ363" i="1"/>
  <c r="EH363" i="1"/>
  <c r="EF363" i="1"/>
  <c r="ED363" i="1"/>
  <c r="CZ363" i="1"/>
  <c r="CQ363" i="1"/>
  <c r="AY363" i="1"/>
  <c r="AW363" i="1"/>
  <c r="AU363" i="1"/>
  <c r="R363" i="1"/>
  <c r="I363" i="1"/>
  <c r="FY362" i="1"/>
  <c r="FX362" i="1"/>
  <c r="FT362" i="1"/>
  <c r="FJ362" i="1"/>
  <c r="FE362" i="1"/>
  <c r="FD362" i="1"/>
  <c r="FC362" i="1"/>
  <c r="FB362" i="1"/>
  <c r="EQ362" i="1"/>
  <c r="EN362" i="1"/>
  <c r="EK362" i="1"/>
  <c r="EH362" i="1"/>
  <c r="EF362" i="1"/>
  <c r="ED362" i="1"/>
  <c r="EA362" i="1"/>
  <c r="DY362" i="1"/>
  <c r="DP362" i="1"/>
  <c r="DN362" i="1"/>
  <c r="DD362" i="1"/>
  <c r="CY362" i="1"/>
  <c r="CV362" i="1"/>
  <c r="CQ362" i="1"/>
  <c r="CP362" i="1"/>
  <c r="CA362" i="1"/>
  <c r="BY362" i="1"/>
  <c r="BX362" i="1"/>
  <c r="BW362" i="1"/>
  <c r="BU362" i="1"/>
  <c r="BT362" i="1"/>
  <c r="BS362" i="1"/>
  <c r="BR362" i="1"/>
  <c r="BQ362" i="1"/>
  <c r="BP362" i="1"/>
  <c r="BO362" i="1"/>
  <c r="BG362" i="1"/>
  <c r="BD362" i="1"/>
  <c r="BB362" i="1"/>
  <c r="AY362" i="1"/>
  <c r="AW362" i="1"/>
  <c r="AU362" i="1"/>
  <c r="AR362" i="1"/>
  <c r="AP362" i="1"/>
  <c r="AG362" i="1"/>
  <c r="AE362" i="1"/>
  <c r="V362" i="1"/>
  <c r="Q362" i="1"/>
  <c r="N362" i="1"/>
  <c r="I362" i="1"/>
  <c r="FY361" i="1"/>
  <c r="FX361" i="1"/>
  <c r="FT361" i="1"/>
  <c r="FJ361" i="1"/>
  <c r="FE361" i="1"/>
  <c r="FD361" i="1"/>
  <c r="FB361" i="1"/>
  <c r="ER361" i="1"/>
  <c r="EN361" i="1"/>
  <c r="EK361" i="1"/>
  <c r="EH361" i="1"/>
  <c r="EF361" i="1"/>
  <c r="ED361" i="1"/>
  <c r="EA361" i="1"/>
  <c r="DY361" i="1"/>
  <c r="DP361" i="1"/>
  <c r="DN361" i="1"/>
  <c r="DF361" i="1"/>
  <c r="DE361" i="1"/>
  <c r="DD361" i="1"/>
  <c r="CY361" i="1"/>
  <c r="CV361" i="1"/>
  <c r="CQ361" i="1"/>
  <c r="CP361" i="1"/>
  <c r="CA361" i="1"/>
  <c r="BY361" i="1"/>
  <c r="BX361" i="1"/>
  <c r="BT361" i="1"/>
  <c r="BR361" i="1"/>
  <c r="BQ361" i="1"/>
  <c r="BO361" i="1"/>
  <c r="BD361" i="1"/>
  <c r="BB361" i="1"/>
  <c r="AY361" i="1"/>
  <c r="AW361" i="1"/>
  <c r="AU361" i="1"/>
  <c r="AR361" i="1"/>
  <c r="AP361" i="1"/>
  <c r="AG361" i="1"/>
  <c r="AE361" i="1"/>
  <c r="X361" i="1"/>
  <c r="W361" i="1"/>
  <c r="V361" i="1"/>
  <c r="Q361" i="1"/>
  <c r="N361" i="1"/>
  <c r="I361" i="1"/>
  <c r="FY360" i="1"/>
  <c r="FX360" i="1"/>
  <c r="FT360" i="1"/>
  <c r="FJ360" i="1"/>
  <c r="FE360" i="1"/>
  <c r="FC360" i="1"/>
  <c r="FB360" i="1"/>
  <c r="EN360" i="1"/>
  <c r="EK360" i="1"/>
  <c r="EH360" i="1"/>
  <c r="EG360" i="1"/>
  <c r="EF360" i="1"/>
  <c r="EE360" i="1"/>
  <c r="ED360" i="1"/>
  <c r="EA360" i="1"/>
  <c r="DY360" i="1"/>
  <c r="DP360" i="1"/>
  <c r="DN360" i="1"/>
  <c r="DG360" i="1"/>
  <c r="DF360" i="1"/>
  <c r="DE360" i="1"/>
  <c r="DD360" i="1"/>
  <c r="CY360" i="1"/>
  <c r="CV360" i="1"/>
  <c r="CQ360" i="1"/>
  <c r="CP360" i="1"/>
  <c r="CA360" i="1"/>
  <c r="BX360" i="1"/>
  <c r="BW360" i="1"/>
  <c r="BT360" i="1"/>
  <c r="BR360" i="1"/>
  <c r="BP360" i="1"/>
  <c r="BO360" i="1"/>
  <c r="BD360" i="1"/>
  <c r="BB360" i="1"/>
  <c r="AY360" i="1"/>
  <c r="AX360" i="1"/>
  <c r="AW360" i="1"/>
  <c r="AV360" i="1"/>
  <c r="AU360" i="1"/>
  <c r="AR360" i="1"/>
  <c r="AP360" i="1"/>
  <c r="AG360" i="1"/>
  <c r="AE360" i="1"/>
  <c r="Y360" i="1"/>
  <c r="X360" i="1"/>
  <c r="W360" i="1"/>
  <c r="V360" i="1"/>
  <c r="Q360" i="1"/>
  <c r="N360" i="1"/>
  <c r="I360" i="1"/>
  <c r="FY359" i="1"/>
  <c r="FX359" i="1"/>
  <c r="FV359" i="1"/>
  <c r="FS359" i="1"/>
  <c r="FP359" i="1"/>
  <c r="FO359" i="1"/>
  <c r="FN359" i="1"/>
  <c r="FM359" i="1"/>
  <c r="FJ359" i="1"/>
  <c r="FG359" i="1"/>
  <c r="CS359" i="1"/>
  <c r="CR359" i="1"/>
  <c r="CQ359" i="1"/>
  <c r="CP359" i="1"/>
  <c r="CN359" i="1"/>
  <c r="CL359" i="1"/>
  <c r="CJ359" i="1"/>
  <c r="CI359" i="1"/>
  <c r="CH359" i="1"/>
  <c r="CG359" i="1"/>
  <c r="BW359" i="1"/>
  <c r="K359" i="1"/>
  <c r="J359" i="1"/>
  <c r="I359" i="1"/>
  <c r="H359" i="1"/>
  <c r="FY358" i="1"/>
  <c r="FX358" i="1"/>
  <c r="FT358" i="1"/>
  <c r="FJ358" i="1"/>
  <c r="EV358" i="1"/>
  <c r="EP358" i="1"/>
  <c r="EN358" i="1"/>
  <c r="EH358" i="1"/>
  <c r="EG358" i="1"/>
  <c r="EF358" i="1"/>
  <c r="ED358" i="1"/>
  <c r="EA358" i="1"/>
  <c r="DP358" i="1"/>
  <c r="DN358" i="1"/>
  <c r="DF358" i="1"/>
  <c r="DE358" i="1"/>
  <c r="DD358" i="1"/>
  <c r="CY358" i="1"/>
  <c r="CV358" i="1"/>
  <c r="CQ358" i="1"/>
  <c r="CP358" i="1"/>
  <c r="BT358" i="1"/>
  <c r="BF358" i="1"/>
  <c r="BD358" i="1"/>
  <c r="AY358" i="1"/>
  <c r="AX358" i="1"/>
  <c r="AW358" i="1"/>
  <c r="AU358" i="1"/>
  <c r="AR358" i="1"/>
  <c r="AG358" i="1"/>
  <c r="AE358" i="1"/>
  <c r="X358" i="1"/>
  <c r="W358" i="1"/>
  <c r="V358" i="1"/>
  <c r="Q358" i="1"/>
  <c r="N358" i="1"/>
  <c r="I358" i="1"/>
  <c r="FY357" i="1"/>
  <c r="FX357" i="1"/>
  <c r="FT357" i="1"/>
  <c r="FJ357" i="1"/>
  <c r="FD357" i="1"/>
  <c r="FB357" i="1"/>
  <c r="EQ357" i="1"/>
  <c r="EO357" i="1"/>
  <c r="EN357" i="1"/>
  <c r="EH357" i="1"/>
  <c r="EG357" i="1"/>
  <c r="EF357" i="1"/>
  <c r="ED357" i="1"/>
  <c r="EA357" i="1"/>
  <c r="DY357" i="1"/>
  <c r="DP357" i="1"/>
  <c r="DN357" i="1"/>
  <c r="DF357" i="1"/>
  <c r="DE357" i="1"/>
  <c r="DD357" i="1"/>
  <c r="CY357" i="1"/>
  <c r="CV357" i="1"/>
  <c r="CQ357" i="1"/>
  <c r="CP357" i="1"/>
  <c r="BQ357" i="1"/>
  <c r="BO357" i="1"/>
  <c r="BG357" i="1"/>
  <c r="BE357" i="1"/>
  <c r="BD357" i="1"/>
  <c r="AY357" i="1"/>
  <c r="AX357" i="1"/>
  <c r="AW357" i="1"/>
  <c r="AU357" i="1"/>
  <c r="AR357" i="1"/>
  <c r="AP357" i="1"/>
  <c r="AG357" i="1"/>
  <c r="AE357" i="1"/>
  <c r="X357" i="1"/>
  <c r="W357" i="1"/>
  <c r="V357" i="1"/>
  <c r="Q357" i="1"/>
  <c r="N357" i="1"/>
  <c r="I357" i="1"/>
  <c r="FY356" i="1"/>
  <c r="FT356" i="1"/>
  <c r="FJ356" i="1"/>
  <c r="FD356" i="1"/>
  <c r="FB356" i="1"/>
  <c r="EN356" i="1"/>
  <c r="EI356" i="1"/>
  <c r="EH356" i="1"/>
  <c r="EG356" i="1"/>
  <c r="EF356" i="1"/>
  <c r="ED356" i="1"/>
  <c r="EA356" i="1"/>
  <c r="DY356" i="1"/>
  <c r="DP356" i="1"/>
  <c r="DN356" i="1"/>
  <c r="DF356" i="1"/>
  <c r="DD356" i="1"/>
  <c r="CY356" i="1"/>
  <c r="CV356" i="1"/>
  <c r="CQ356" i="1"/>
  <c r="BY356" i="1"/>
  <c r="BW356" i="1"/>
  <c r="BS356" i="1"/>
  <c r="BQ356" i="1"/>
  <c r="BO356" i="1"/>
  <c r="BD356" i="1"/>
  <c r="AZ356" i="1"/>
  <c r="AY356" i="1"/>
  <c r="AX356" i="1"/>
  <c r="AW356" i="1"/>
  <c r="AU356" i="1"/>
  <c r="AR356" i="1"/>
  <c r="AP356" i="1"/>
  <c r="AG356" i="1"/>
  <c r="AE356" i="1"/>
  <c r="X356" i="1"/>
  <c r="V356" i="1"/>
  <c r="Q356" i="1"/>
  <c r="N356" i="1"/>
  <c r="I356" i="1"/>
  <c r="FY355" i="1"/>
  <c r="FX355" i="1"/>
  <c r="FT355" i="1"/>
  <c r="FJ355" i="1"/>
  <c r="FE355" i="1"/>
  <c r="FD355" i="1"/>
  <c r="ER355" i="1"/>
  <c r="EN355" i="1"/>
  <c r="EH355" i="1"/>
  <c r="EF355" i="1"/>
  <c r="ED355" i="1"/>
  <c r="DY355" i="1"/>
  <c r="DP355" i="1"/>
  <c r="DN355" i="1"/>
  <c r="CY355" i="1"/>
  <c r="CV355" i="1"/>
  <c r="CQ355" i="1"/>
  <c r="CP355" i="1"/>
  <c r="BR355" i="1"/>
  <c r="BQ355" i="1"/>
  <c r="BD355" i="1"/>
  <c r="AY355" i="1"/>
  <c r="AW355" i="1"/>
  <c r="AU355" i="1"/>
  <c r="AP355" i="1"/>
  <c r="AG355" i="1"/>
  <c r="AE355" i="1"/>
  <c r="Q355" i="1"/>
  <c r="N355" i="1"/>
  <c r="I355" i="1"/>
  <c r="FY354" i="1"/>
  <c r="FX354" i="1"/>
  <c r="FT354" i="1"/>
  <c r="FJ354" i="1"/>
  <c r="FE354" i="1"/>
  <c r="FD354" i="1"/>
  <c r="FB354" i="1"/>
  <c r="ES354" i="1"/>
  <c r="ER354" i="1"/>
  <c r="EN354" i="1"/>
  <c r="EI354" i="1"/>
  <c r="EH354" i="1"/>
  <c r="EG354" i="1"/>
  <c r="EF354" i="1"/>
  <c r="EE354" i="1"/>
  <c r="ED354" i="1"/>
  <c r="EA354" i="1"/>
  <c r="DY354" i="1"/>
  <c r="DP354" i="1"/>
  <c r="DN354" i="1"/>
  <c r="DG354" i="1"/>
  <c r="DF354" i="1"/>
  <c r="DE354" i="1"/>
  <c r="DD354" i="1"/>
  <c r="CY354" i="1"/>
  <c r="CV354" i="1"/>
  <c r="CQ354" i="1"/>
  <c r="CP354" i="1"/>
  <c r="BR354" i="1"/>
  <c r="BQ354" i="1"/>
  <c r="BO354" i="1"/>
  <c r="BH354" i="1"/>
  <c r="BD354" i="1"/>
  <c r="AZ354" i="1"/>
  <c r="AY354" i="1"/>
  <c r="AX354" i="1"/>
  <c r="AW354" i="1"/>
  <c r="AV354" i="1"/>
  <c r="AU354" i="1"/>
  <c r="AR354" i="1"/>
  <c r="AP354" i="1"/>
  <c r="AG354" i="1"/>
  <c r="AE354" i="1"/>
  <c r="Y354" i="1"/>
  <c r="X354" i="1"/>
  <c r="W354" i="1"/>
  <c r="V354" i="1"/>
  <c r="Q354" i="1"/>
  <c r="N354" i="1"/>
  <c r="I354" i="1"/>
  <c r="FY353" i="1"/>
  <c r="FX353" i="1"/>
  <c r="FT353" i="1"/>
  <c r="FJ353" i="1"/>
  <c r="EO353" i="1"/>
  <c r="EN353" i="1"/>
  <c r="EI353" i="1"/>
  <c r="EH353" i="1"/>
  <c r="EF353" i="1"/>
  <c r="EE353" i="1"/>
  <c r="ED353" i="1"/>
  <c r="EA353" i="1"/>
  <c r="DP353" i="1"/>
  <c r="DN353" i="1"/>
  <c r="DE353" i="1"/>
  <c r="CY353" i="1"/>
  <c r="CV353" i="1"/>
  <c r="CQ353" i="1"/>
  <c r="CP353" i="1"/>
  <c r="BE353" i="1"/>
  <c r="BD353" i="1"/>
  <c r="AZ353" i="1"/>
  <c r="AY353" i="1"/>
  <c r="AW353" i="1"/>
  <c r="AV353" i="1"/>
  <c r="AU353" i="1"/>
  <c r="AR353" i="1"/>
  <c r="AG353" i="1"/>
  <c r="AE353" i="1"/>
  <c r="W353" i="1"/>
  <c r="Q353" i="1"/>
  <c r="N353" i="1"/>
  <c r="I353" i="1"/>
  <c r="FY352" i="1"/>
  <c r="FX352" i="1"/>
  <c r="FT352" i="1"/>
  <c r="FJ352" i="1"/>
  <c r="EV352" i="1"/>
  <c r="EN352" i="1"/>
  <c r="EK352" i="1"/>
  <c r="EI352" i="1"/>
  <c r="EH352" i="1"/>
  <c r="EG352" i="1"/>
  <c r="EF352" i="1"/>
  <c r="ED352" i="1"/>
  <c r="EA352" i="1"/>
  <c r="CY352" i="1"/>
  <c r="CV352" i="1"/>
  <c r="CQ352" i="1"/>
  <c r="CP352" i="1"/>
  <c r="BY352" i="1"/>
  <c r="BW352" i="1"/>
  <c r="BT352" i="1"/>
  <c r="BD352" i="1"/>
  <c r="BB352" i="1"/>
  <c r="AZ352" i="1"/>
  <c r="AY352" i="1"/>
  <c r="AX352" i="1"/>
  <c r="AW352" i="1"/>
  <c r="AU352" i="1"/>
  <c r="AR352" i="1"/>
  <c r="Q352" i="1"/>
  <c r="N352" i="1"/>
  <c r="I352" i="1"/>
  <c r="FY351" i="1"/>
  <c r="FT351" i="1"/>
  <c r="FJ351" i="1"/>
  <c r="EV351" i="1"/>
  <c r="EN351" i="1"/>
  <c r="EK351" i="1"/>
  <c r="EI351" i="1"/>
  <c r="EH351" i="1"/>
  <c r="EF351" i="1"/>
  <c r="ED351" i="1"/>
  <c r="DP351" i="1"/>
  <c r="DN351" i="1"/>
  <c r="CY351" i="1"/>
  <c r="CV351" i="1"/>
  <c r="CQ351" i="1"/>
  <c r="CA351" i="1"/>
  <c r="BY351" i="1"/>
  <c r="BS351" i="1"/>
  <c r="BD351" i="1"/>
  <c r="BB351" i="1"/>
  <c r="AZ351" i="1"/>
  <c r="AY351" i="1"/>
  <c r="AW351" i="1"/>
  <c r="AU351" i="1"/>
  <c r="AG351" i="1"/>
  <c r="AE351" i="1"/>
  <c r="Q351" i="1"/>
  <c r="N351" i="1"/>
  <c r="I351" i="1"/>
  <c r="FY350" i="1"/>
  <c r="FT350" i="1"/>
  <c r="FJ350" i="1"/>
  <c r="EV350" i="1"/>
  <c r="EQ350" i="1"/>
  <c r="EN350" i="1"/>
  <c r="EK350" i="1"/>
  <c r="EI350" i="1"/>
  <c r="EH350" i="1"/>
  <c r="EG350" i="1"/>
  <c r="EF350" i="1"/>
  <c r="ED350" i="1"/>
  <c r="DP350" i="1"/>
  <c r="DN350" i="1"/>
  <c r="CY350" i="1"/>
  <c r="CV350" i="1"/>
  <c r="CQ350" i="1"/>
  <c r="CA350" i="1"/>
  <c r="BT350" i="1"/>
  <c r="BG350" i="1"/>
  <c r="BD350" i="1"/>
  <c r="BB350" i="1"/>
  <c r="AZ350" i="1"/>
  <c r="AY350" i="1"/>
  <c r="AX350" i="1"/>
  <c r="AW350" i="1"/>
  <c r="AU350" i="1"/>
  <c r="AG350" i="1"/>
  <c r="AE350" i="1"/>
  <c r="Q350" i="1"/>
  <c r="N350" i="1"/>
  <c r="I350" i="1"/>
  <c r="FY349" i="1"/>
  <c r="FT349" i="1"/>
  <c r="FJ349" i="1"/>
  <c r="FD349" i="1"/>
  <c r="FB349" i="1"/>
  <c r="EV349" i="1"/>
  <c r="EN349" i="1"/>
  <c r="EK349" i="1"/>
  <c r="EH349" i="1"/>
  <c r="EF349" i="1"/>
  <c r="ED349" i="1"/>
  <c r="EA349" i="1"/>
  <c r="DY349" i="1"/>
  <c r="DP349" i="1"/>
  <c r="DN349" i="1"/>
  <c r="DG349" i="1"/>
  <c r="DF349" i="1"/>
  <c r="DE349" i="1"/>
  <c r="DD349" i="1"/>
  <c r="CY349" i="1"/>
  <c r="CV349" i="1"/>
  <c r="CQ349" i="1"/>
  <c r="CA349" i="1"/>
  <c r="BS349" i="1"/>
  <c r="BQ349" i="1"/>
  <c r="BO349" i="1"/>
  <c r="BD349" i="1"/>
  <c r="BB349" i="1"/>
  <c r="AY349" i="1"/>
  <c r="AW349" i="1"/>
  <c r="AU349" i="1"/>
  <c r="AR349" i="1"/>
  <c r="AP349" i="1"/>
  <c r="AG349" i="1"/>
  <c r="AE349" i="1"/>
  <c r="Y349" i="1"/>
  <c r="X349" i="1"/>
  <c r="W349" i="1"/>
  <c r="V349" i="1"/>
  <c r="Q349" i="1"/>
  <c r="N349" i="1"/>
  <c r="I349" i="1"/>
  <c r="FY348" i="1"/>
  <c r="FT348" i="1"/>
  <c r="FJ348" i="1"/>
  <c r="EI348" i="1"/>
  <c r="EH348" i="1"/>
  <c r="EG348" i="1"/>
  <c r="EF348" i="1"/>
  <c r="ED348" i="1"/>
  <c r="CU348" i="1"/>
  <c r="CT348" i="1"/>
  <c r="CQ348" i="1"/>
  <c r="AZ348" i="1"/>
  <c r="AY348" i="1"/>
  <c r="AX348" i="1"/>
  <c r="AW348" i="1"/>
  <c r="AU348" i="1"/>
  <c r="M348" i="1"/>
  <c r="L348" i="1"/>
  <c r="I348" i="1"/>
  <c r="FY347" i="1"/>
  <c r="FX347" i="1"/>
  <c r="FT347" i="1"/>
  <c r="FJ347" i="1"/>
  <c r="EO347" i="1"/>
  <c r="EN347" i="1"/>
  <c r="EK347" i="1"/>
  <c r="EI347" i="1"/>
  <c r="EH347" i="1"/>
  <c r="EG347" i="1"/>
  <c r="EF347" i="1"/>
  <c r="EE347" i="1"/>
  <c r="ED347" i="1"/>
  <c r="DH347" i="1"/>
  <c r="CY347" i="1"/>
  <c r="CV347" i="1"/>
  <c r="CQ347" i="1"/>
  <c r="CP347" i="1"/>
  <c r="BE347" i="1"/>
  <c r="BD347" i="1"/>
  <c r="BB347" i="1"/>
  <c r="AZ347" i="1"/>
  <c r="AY347" i="1"/>
  <c r="AX347" i="1"/>
  <c r="AW347" i="1"/>
  <c r="AV347" i="1"/>
  <c r="AU347" i="1"/>
  <c r="Z347" i="1"/>
  <c r="Q347" i="1"/>
  <c r="N347" i="1"/>
  <c r="I347" i="1"/>
  <c r="FY346" i="1"/>
  <c r="FX346" i="1"/>
  <c r="FT346" i="1"/>
  <c r="FJ346" i="1"/>
  <c r="FE346" i="1"/>
  <c r="FD346" i="1"/>
  <c r="FB346" i="1"/>
  <c r="EQ346" i="1"/>
  <c r="EN346" i="1"/>
  <c r="EK346" i="1"/>
  <c r="EH346" i="1"/>
  <c r="EF346" i="1"/>
  <c r="ED346" i="1"/>
  <c r="EA346" i="1"/>
  <c r="DY346" i="1"/>
  <c r="DP346" i="1"/>
  <c r="DN346" i="1"/>
  <c r="DG346" i="1"/>
  <c r="DF346" i="1"/>
  <c r="DE346" i="1"/>
  <c r="DD346" i="1"/>
  <c r="CY346" i="1"/>
  <c r="CV346" i="1"/>
  <c r="CQ346" i="1"/>
  <c r="CP346" i="1"/>
  <c r="BR346" i="1"/>
  <c r="BQ346" i="1"/>
  <c r="BO346" i="1"/>
  <c r="BG346" i="1"/>
  <c r="BD346" i="1"/>
  <c r="BB346" i="1"/>
  <c r="AY346" i="1"/>
  <c r="AW346" i="1"/>
  <c r="AU346" i="1"/>
  <c r="AR346" i="1"/>
  <c r="AP346" i="1"/>
  <c r="AG346" i="1"/>
  <c r="AE346" i="1"/>
  <c r="Y346" i="1"/>
  <c r="X346" i="1"/>
  <c r="W346" i="1"/>
  <c r="V346" i="1"/>
  <c r="Q346" i="1"/>
  <c r="N346" i="1"/>
  <c r="I346" i="1"/>
  <c r="FY345" i="1"/>
  <c r="FX345" i="1"/>
  <c r="FT345" i="1"/>
  <c r="FJ345" i="1"/>
  <c r="EN345" i="1"/>
  <c r="EK345" i="1"/>
  <c r="EH345" i="1"/>
  <c r="EF345" i="1"/>
  <c r="ED345" i="1"/>
  <c r="CV345" i="1"/>
  <c r="CQ345" i="1"/>
  <c r="CP345" i="1"/>
  <c r="BY345" i="1"/>
  <c r="BS345" i="1"/>
  <c r="BD345" i="1"/>
  <c r="BB345" i="1"/>
  <c r="AY345" i="1"/>
  <c r="AW345" i="1"/>
  <c r="AU345" i="1"/>
  <c r="N345" i="1"/>
  <c r="I345" i="1"/>
  <c r="FY344" i="1"/>
  <c r="FT344" i="1"/>
  <c r="FJ344" i="1"/>
  <c r="EH344" i="1"/>
  <c r="EF344" i="1"/>
  <c r="ED344" i="1"/>
  <c r="DB344" i="1"/>
  <c r="DA344" i="1"/>
  <c r="CZ344" i="1"/>
  <c r="CQ344" i="1"/>
  <c r="AY344" i="1"/>
  <c r="AW344" i="1"/>
  <c r="AU344" i="1"/>
  <c r="T344" i="1"/>
  <c r="S344" i="1"/>
  <c r="R344" i="1"/>
  <c r="I344" i="1"/>
  <c r="FY343" i="1"/>
  <c r="FT343" i="1"/>
  <c r="FJ343" i="1"/>
  <c r="FD343" i="1"/>
  <c r="FC343" i="1"/>
  <c r="FB343" i="1"/>
  <c r="EQ343" i="1"/>
  <c r="EN343" i="1"/>
  <c r="EK343" i="1"/>
  <c r="EH343" i="1"/>
  <c r="EF343" i="1"/>
  <c r="ED343" i="1"/>
  <c r="EA343" i="1"/>
  <c r="DY343" i="1"/>
  <c r="DP343" i="1"/>
  <c r="DN343" i="1"/>
  <c r="DG343" i="1"/>
  <c r="DF343" i="1"/>
  <c r="DE343" i="1"/>
  <c r="DD343" i="1"/>
  <c r="CY343" i="1"/>
  <c r="CV343" i="1"/>
  <c r="CQ343" i="1"/>
  <c r="CA343" i="1"/>
  <c r="BX343" i="1"/>
  <c r="BW343" i="1"/>
  <c r="BU343" i="1"/>
  <c r="BT343" i="1"/>
  <c r="BS343" i="1"/>
  <c r="BQ343" i="1"/>
  <c r="BP343" i="1"/>
  <c r="BO343" i="1"/>
  <c r="BG343" i="1"/>
  <c r="BD343" i="1"/>
  <c r="BB343" i="1"/>
  <c r="AY343" i="1"/>
  <c r="AW343" i="1"/>
  <c r="AU343" i="1"/>
  <c r="AR343" i="1"/>
  <c r="AP343" i="1"/>
  <c r="AG343" i="1"/>
  <c r="AE343" i="1"/>
  <c r="Y343" i="1"/>
  <c r="X343" i="1"/>
  <c r="W343" i="1"/>
  <c r="V343" i="1"/>
  <c r="Q343" i="1"/>
  <c r="N343" i="1"/>
  <c r="I343" i="1"/>
  <c r="FY342" i="1"/>
  <c r="FJ342" i="1"/>
  <c r="FD342" i="1"/>
  <c r="FC342" i="1"/>
  <c r="FB342" i="1"/>
  <c r="EO342" i="1"/>
  <c r="EN342" i="1"/>
  <c r="EK342" i="1"/>
  <c r="EH342" i="1"/>
  <c r="EE342" i="1"/>
  <c r="ED342" i="1"/>
  <c r="EA342" i="1"/>
  <c r="DY342" i="1"/>
  <c r="DN342" i="1"/>
  <c r="DF342" i="1"/>
  <c r="DD342" i="1"/>
  <c r="CY342" i="1"/>
  <c r="CV342" i="1"/>
  <c r="CQ342" i="1"/>
  <c r="CA342" i="1"/>
  <c r="BZ342" i="1"/>
  <c r="BT342" i="1"/>
  <c r="BS342" i="1"/>
  <c r="BQ342" i="1"/>
  <c r="BP342" i="1"/>
  <c r="BO342" i="1"/>
  <c r="BE342" i="1"/>
  <c r="BD342" i="1"/>
  <c r="BB342" i="1"/>
  <c r="AY342" i="1"/>
  <c r="AV342" i="1"/>
  <c r="AU342" i="1"/>
  <c r="AR342" i="1"/>
  <c r="AP342" i="1"/>
  <c r="AE342" i="1"/>
  <c r="X342" i="1"/>
  <c r="V342" i="1"/>
  <c r="Q342" i="1"/>
  <c r="N342" i="1"/>
  <c r="I342" i="1"/>
  <c r="FY341" i="1"/>
  <c r="FX341" i="1"/>
  <c r="FT341" i="1"/>
  <c r="FJ341" i="1"/>
  <c r="FF341" i="1"/>
  <c r="EO341" i="1"/>
  <c r="EN341" i="1"/>
  <c r="EK341" i="1"/>
  <c r="EI341" i="1"/>
  <c r="EH341" i="1"/>
  <c r="EG341" i="1"/>
  <c r="EF341" i="1"/>
  <c r="ED341" i="1"/>
  <c r="DP341" i="1"/>
  <c r="DN341" i="1"/>
  <c r="DE341" i="1"/>
  <c r="CY341" i="1"/>
  <c r="CV341" i="1"/>
  <c r="CQ341" i="1"/>
  <c r="CP341" i="1"/>
  <c r="CA341" i="1"/>
  <c r="BW341" i="1"/>
  <c r="BU341" i="1"/>
  <c r="BT341" i="1"/>
  <c r="BS341" i="1"/>
  <c r="BE341" i="1"/>
  <c r="BD341" i="1"/>
  <c r="BB341" i="1"/>
  <c r="AZ341" i="1"/>
  <c r="AY341" i="1"/>
  <c r="AX341" i="1"/>
  <c r="AW341" i="1"/>
  <c r="AU341" i="1"/>
  <c r="AG341" i="1"/>
  <c r="AE341" i="1"/>
  <c r="W341" i="1"/>
  <c r="Q341" i="1"/>
  <c r="N341" i="1"/>
  <c r="I341" i="1"/>
  <c r="FY340" i="1"/>
  <c r="FX340" i="1"/>
  <c r="FT340" i="1"/>
  <c r="FJ340" i="1"/>
  <c r="EQ340" i="1"/>
  <c r="EN340" i="1"/>
  <c r="EK340" i="1"/>
  <c r="EI340" i="1"/>
  <c r="EH340" i="1"/>
  <c r="EG340" i="1"/>
  <c r="EF340" i="1"/>
  <c r="EE340" i="1"/>
  <c r="ED340" i="1"/>
  <c r="DH340" i="1"/>
  <c r="CY340" i="1"/>
  <c r="CV340" i="1"/>
  <c r="CQ340" i="1"/>
  <c r="CP340" i="1"/>
  <c r="BG340" i="1"/>
  <c r="BD340" i="1"/>
  <c r="BB340" i="1"/>
  <c r="AZ340" i="1"/>
  <c r="AY340" i="1"/>
  <c r="AX340" i="1"/>
  <c r="AW340" i="1"/>
  <c r="AV340" i="1"/>
  <c r="AU340" i="1"/>
  <c r="Z340" i="1"/>
  <c r="Q340" i="1"/>
  <c r="N340" i="1"/>
  <c r="I340" i="1"/>
  <c r="FY339" i="1"/>
  <c r="CR339" i="1"/>
  <c r="CQ339" i="1"/>
  <c r="J339" i="1"/>
  <c r="I339" i="1"/>
  <c r="H339" i="1"/>
  <c r="FY338" i="1"/>
  <c r="FV338" i="1"/>
  <c r="FN338" i="1"/>
  <c r="FM338" i="1"/>
  <c r="FJ338" i="1"/>
  <c r="DT338" i="1"/>
  <c r="CR338" i="1"/>
  <c r="CQ338" i="1"/>
  <c r="CN338" i="1"/>
  <c r="CI338" i="1"/>
  <c r="CH338" i="1"/>
  <c r="CG338" i="1"/>
  <c r="BW338" i="1"/>
  <c r="AK338" i="1"/>
  <c r="J338" i="1"/>
  <c r="I338" i="1"/>
  <c r="H338" i="1"/>
  <c r="FY337" i="1"/>
  <c r="FT337" i="1"/>
  <c r="FJ337" i="1"/>
  <c r="EI337" i="1"/>
  <c r="EH337" i="1"/>
  <c r="EG337" i="1"/>
  <c r="EF337" i="1"/>
  <c r="ED337" i="1"/>
  <c r="CU337" i="1"/>
  <c r="CT337" i="1"/>
  <c r="CQ337" i="1"/>
  <c r="AZ337" i="1"/>
  <c r="AY337" i="1"/>
  <c r="AX337" i="1"/>
  <c r="AW337" i="1"/>
  <c r="AU337" i="1"/>
  <c r="M337" i="1"/>
  <c r="L337" i="1"/>
  <c r="I337" i="1"/>
  <c r="FY336" i="1"/>
  <c r="FT336" i="1"/>
  <c r="FJ336" i="1"/>
  <c r="FD336" i="1"/>
  <c r="FB336" i="1"/>
  <c r="EQ336" i="1"/>
  <c r="EN336" i="1"/>
  <c r="EH336" i="1"/>
  <c r="ED336" i="1"/>
  <c r="CQ336" i="1"/>
  <c r="BT336" i="1"/>
  <c r="BS336" i="1"/>
  <c r="BQ336" i="1"/>
  <c r="BO336" i="1"/>
  <c r="BG336" i="1"/>
  <c r="BD336" i="1"/>
  <c r="AY336" i="1"/>
  <c r="AU336" i="1"/>
  <c r="I336" i="1"/>
  <c r="FY335" i="1"/>
  <c r="FX335" i="1"/>
  <c r="FJ335" i="1"/>
  <c r="ER335" i="1"/>
  <c r="CR335" i="1"/>
  <c r="CQ335" i="1"/>
  <c r="CP335" i="1"/>
  <c r="CN335" i="1"/>
  <c r="CH335" i="1"/>
  <c r="J335" i="1"/>
  <c r="I335" i="1"/>
  <c r="H335" i="1"/>
  <c r="FY334" i="1"/>
  <c r="FT334" i="1"/>
  <c r="FJ334" i="1"/>
  <c r="EI334" i="1"/>
  <c r="EH334" i="1"/>
  <c r="EG334" i="1"/>
  <c r="EF334" i="1"/>
  <c r="ED334" i="1"/>
  <c r="DA334" i="1"/>
  <c r="CZ334" i="1"/>
  <c r="CQ334" i="1"/>
  <c r="BS334" i="1"/>
  <c r="AZ334" i="1"/>
  <c r="AY334" i="1"/>
  <c r="AX334" i="1"/>
  <c r="AW334" i="1"/>
  <c r="AU334" i="1"/>
  <c r="S334" i="1"/>
  <c r="R334" i="1"/>
  <c r="I334" i="1"/>
  <c r="FY333" i="1"/>
  <c r="FT333" i="1"/>
  <c r="FJ333" i="1"/>
  <c r="FD333" i="1"/>
  <c r="FB333" i="1"/>
  <c r="EV333" i="1"/>
  <c r="EN333" i="1"/>
  <c r="EI333" i="1"/>
  <c r="EH333" i="1"/>
  <c r="EF333" i="1"/>
  <c r="ED333" i="1"/>
  <c r="EA333" i="1"/>
  <c r="DY333" i="1"/>
  <c r="DP333" i="1"/>
  <c r="DN333" i="1"/>
  <c r="DG333" i="1"/>
  <c r="DF333" i="1"/>
  <c r="DE333" i="1"/>
  <c r="DD333" i="1"/>
  <c r="CY333" i="1"/>
  <c r="CV333" i="1"/>
  <c r="CQ333" i="1"/>
  <c r="CA333" i="1"/>
  <c r="BY333" i="1"/>
  <c r="BX333" i="1"/>
  <c r="BW333" i="1"/>
  <c r="BQ333" i="1"/>
  <c r="BO333" i="1"/>
  <c r="BD333" i="1"/>
  <c r="AZ333" i="1"/>
  <c r="AY333" i="1"/>
  <c r="AW333" i="1"/>
  <c r="AU333" i="1"/>
  <c r="AR333" i="1"/>
  <c r="AP333" i="1"/>
  <c r="AG333" i="1"/>
  <c r="AE333" i="1"/>
  <c r="Y333" i="1"/>
  <c r="X333" i="1"/>
  <c r="W333" i="1"/>
  <c r="V333" i="1"/>
  <c r="Q333" i="1"/>
  <c r="N333" i="1"/>
  <c r="I333" i="1"/>
  <c r="FY332" i="1"/>
  <c r="FT332" i="1"/>
  <c r="FJ332" i="1"/>
  <c r="EV332" i="1"/>
  <c r="EN332" i="1"/>
  <c r="EK332" i="1"/>
  <c r="EH332" i="1"/>
  <c r="EF332" i="1"/>
  <c r="ED332" i="1"/>
  <c r="EA332" i="1"/>
  <c r="DY332" i="1"/>
  <c r="DE332" i="1"/>
  <c r="DD332" i="1"/>
  <c r="CY332" i="1"/>
  <c r="CV332" i="1"/>
  <c r="CQ332" i="1"/>
  <c r="CA332" i="1"/>
  <c r="BY332" i="1"/>
  <c r="BW332" i="1"/>
  <c r="BT332" i="1"/>
  <c r="BS332" i="1"/>
  <c r="BD332" i="1"/>
  <c r="BB332" i="1"/>
  <c r="AY332" i="1"/>
  <c r="AW332" i="1"/>
  <c r="AU332" i="1"/>
  <c r="AR332" i="1"/>
  <c r="AP332" i="1"/>
  <c r="W332" i="1"/>
  <c r="V332" i="1"/>
  <c r="Q332" i="1"/>
  <c r="N332" i="1"/>
  <c r="I332" i="1"/>
  <c r="FY331" i="1"/>
  <c r="FX331" i="1"/>
  <c r="FT331" i="1"/>
  <c r="FJ331" i="1"/>
  <c r="EN331" i="1"/>
  <c r="EK331" i="1"/>
  <c r="EH331" i="1"/>
  <c r="EG331" i="1"/>
  <c r="EF331" i="1"/>
  <c r="EE331" i="1"/>
  <c r="ED331" i="1"/>
  <c r="EA331" i="1"/>
  <c r="DG331" i="1"/>
  <c r="DF331" i="1"/>
  <c r="DE331" i="1"/>
  <c r="DD331" i="1"/>
  <c r="CY331" i="1"/>
  <c r="CV331" i="1"/>
  <c r="CQ331" i="1"/>
  <c r="CP331" i="1"/>
  <c r="BD331" i="1"/>
  <c r="BB331" i="1"/>
  <c r="AY331" i="1"/>
  <c r="AX331" i="1"/>
  <c r="AW331" i="1"/>
  <c r="AV331" i="1"/>
  <c r="AU331" i="1"/>
  <c r="AR331" i="1"/>
  <c r="Y331" i="1"/>
  <c r="X331" i="1"/>
  <c r="W331" i="1"/>
  <c r="V331" i="1"/>
  <c r="Q331" i="1"/>
  <c r="N331" i="1"/>
  <c r="I331" i="1"/>
  <c r="FY330" i="1"/>
  <c r="FX330" i="1"/>
  <c r="FT330" i="1"/>
  <c r="FJ330" i="1"/>
  <c r="FD330" i="1"/>
  <c r="EO330" i="1"/>
  <c r="EN330" i="1"/>
  <c r="EK330" i="1"/>
  <c r="EI330" i="1"/>
  <c r="EH330" i="1"/>
  <c r="EG330" i="1"/>
  <c r="EF330" i="1"/>
  <c r="EE330" i="1"/>
  <c r="ED330" i="1"/>
  <c r="EA330" i="1"/>
  <c r="DY330" i="1"/>
  <c r="DP330" i="1"/>
  <c r="DN330" i="1"/>
  <c r="DD330" i="1"/>
  <c r="CY330" i="1"/>
  <c r="CV330" i="1"/>
  <c r="CQ330" i="1"/>
  <c r="CP330" i="1"/>
  <c r="BQ330" i="1"/>
  <c r="BE330" i="1"/>
  <c r="BD330" i="1"/>
  <c r="BB330" i="1"/>
  <c r="AZ330" i="1"/>
  <c r="AY330" i="1"/>
  <c r="AX330" i="1"/>
  <c r="AW330" i="1"/>
  <c r="AV330" i="1"/>
  <c r="AU330" i="1"/>
  <c r="AR330" i="1"/>
  <c r="AP330" i="1"/>
  <c r="AG330" i="1"/>
  <c r="AE330" i="1"/>
  <c r="V330" i="1"/>
  <c r="Q330" i="1"/>
  <c r="N330" i="1"/>
  <c r="I330" i="1"/>
  <c r="FY329" i="1"/>
  <c r="FV329" i="1"/>
  <c r="FS329" i="1"/>
  <c r="FO329" i="1"/>
  <c r="FN329" i="1"/>
  <c r="FM329" i="1"/>
  <c r="FL329" i="1"/>
  <c r="FG329" i="1"/>
  <c r="DT329" i="1"/>
  <c r="CS329" i="1"/>
  <c r="CR329" i="1"/>
  <c r="CQ329" i="1"/>
  <c r="CN329" i="1"/>
  <c r="CL329" i="1"/>
  <c r="CI329" i="1"/>
  <c r="CH329" i="1"/>
  <c r="CG329" i="1"/>
  <c r="CF329" i="1"/>
  <c r="BW329" i="1"/>
  <c r="AK329" i="1"/>
  <c r="K329" i="1"/>
  <c r="J329" i="1"/>
  <c r="I329" i="1"/>
  <c r="H329" i="1"/>
  <c r="FY328" i="1"/>
  <c r="FX328" i="1"/>
  <c r="FT328" i="1"/>
  <c r="FJ328" i="1"/>
  <c r="EP328" i="1"/>
  <c r="EH328" i="1"/>
  <c r="EF328" i="1"/>
  <c r="EE328" i="1"/>
  <c r="ED328" i="1"/>
  <c r="DP328" i="1"/>
  <c r="DN328" i="1"/>
  <c r="CY328" i="1"/>
  <c r="CV328" i="1"/>
  <c r="CQ328" i="1"/>
  <c r="CP328" i="1"/>
  <c r="BF328" i="1"/>
  <c r="AY328" i="1"/>
  <c r="AW328" i="1"/>
  <c r="AV328" i="1"/>
  <c r="AU328" i="1"/>
  <c r="AG328" i="1"/>
  <c r="AE328" i="1"/>
  <c r="Q328" i="1"/>
  <c r="N328" i="1"/>
  <c r="I328" i="1"/>
  <c r="FY327" i="1"/>
  <c r="FX327" i="1"/>
  <c r="FT327" i="1"/>
  <c r="FJ327" i="1"/>
  <c r="EU327" i="1"/>
  <c r="ET327" i="1"/>
  <c r="EP327" i="1"/>
  <c r="EO327" i="1"/>
  <c r="EN327" i="1"/>
  <c r="ED327" i="1"/>
  <c r="DN327" i="1"/>
  <c r="CV327" i="1"/>
  <c r="CQ327" i="1"/>
  <c r="CP327" i="1"/>
  <c r="BY327" i="1"/>
  <c r="BW327" i="1"/>
  <c r="BJ327" i="1"/>
  <c r="BI327" i="1"/>
  <c r="BF327" i="1"/>
  <c r="BE327" i="1"/>
  <c r="BD327" i="1"/>
  <c r="AU327" i="1"/>
  <c r="AE327" i="1"/>
  <c r="N327" i="1"/>
  <c r="I327" i="1"/>
  <c r="FY326" i="1"/>
  <c r="FT326" i="1"/>
  <c r="FJ326" i="1"/>
  <c r="FB326" i="1"/>
  <c r="EN326" i="1"/>
  <c r="EK326" i="1"/>
  <c r="EI326" i="1"/>
  <c r="EH326" i="1"/>
  <c r="EG326" i="1"/>
  <c r="EF326" i="1"/>
  <c r="ED326" i="1"/>
  <c r="EA326" i="1"/>
  <c r="DY326" i="1"/>
  <c r="DP326" i="1"/>
  <c r="DN326" i="1"/>
  <c r="DD326" i="1"/>
  <c r="CY326" i="1"/>
  <c r="CV326" i="1"/>
  <c r="CQ326" i="1"/>
  <c r="BO326" i="1"/>
  <c r="BD326" i="1"/>
  <c r="BB326" i="1"/>
  <c r="AZ326" i="1"/>
  <c r="AY326" i="1"/>
  <c r="AX326" i="1"/>
  <c r="AW326" i="1"/>
  <c r="AU326" i="1"/>
  <c r="AR326" i="1"/>
  <c r="AP326" i="1"/>
  <c r="AG326" i="1"/>
  <c r="AE326" i="1"/>
  <c r="V326" i="1"/>
  <c r="Q326" i="1"/>
  <c r="N326" i="1"/>
  <c r="I326" i="1"/>
  <c r="FY325" i="1"/>
  <c r="FN325" i="1"/>
  <c r="FM325" i="1"/>
  <c r="FJ325" i="1"/>
  <c r="CS325" i="1"/>
  <c r="CR325" i="1"/>
  <c r="CQ325" i="1"/>
  <c r="CH325" i="1"/>
  <c r="CG325" i="1"/>
  <c r="K325" i="1"/>
  <c r="J325" i="1"/>
  <c r="I325" i="1"/>
  <c r="H325" i="1"/>
  <c r="FY324" i="1"/>
  <c r="FT324" i="1"/>
  <c r="FJ324" i="1"/>
  <c r="EN324" i="1"/>
  <c r="EH324" i="1"/>
  <c r="EF324" i="1"/>
  <c r="ED324" i="1"/>
  <c r="CV324" i="1"/>
  <c r="CQ324" i="1"/>
  <c r="BY324" i="1"/>
  <c r="BS324" i="1"/>
  <c r="BD324" i="1"/>
  <c r="AY324" i="1"/>
  <c r="AW324" i="1"/>
  <c r="AU324" i="1"/>
  <c r="N324" i="1"/>
  <c r="I324" i="1"/>
  <c r="FY323" i="1"/>
  <c r="FX323" i="1"/>
  <c r="FT323" i="1"/>
  <c r="FJ323" i="1"/>
  <c r="FE323" i="1"/>
  <c r="FD323" i="1"/>
  <c r="EN323" i="1"/>
  <c r="EK323" i="1"/>
  <c r="EI323" i="1"/>
  <c r="EH323" i="1"/>
  <c r="EF323" i="1"/>
  <c r="ED323" i="1"/>
  <c r="DN323" i="1"/>
  <c r="CQ323" i="1"/>
  <c r="CP323" i="1"/>
  <c r="BY323" i="1"/>
  <c r="BT323" i="1"/>
  <c r="BR323" i="1"/>
  <c r="BQ323" i="1"/>
  <c r="BD323" i="1"/>
  <c r="BB323" i="1"/>
  <c r="AZ323" i="1"/>
  <c r="AY323" i="1"/>
  <c r="AW323" i="1"/>
  <c r="AU323" i="1"/>
  <c r="AE323" i="1"/>
  <c r="I323" i="1"/>
  <c r="FY322" i="1"/>
  <c r="FT322" i="1"/>
  <c r="FJ322" i="1"/>
  <c r="EI322" i="1"/>
  <c r="EH322" i="1"/>
  <c r="EF322" i="1"/>
  <c r="ED322" i="1"/>
  <c r="CU322" i="1"/>
  <c r="CT322" i="1"/>
  <c r="CQ322" i="1"/>
  <c r="CA322" i="1"/>
  <c r="BT322" i="1"/>
  <c r="AZ322" i="1"/>
  <c r="AY322" i="1"/>
  <c r="AW322" i="1"/>
  <c r="AU322" i="1"/>
  <c r="M322" i="1"/>
  <c r="L322" i="1"/>
  <c r="I322" i="1"/>
  <c r="FY321" i="1"/>
  <c r="FX321" i="1"/>
  <c r="FT321" i="1"/>
  <c r="FJ321" i="1"/>
  <c r="FD321" i="1"/>
  <c r="ET321" i="1"/>
  <c r="EP321" i="1"/>
  <c r="EN321" i="1"/>
  <c r="ED321" i="1"/>
  <c r="DN321" i="1"/>
  <c r="CY321" i="1"/>
  <c r="CV321" i="1"/>
  <c r="CQ321" i="1"/>
  <c r="CP321" i="1"/>
  <c r="CB321" i="1"/>
  <c r="BQ321" i="1"/>
  <c r="BI321" i="1"/>
  <c r="BF321" i="1"/>
  <c r="BD321" i="1"/>
  <c r="AU321" i="1"/>
  <c r="AE321" i="1"/>
  <c r="Q321" i="1"/>
  <c r="N321" i="1"/>
  <c r="I321" i="1"/>
  <c r="FY320" i="1"/>
  <c r="FT320" i="1"/>
  <c r="FJ320" i="1"/>
  <c r="FD320" i="1"/>
  <c r="ER320" i="1"/>
  <c r="EO320" i="1"/>
  <c r="EN320" i="1"/>
  <c r="EK320" i="1"/>
  <c r="EH320" i="1"/>
  <c r="EG320" i="1"/>
  <c r="EF320" i="1"/>
  <c r="ED320" i="1"/>
  <c r="EA320" i="1"/>
  <c r="DY320" i="1"/>
  <c r="DP320" i="1"/>
  <c r="DN320" i="1"/>
  <c r="DD320" i="1"/>
  <c r="CY320" i="1"/>
  <c r="CV320" i="1"/>
  <c r="CQ320" i="1"/>
  <c r="BY320" i="1"/>
  <c r="BQ320" i="1"/>
  <c r="BE320" i="1"/>
  <c r="BD320" i="1"/>
  <c r="BB320" i="1"/>
  <c r="AY320" i="1"/>
  <c r="AX320" i="1"/>
  <c r="AW320" i="1"/>
  <c r="AU320" i="1"/>
  <c r="AR320" i="1"/>
  <c r="AP320" i="1"/>
  <c r="AG320" i="1"/>
  <c r="AE320" i="1"/>
  <c r="V320" i="1"/>
  <c r="Q320" i="1"/>
  <c r="N320" i="1"/>
  <c r="I320" i="1"/>
  <c r="FY319" i="1"/>
  <c r="FV319" i="1"/>
  <c r="FN319" i="1"/>
  <c r="FJ319" i="1"/>
  <c r="ER319" i="1"/>
  <c r="DM319" i="1"/>
  <c r="DL319" i="1"/>
  <c r="DK319" i="1"/>
  <c r="CR319" i="1"/>
  <c r="CQ319" i="1"/>
  <c r="CN319" i="1"/>
  <c r="CI319" i="1"/>
  <c r="CH319" i="1"/>
  <c r="BW319" i="1"/>
  <c r="AD319" i="1"/>
  <c r="AC319" i="1"/>
  <c r="AB319" i="1"/>
  <c r="J319" i="1"/>
  <c r="I319" i="1"/>
  <c r="H319" i="1"/>
  <c r="FY318" i="1"/>
  <c r="FX318" i="1"/>
  <c r="FJ318" i="1"/>
  <c r="ES318" i="1"/>
  <c r="EN318" i="1"/>
  <c r="EI318" i="1"/>
  <c r="EH318" i="1"/>
  <c r="EF318" i="1"/>
  <c r="ED318" i="1"/>
  <c r="DP318" i="1"/>
  <c r="DN318" i="1"/>
  <c r="CY318" i="1"/>
  <c r="CV318" i="1"/>
  <c r="CQ318" i="1"/>
  <c r="CP318" i="1"/>
  <c r="CA318" i="1"/>
  <c r="BH318" i="1"/>
  <c r="BD318" i="1"/>
  <c r="AZ318" i="1"/>
  <c r="AY318" i="1"/>
  <c r="AW318" i="1"/>
  <c r="AU318" i="1"/>
  <c r="AG318" i="1"/>
  <c r="AE318" i="1"/>
  <c r="Q318" i="1"/>
  <c r="N318" i="1"/>
  <c r="I318" i="1"/>
  <c r="FY317" i="1"/>
  <c r="FX317" i="1"/>
  <c r="FJ317" i="1"/>
  <c r="FB317" i="1"/>
  <c r="EN317" i="1"/>
  <c r="EI317" i="1"/>
  <c r="EH317" i="1"/>
  <c r="EF317" i="1"/>
  <c r="ED317" i="1"/>
  <c r="EA317" i="1"/>
  <c r="DY317" i="1"/>
  <c r="DN317" i="1"/>
  <c r="DG317" i="1"/>
  <c r="DF317" i="1"/>
  <c r="DD317" i="1"/>
  <c r="CY317" i="1"/>
  <c r="CV317" i="1"/>
  <c r="CQ317" i="1"/>
  <c r="CP317" i="1"/>
  <c r="BZ317" i="1"/>
  <c r="BS317" i="1"/>
  <c r="BO317" i="1"/>
  <c r="BD317" i="1"/>
  <c r="AZ317" i="1"/>
  <c r="AY317" i="1"/>
  <c r="AW317" i="1"/>
  <c r="AU317" i="1"/>
  <c r="AR317" i="1"/>
  <c r="AP317" i="1"/>
  <c r="AE317" i="1"/>
  <c r="Y317" i="1"/>
  <c r="X317" i="1"/>
  <c r="V317" i="1"/>
  <c r="Q317" i="1"/>
  <c r="N317" i="1"/>
  <c r="I317" i="1"/>
  <c r="FY316" i="1"/>
  <c r="FX316" i="1"/>
  <c r="FV316" i="1"/>
  <c r="FS316" i="1"/>
  <c r="FO316" i="1"/>
  <c r="FN316" i="1"/>
  <c r="FG316" i="1"/>
  <c r="EW316" i="1"/>
  <c r="CS316" i="1"/>
  <c r="CR316" i="1"/>
  <c r="CQ316" i="1"/>
  <c r="CP316" i="1"/>
  <c r="CN316" i="1"/>
  <c r="CL316" i="1"/>
  <c r="CI316" i="1"/>
  <c r="CH316" i="1"/>
  <c r="BW316" i="1"/>
  <c r="K316" i="1"/>
  <c r="J316" i="1"/>
  <c r="I316" i="1"/>
  <c r="H316" i="1"/>
  <c r="FY315" i="1"/>
  <c r="FV315" i="1"/>
  <c r="FO315" i="1"/>
  <c r="FN315" i="1"/>
  <c r="FJ315" i="1"/>
  <c r="EW315" i="1"/>
  <c r="DS315" i="1"/>
  <c r="DR315" i="1"/>
  <c r="DQ315" i="1"/>
  <c r="CR315" i="1"/>
  <c r="CQ315" i="1"/>
  <c r="CN315" i="1"/>
  <c r="CI315" i="1"/>
  <c r="CH315" i="1"/>
  <c r="CG315" i="1"/>
  <c r="BW315" i="1"/>
  <c r="AJ315" i="1"/>
  <c r="AI315" i="1"/>
  <c r="AH315" i="1"/>
  <c r="J315" i="1"/>
  <c r="I315" i="1"/>
  <c r="H315" i="1"/>
  <c r="FY314" i="1"/>
  <c r="FT314" i="1"/>
  <c r="FJ314" i="1"/>
  <c r="FF314" i="1"/>
  <c r="FB314" i="1"/>
  <c r="ER314" i="1"/>
  <c r="EO314" i="1"/>
  <c r="EN314" i="1"/>
  <c r="EH314" i="1"/>
  <c r="EF314" i="1"/>
  <c r="ED314" i="1"/>
  <c r="EA314" i="1"/>
  <c r="DY314" i="1"/>
  <c r="DF314" i="1"/>
  <c r="CY314" i="1"/>
  <c r="CV314" i="1"/>
  <c r="CQ314" i="1"/>
  <c r="CA314" i="1"/>
  <c r="BY314" i="1"/>
  <c r="BU314" i="1"/>
  <c r="BO314" i="1"/>
  <c r="BE314" i="1"/>
  <c r="BD314" i="1"/>
  <c r="AY314" i="1"/>
  <c r="AW314" i="1"/>
  <c r="AU314" i="1"/>
  <c r="AR314" i="1"/>
  <c r="AP314" i="1"/>
  <c r="X314" i="1"/>
  <c r="Q314" i="1"/>
  <c r="N314" i="1"/>
  <c r="I314" i="1"/>
  <c r="FY313" i="1"/>
  <c r="FX313" i="1"/>
  <c r="FT313" i="1"/>
  <c r="FJ313" i="1"/>
  <c r="FD313" i="1"/>
  <c r="FB313" i="1"/>
  <c r="EO313" i="1"/>
  <c r="EN313" i="1"/>
  <c r="EK313" i="1"/>
  <c r="EI313" i="1"/>
  <c r="EH313" i="1"/>
  <c r="EG313" i="1"/>
  <c r="EF313" i="1"/>
  <c r="EE313" i="1"/>
  <c r="ED313" i="1"/>
  <c r="EA313" i="1"/>
  <c r="DY313" i="1"/>
  <c r="DP313" i="1"/>
  <c r="DN313" i="1"/>
  <c r="DE313" i="1"/>
  <c r="CY313" i="1"/>
  <c r="CV313" i="1"/>
  <c r="CQ313" i="1"/>
  <c r="CP313" i="1"/>
  <c r="CA313" i="1"/>
  <c r="BQ313" i="1"/>
  <c r="BO313" i="1"/>
  <c r="BE313" i="1"/>
  <c r="BD313" i="1"/>
  <c r="BB313" i="1"/>
  <c r="AZ313" i="1"/>
  <c r="AY313" i="1"/>
  <c r="AX313" i="1"/>
  <c r="AW313" i="1"/>
  <c r="AV313" i="1"/>
  <c r="AU313" i="1"/>
  <c r="AR313" i="1"/>
  <c r="AP313" i="1"/>
  <c r="AG313" i="1"/>
  <c r="AE313" i="1"/>
  <c r="W313" i="1"/>
  <c r="Q313" i="1"/>
  <c r="N313" i="1"/>
  <c r="I313" i="1"/>
  <c r="FY312" i="1"/>
  <c r="FV312" i="1"/>
  <c r="FP312" i="1"/>
  <c r="FO312" i="1"/>
  <c r="FN312" i="1"/>
  <c r="FM312" i="1"/>
  <c r="FL312" i="1"/>
  <c r="FJ312" i="1"/>
  <c r="FG312" i="1"/>
  <c r="DS312" i="1"/>
  <c r="DR312" i="1"/>
  <c r="CR312" i="1"/>
  <c r="CQ312" i="1"/>
  <c r="CN312" i="1"/>
  <c r="CJ312" i="1"/>
  <c r="CI312" i="1"/>
  <c r="CH312" i="1"/>
  <c r="CG312" i="1"/>
  <c r="CF312" i="1"/>
  <c r="BW312" i="1"/>
  <c r="AJ312" i="1"/>
  <c r="AI312" i="1"/>
  <c r="J312" i="1"/>
  <c r="I312" i="1"/>
  <c r="H312" i="1"/>
  <c r="FY311" i="1"/>
  <c r="EN311" i="1"/>
  <c r="CQ311" i="1"/>
  <c r="CA311" i="1"/>
  <c r="BD311" i="1"/>
  <c r="I311" i="1"/>
  <c r="FY310" i="1"/>
  <c r="FN310" i="1"/>
  <c r="FJ310" i="1"/>
  <c r="CR310" i="1"/>
  <c r="CQ310" i="1"/>
  <c r="CH310" i="1"/>
  <c r="J310" i="1"/>
  <c r="I310" i="1"/>
  <c r="H310" i="1"/>
  <c r="FY309" i="1"/>
  <c r="FT309" i="1"/>
  <c r="FJ309" i="1"/>
  <c r="EV309" i="1"/>
  <c r="EH309" i="1"/>
  <c r="EF309" i="1"/>
  <c r="ED309" i="1"/>
  <c r="CU309" i="1"/>
  <c r="CT309" i="1"/>
  <c r="CQ309" i="1"/>
  <c r="CC309" i="1"/>
  <c r="BY309" i="1"/>
  <c r="BS309" i="1"/>
  <c r="AY309" i="1"/>
  <c r="AW309" i="1"/>
  <c r="AU309" i="1"/>
  <c r="M309" i="1"/>
  <c r="L309" i="1"/>
  <c r="I309" i="1"/>
  <c r="FY308" i="1"/>
  <c r="FX308" i="1"/>
  <c r="FT308" i="1"/>
  <c r="FJ308" i="1"/>
  <c r="EQ308" i="1"/>
  <c r="EN308" i="1"/>
  <c r="EI308" i="1"/>
  <c r="EF308" i="1"/>
  <c r="EE308" i="1"/>
  <c r="ED308" i="1"/>
  <c r="CY308" i="1"/>
  <c r="CV308" i="1"/>
  <c r="CQ308" i="1"/>
  <c r="CP308" i="1"/>
  <c r="BT308" i="1"/>
  <c r="BG308" i="1"/>
  <c r="BD308" i="1"/>
  <c r="AZ308" i="1"/>
  <c r="AW308" i="1"/>
  <c r="AV308" i="1"/>
  <c r="AU308" i="1"/>
  <c r="Q308" i="1"/>
  <c r="N308" i="1"/>
  <c r="I308" i="1"/>
  <c r="H308" i="1"/>
  <c r="FY307" i="1"/>
  <c r="FV307" i="1"/>
  <c r="FO307" i="1"/>
  <c r="FN307" i="1"/>
  <c r="FJ307" i="1"/>
  <c r="FG307" i="1"/>
  <c r="DM307" i="1"/>
  <c r="DL307" i="1"/>
  <c r="DK307" i="1"/>
  <c r="CR307" i="1"/>
  <c r="CQ307" i="1"/>
  <c r="CN307" i="1"/>
  <c r="CI307" i="1"/>
  <c r="CH307" i="1"/>
  <c r="BW307" i="1"/>
  <c r="AD307" i="1"/>
  <c r="AC307" i="1"/>
  <c r="AB307" i="1"/>
  <c r="J307" i="1"/>
  <c r="I307" i="1"/>
  <c r="H307" i="1"/>
  <c r="FY306" i="1"/>
  <c r="FX306" i="1"/>
  <c r="FT306" i="1"/>
  <c r="FJ306" i="1"/>
  <c r="FC306" i="1"/>
  <c r="FB306" i="1"/>
  <c r="EN306" i="1"/>
  <c r="EI306" i="1"/>
  <c r="EH306" i="1"/>
  <c r="EG306" i="1"/>
  <c r="EF306" i="1"/>
  <c r="ED306" i="1"/>
  <c r="EA306" i="1"/>
  <c r="DY306" i="1"/>
  <c r="DP306" i="1"/>
  <c r="DN306" i="1"/>
  <c r="DG306" i="1"/>
  <c r="DF306" i="1"/>
  <c r="DE306" i="1"/>
  <c r="DD306" i="1"/>
  <c r="CY306" i="1"/>
  <c r="CV306" i="1"/>
  <c r="CQ306" i="1"/>
  <c r="CP306" i="1"/>
  <c r="CA306" i="1"/>
  <c r="BT306" i="1"/>
  <c r="BS306" i="1"/>
  <c r="BP306" i="1"/>
  <c r="BO306" i="1"/>
  <c r="BD306" i="1"/>
  <c r="AZ306" i="1"/>
  <c r="AY306" i="1"/>
  <c r="AX306" i="1"/>
  <c r="AW306" i="1"/>
  <c r="AU306" i="1"/>
  <c r="AR306" i="1"/>
  <c r="AP306" i="1"/>
  <c r="AG306" i="1"/>
  <c r="AE306" i="1"/>
  <c r="Y306" i="1"/>
  <c r="X306" i="1"/>
  <c r="W306" i="1"/>
  <c r="V306" i="1"/>
  <c r="Q306" i="1"/>
  <c r="N306" i="1"/>
  <c r="I306" i="1"/>
  <c r="FY305" i="1"/>
  <c r="FX305" i="1"/>
  <c r="FV305" i="1"/>
  <c r="FS305" i="1"/>
  <c r="FO305" i="1"/>
  <c r="FN305" i="1"/>
  <c r="FJ305" i="1"/>
  <c r="FG305" i="1"/>
  <c r="CR305" i="1"/>
  <c r="CQ305" i="1"/>
  <c r="CP305" i="1"/>
  <c r="CN305" i="1"/>
  <c r="CL305" i="1"/>
  <c r="CI305" i="1"/>
  <c r="CH305" i="1"/>
  <c r="BW305" i="1"/>
  <c r="J305" i="1"/>
  <c r="I305" i="1"/>
  <c r="H305" i="1"/>
  <c r="FY304" i="1"/>
  <c r="FV304" i="1"/>
  <c r="FO304" i="1"/>
  <c r="FN304" i="1"/>
  <c r="FJ304" i="1"/>
  <c r="FG304" i="1"/>
  <c r="DM304" i="1"/>
  <c r="DL304" i="1"/>
  <c r="DK304" i="1"/>
  <c r="CR304" i="1"/>
  <c r="CQ304" i="1"/>
  <c r="CN304" i="1"/>
  <c r="CI304" i="1"/>
  <c r="CH304" i="1"/>
  <c r="CF304" i="1"/>
  <c r="BW304" i="1"/>
  <c r="BC304" i="1"/>
  <c r="AD304" i="1"/>
  <c r="AC304" i="1"/>
  <c r="AB304" i="1"/>
  <c r="J304" i="1"/>
  <c r="I304" i="1"/>
  <c r="H304" i="1"/>
  <c r="FY303" i="1"/>
  <c r="FX303" i="1"/>
  <c r="FT303" i="1"/>
  <c r="FJ303" i="1"/>
  <c r="EO303" i="1"/>
  <c r="EN303" i="1"/>
  <c r="EK303" i="1"/>
  <c r="EI303" i="1"/>
  <c r="EH303" i="1"/>
  <c r="EF303" i="1"/>
  <c r="ED303" i="1"/>
  <c r="CY303" i="1"/>
  <c r="CV303" i="1"/>
  <c r="CQ303" i="1"/>
  <c r="CP303" i="1"/>
  <c r="CA303" i="1"/>
  <c r="BT303" i="1"/>
  <c r="BS303" i="1"/>
  <c r="BE303" i="1"/>
  <c r="BD303" i="1"/>
  <c r="BB303" i="1"/>
  <c r="AZ303" i="1"/>
  <c r="AY303" i="1"/>
  <c r="AW303" i="1"/>
  <c r="AU303" i="1"/>
  <c r="Q303" i="1"/>
  <c r="N303" i="1"/>
  <c r="I303" i="1"/>
  <c r="FY302" i="1"/>
  <c r="FX302" i="1"/>
  <c r="FO302" i="1"/>
  <c r="FJ302" i="1"/>
  <c r="EW302" i="1"/>
  <c r="EB302" i="1"/>
  <c r="CR302" i="1"/>
  <c r="CQ302" i="1"/>
  <c r="CP302" i="1"/>
  <c r="CN302" i="1"/>
  <c r="CI302" i="1"/>
  <c r="CH302" i="1"/>
  <c r="CG302" i="1"/>
  <c r="CF302" i="1"/>
  <c r="AS302" i="1"/>
  <c r="J302" i="1"/>
  <c r="I302" i="1"/>
  <c r="H302" i="1"/>
  <c r="FY301" i="1"/>
  <c r="FX301" i="1"/>
  <c r="FO301" i="1"/>
  <c r="FN301" i="1"/>
  <c r="CR301" i="1"/>
  <c r="CQ301" i="1"/>
  <c r="CP301" i="1"/>
  <c r="CI301" i="1"/>
  <c r="CH301" i="1"/>
  <c r="J301" i="1"/>
  <c r="I301" i="1"/>
  <c r="H301" i="1"/>
  <c r="FY300" i="1"/>
  <c r="FV300" i="1"/>
  <c r="FN300" i="1"/>
  <c r="FM300" i="1"/>
  <c r="FJ300" i="1"/>
  <c r="FG300" i="1"/>
  <c r="DU300" i="1"/>
  <c r="CR300" i="1"/>
  <c r="CQ300" i="1"/>
  <c r="CN300" i="1"/>
  <c r="CI300" i="1"/>
  <c r="CH300" i="1"/>
  <c r="CG300" i="1"/>
  <c r="BW300" i="1"/>
  <c r="AL300" i="1"/>
  <c r="J300" i="1"/>
  <c r="I300" i="1"/>
  <c r="H300" i="1"/>
  <c r="FY299" i="1"/>
  <c r="FT299" i="1"/>
  <c r="FJ299" i="1"/>
  <c r="ER299" i="1"/>
  <c r="EQ299" i="1"/>
  <c r="EK299" i="1"/>
  <c r="EH299" i="1"/>
  <c r="EF299" i="1"/>
  <c r="ED299" i="1"/>
  <c r="DA299" i="1"/>
  <c r="CZ299" i="1"/>
  <c r="CQ299" i="1"/>
  <c r="CB299" i="1"/>
  <c r="BU299" i="1"/>
  <c r="BG299" i="1"/>
  <c r="BB299" i="1"/>
  <c r="AY299" i="1"/>
  <c r="AW299" i="1"/>
  <c r="AU299" i="1"/>
  <c r="S299" i="1"/>
  <c r="R299" i="1"/>
  <c r="I299" i="1"/>
  <c r="FY298" i="1"/>
  <c r="FT298" i="1"/>
  <c r="FJ298" i="1"/>
  <c r="EQ298" i="1"/>
  <c r="EI298" i="1"/>
  <c r="EH298" i="1"/>
  <c r="EF298" i="1"/>
  <c r="ED298" i="1"/>
  <c r="DA298" i="1"/>
  <c r="CZ298" i="1"/>
  <c r="CQ298" i="1"/>
  <c r="BG298" i="1"/>
  <c r="AZ298" i="1"/>
  <c r="AY298" i="1"/>
  <c r="AW298" i="1"/>
  <c r="AU298" i="1"/>
  <c r="S298" i="1"/>
  <c r="R298" i="1"/>
  <c r="I298" i="1"/>
  <c r="FY297" i="1"/>
  <c r="FX297" i="1"/>
  <c r="FT297" i="1"/>
  <c r="FJ297" i="1"/>
  <c r="FE297" i="1"/>
  <c r="FD297" i="1"/>
  <c r="EV297" i="1"/>
  <c r="EN297" i="1"/>
  <c r="EI297" i="1"/>
  <c r="EH297" i="1"/>
  <c r="EG297" i="1"/>
  <c r="EF297" i="1"/>
  <c r="ED297" i="1"/>
  <c r="DY297" i="1"/>
  <c r="DP297" i="1"/>
  <c r="DN297" i="1"/>
  <c r="CY297" i="1"/>
  <c r="CV297" i="1"/>
  <c r="CQ297" i="1"/>
  <c r="CP297" i="1"/>
  <c r="BR297" i="1"/>
  <c r="BQ297" i="1"/>
  <c r="BD297" i="1"/>
  <c r="AZ297" i="1"/>
  <c r="AY297" i="1"/>
  <c r="AX297" i="1"/>
  <c r="AW297" i="1"/>
  <c r="AU297" i="1"/>
  <c r="AP297" i="1"/>
  <c r="AG297" i="1"/>
  <c r="AE297" i="1"/>
  <c r="Q297" i="1"/>
  <c r="N297" i="1"/>
  <c r="I297" i="1"/>
  <c r="FY296" i="1"/>
  <c r="FX296" i="1"/>
  <c r="FT296" i="1"/>
  <c r="FJ296" i="1"/>
  <c r="FD296" i="1"/>
  <c r="EN296" i="1"/>
  <c r="EH296" i="1"/>
  <c r="EF296" i="1"/>
  <c r="ED296" i="1"/>
  <c r="DN296" i="1"/>
  <c r="CV296" i="1"/>
  <c r="CQ296" i="1"/>
  <c r="CP296" i="1"/>
  <c r="BQ296" i="1"/>
  <c r="BD296" i="1"/>
  <c r="AY296" i="1"/>
  <c r="AW296" i="1"/>
  <c r="AU296" i="1"/>
  <c r="AE296" i="1"/>
  <c r="N296" i="1"/>
  <c r="I296" i="1"/>
  <c r="FY295" i="1"/>
  <c r="EN295" i="1"/>
  <c r="CV295" i="1"/>
  <c r="CQ295" i="1"/>
  <c r="CA295" i="1"/>
  <c r="BD295" i="1"/>
  <c r="N295" i="1"/>
  <c r="I295" i="1"/>
  <c r="FY294" i="1"/>
  <c r="FT294" i="1"/>
  <c r="FJ294" i="1"/>
  <c r="FD294" i="1"/>
  <c r="EN294" i="1"/>
  <c r="EH294" i="1"/>
  <c r="EF294" i="1"/>
  <c r="ED294" i="1"/>
  <c r="CQ294" i="1"/>
  <c r="BQ294" i="1"/>
  <c r="BD294" i="1"/>
  <c r="AY294" i="1"/>
  <c r="AW294" i="1"/>
  <c r="AU294" i="1"/>
  <c r="I294" i="1"/>
  <c r="FY293" i="1"/>
  <c r="FX293" i="1"/>
  <c r="FT293" i="1"/>
  <c r="FJ293" i="1"/>
  <c r="FE293" i="1"/>
  <c r="FD293" i="1"/>
  <c r="FB293" i="1"/>
  <c r="EV293" i="1"/>
  <c r="EN293" i="1"/>
  <c r="EG293" i="1"/>
  <c r="EF293" i="1"/>
  <c r="ED293" i="1"/>
  <c r="EA293" i="1"/>
  <c r="DY293" i="1"/>
  <c r="DP293" i="1"/>
  <c r="DN293" i="1"/>
  <c r="DG293" i="1"/>
  <c r="DF293" i="1"/>
  <c r="DE293" i="1"/>
  <c r="DD293" i="1"/>
  <c r="CY293" i="1"/>
  <c r="CV293" i="1"/>
  <c r="CQ293" i="1"/>
  <c r="CP293" i="1"/>
  <c r="CA293" i="1"/>
  <c r="BW293" i="1"/>
  <c r="BU293" i="1"/>
  <c r="BT293" i="1"/>
  <c r="BR293" i="1"/>
  <c r="BQ293" i="1"/>
  <c r="BO293" i="1"/>
  <c r="BD293" i="1"/>
  <c r="AX293" i="1"/>
  <c r="AW293" i="1"/>
  <c r="AU293" i="1"/>
  <c r="AR293" i="1"/>
  <c r="AP293" i="1"/>
  <c r="AG293" i="1"/>
  <c r="AE293" i="1"/>
  <c r="Y293" i="1"/>
  <c r="X293" i="1"/>
  <c r="W293" i="1"/>
  <c r="V293" i="1"/>
  <c r="Q293" i="1"/>
  <c r="N293" i="1"/>
  <c r="I293" i="1"/>
  <c r="FY292" i="1"/>
  <c r="FV292" i="1"/>
  <c r="FS292" i="1"/>
  <c r="FO292" i="1"/>
  <c r="FG292" i="1"/>
  <c r="CR292" i="1"/>
  <c r="CQ292" i="1"/>
  <c r="CN292" i="1"/>
  <c r="CL292" i="1"/>
  <c r="CI292" i="1"/>
  <c r="BW292" i="1"/>
  <c r="J292" i="1"/>
  <c r="I292" i="1"/>
  <c r="H292" i="1"/>
  <c r="FY291" i="1"/>
  <c r="FT291" i="1"/>
  <c r="FJ291" i="1"/>
  <c r="EQ291" i="1"/>
  <c r="EO291" i="1"/>
  <c r="EN291" i="1"/>
  <c r="EI291" i="1"/>
  <c r="EH291" i="1"/>
  <c r="EF291" i="1"/>
  <c r="EE291" i="1"/>
  <c r="ED291" i="1"/>
  <c r="EA291" i="1"/>
  <c r="DY291" i="1"/>
  <c r="DP291" i="1"/>
  <c r="DN291" i="1"/>
  <c r="CY291" i="1"/>
  <c r="CV291" i="1"/>
  <c r="CQ291" i="1"/>
  <c r="BY291" i="1"/>
  <c r="BS291" i="1"/>
  <c r="BG291" i="1"/>
  <c r="BE291" i="1"/>
  <c r="BD291" i="1"/>
  <c r="AZ291" i="1"/>
  <c r="AY291" i="1"/>
  <c r="AW291" i="1"/>
  <c r="AV291" i="1"/>
  <c r="AU291" i="1"/>
  <c r="AR291" i="1"/>
  <c r="AP291" i="1"/>
  <c r="AG291" i="1"/>
  <c r="AE291" i="1"/>
  <c r="Q291" i="1"/>
  <c r="N291" i="1"/>
  <c r="I291" i="1"/>
  <c r="FY290" i="1"/>
  <c r="FX290" i="1"/>
  <c r="FV290" i="1"/>
  <c r="FO290" i="1"/>
  <c r="FN290" i="1"/>
  <c r="FM290" i="1"/>
  <c r="FL290" i="1"/>
  <c r="FJ290" i="1"/>
  <c r="FG290" i="1"/>
  <c r="DV290" i="1"/>
  <c r="CR290" i="1"/>
  <c r="CQ290" i="1"/>
  <c r="CP290" i="1"/>
  <c r="CO290" i="1"/>
  <c r="CN290" i="1"/>
  <c r="CI290" i="1"/>
  <c r="CH290" i="1"/>
  <c r="CG290" i="1"/>
  <c r="CF290" i="1"/>
  <c r="BW290" i="1"/>
  <c r="BC290" i="1"/>
  <c r="AM290" i="1"/>
  <c r="J290" i="1"/>
  <c r="I290" i="1"/>
  <c r="H290" i="1"/>
  <c r="FY289" i="1"/>
  <c r="FN289" i="1"/>
  <c r="CR289" i="1"/>
  <c r="CQ289" i="1"/>
  <c r="CH289" i="1"/>
  <c r="J289" i="1"/>
  <c r="I289" i="1"/>
  <c r="H289" i="1"/>
  <c r="FY288" i="1"/>
  <c r="FN288" i="1"/>
  <c r="FJ288" i="1"/>
  <c r="CS288" i="1"/>
  <c r="CR288" i="1"/>
  <c r="CQ288" i="1"/>
  <c r="CH288" i="1"/>
  <c r="K288" i="1"/>
  <c r="J288" i="1"/>
  <c r="I288" i="1"/>
  <c r="H288" i="1"/>
  <c r="FY287" i="1"/>
  <c r="FX287" i="1"/>
  <c r="EK287" i="1"/>
  <c r="EH287" i="1"/>
  <c r="ED287" i="1"/>
  <c r="CV287" i="1"/>
  <c r="CQ287" i="1"/>
  <c r="CP287" i="1"/>
  <c r="CA287" i="1"/>
  <c r="BY287" i="1"/>
  <c r="BW287" i="1"/>
  <c r="BS287" i="1"/>
  <c r="BB287" i="1"/>
  <c r="AY287" i="1"/>
  <c r="AU287" i="1"/>
  <c r="N287" i="1"/>
  <c r="I287" i="1"/>
  <c r="FY286" i="1"/>
  <c r="FV286" i="1"/>
  <c r="FS286" i="1"/>
  <c r="FO286" i="1"/>
  <c r="FN286" i="1"/>
  <c r="FM286" i="1"/>
  <c r="FJ286" i="1"/>
  <c r="FG286" i="1"/>
  <c r="EW286" i="1"/>
  <c r="CS286" i="1"/>
  <c r="CR286" i="1"/>
  <c r="CQ286" i="1"/>
  <c r="CN286" i="1"/>
  <c r="CL286" i="1"/>
  <c r="CI286" i="1"/>
  <c r="CH286" i="1"/>
  <c r="CG286" i="1"/>
  <c r="BW286" i="1"/>
  <c r="K286" i="1"/>
  <c r="J286" i="1"/>
  <c r="I286" i="1"/>
  <c r="H286" i="1"/>
  <c r="FY285" i="1"/>
  <c r="FV285" i="1"/>
  <c r="FS285" i="1"/>
  <c r="FO285" i="1"/>
  <c r="FN285" i="1"/>
  <c r="FM285" i="1"/>
  <c r="FJ285" i="1"/>
  <c r="FG285" i="1"/>
  <c r="CS285" i="1"/>
  <c r="CR285" i="1"/>
  <c r="CQ285" i="1"/>
  <c r="CN285" i="1"/>
  <c r="CL285" i="1"/>
  <c r="CI285" i="1"/>
  <c r="CH285" i="1"/>
  <c r="CG285" i="1"/>
  <c r="BW285" i="1"/>
  <c r="K285" i="1"/>
  <c r="J285" i="1"/>
  <c r="I285" i="1"/>
  <c r="H285" i="1"/>
  <c r="FY284" i="1"/>
  <c r="FX284" i="1"/>
  <c r="FT284" i="1"/>
  <c r="FJ284" i="1"/>
  <c r="FE284" i="1"/>
  <c r="FD284" i="1"/>
  <c r="FB284" i="1"/>
  <c r="EV284" i="1"/>
  <c r="EN284" i="1"/>
  <c r="EK284" i="1"/>
  <c r="EH284" i="1"/>
  <c r="EF284" i="1"/>
  <c r="EE284" i="1"/>
  <c r="ED284" i="1"/>
  <c r="EA284" i="1"/>
  <c r="DY284" i="1"/>
  <c r="DP284" i="1"/>
  <c r="DN284" i="1"/>
  <c r="CY284" i="1"/>
  <c r="CV284" i="1"/>
  <c r="CQ284" i="1"/>
  <c r="CP284" i="1"/>
  <c r="CA284" i="1"/>
  <c r="BW284" i="1"/>
  <c r="BT284" i="1"/>
  <c r="BS284" i="1"/>
  <c r="BR284" i="1"/>
  <c r="BQ284" i="1"/>
  <c r="BO284" i="1"/>
  <c r="BD284" i="1"/>
  <c r="BB284" i="1"/>
  <c r="AY284" i="1"/>
  <c r="AW284" i="1"/>
  <c r="AV284" i="1"/>
  <c r="AU284" i="1"/>
  <c r="AR284" i="1"/>
  <c r="AP284" i="1"/>
  <c r="AG284" i="1"/>
  <c r="AE284" i="1"/>
  <c r="Q284" i="1"/>
  <c r="N284" i="1"/>
  <c r="I284" i="1"/>
  <c r="FY283" i="1"/>
  <c r="FV283" i="1"/>
  <c r="FO283" i="1"/>
  <c r="FN283" i="1"/>
  <c r="FM283" i="1"/>
  <c r="FJ283" i="1"/>
  <c r="FG283" i="1"/>
  <c r="ER283" i="1"/>
  <c r="DM283" i="1"/>
  <c r="DK283" i="1"/>
  <c r="CR283" i="1"/>
  <c r="CQ283" i="1"/>
  <c r="CN283" i="1"/>
  <c r="CI283" i="1"/>
  <c r="CH283" i="1"/>
  <c r="CG283" i="1"/>
  <c r="BW283" i="1"/>
  <c r="BC283" i="1"/>
  <c r="AD283" i="1"/>
  <c r="AB283" i="1"/>
  <c r="J283" i="1"/>
  <c r="I283" i="1"/>
  <c r="H283" i="1"/>
  <c r="FY282" i="1"/>
  <c r="FT282" i="1"/>
  <c r="FJ282" i="1"/>
  <c r="FD282" i="1"/>
  <c r="FB282" i="1"/>
  <c r="EN282" i="1"/>
  <c r="EK282" i="1"/>
  <c r="EI282" i="1"/>
  <c r="EH282" i="1"/>
  <c r="EG282" i="1"/>
  <c r="EF282" i="1"/>
  <c r="ED282" i="1"/>
  <c r="DY282" i="1"/>
  <c r="DP282" i="1"/>
  <c r="DN282" i="1"/>
  <c r="DD282" i="1"/>
  <c r="CY282" i="1"/>
  <c r="CV282" i="1"/>
  <c r="CQ282" i="1"/>
  <c r="CA282" i="1"/>
  <c r="BY282" i="1"/>
  <c r="BW282" i="1"/>
  <c r="BT282" i="1"/>
  <c r="BS282" i="1"/>
  <c r="BQ282" i="1"/>
  <c r="BO282" i="1"/>
  <c r="BD282" i="1"/>
  <c r="BB282" i="1"/>
  <c r="AZ282" i="1"/>
  <c r="AY282" i="1"/>
  <c r="AX282" i="1"/>
  <c r="AW282" i="1"/>
  <c r="AU282" i="1"/>
  <c r="AP282" i="1"/>
  <c r="AG282" i="1"/>
  <c r="AE282" i="1"/>
  <c r="V282" i="1"/>
  <c r="Q282" i="1"/>
  <c r="N282" i="1"/>
  <c r="I282" i="1"/>
  <c r="FY281" i="1"/>
  <c r="FV281" i="1"/>
  <c r="FO281" i="1"/>
  <c r="FN281" i="1"/>
  <c r="FJ281" i="1"/>
  <c r="FD281" i="1"/>
  <c r="FB281" i="1"/>
  <c r="EO281" i="1"/>
  <c r="EN281" i="1"/>
  <c r="EH281" i="1"/>
  <c r="EF281" i="1"/>
  <c r="ED281" i="1"/>
  <c r="EA281" i="1"/>
  <c r="DY281" i="1"/>
  <c r="DP281" i="1"/>
  <c r="DN281" i="1"/>
  <c r="DF281" i="1"/>
  <c r="DD281" i="1"/>
  <c r="CY281" i="1"/>
  <c r="CV281" i="1"/>
  <c r="CR281" i="1"/>
  <c r="CQ281" i="1"/>
  <c r="CN281" i="1"/>
  <c r="CI281" i="1"/>
  <c r="CH281" i="1"/>
  <c r="BY281" i="1"/>
  <c r="BT281" i="1"/>
  <c r="BQ281" i="1"/>
  <c r="BO281" i="1"/>
  <c r="BE281" i="1"/>
  <c r="BD281" i="1"/>
  <c r="AY281" i="1"/>
  <c r="AW281" i="1"/>
  <c r="AU281" i="1"/>
  <c r="AR281" i="1"/>
  <c r="AP281" i="1"/>
  <c r="AG281" i="1"/>
  <c r="AE281" i="1"/>
  <c r="X281" i="1"/>
  <c r="V281" i="1"/>
  <c r="Q281" i="1"/>
  <c r="N281" i="1"/>
  <c r="J281" i="1"/>
  <c r="I281" i="1"/>
  <c r="H281" i="1"/>
  <c r="FY280" i="1"/>
  <c r="FT280" i="1"/>
  <c r="FJ280" i="1"/>
  <c r="FF280" i="1"/>
  <c r="ER280" i="1"/>
  <c r="EN280" i="1"/>
  <c r="EK280" i="1"/>
  <c r="EI280" i="1"/>
  <c r="EH280" i="1"/>
  <c r="EE280" i="1"/>
  <c r="ED280" i="1"/>
  <c r="EA280" i="1"/>
  <c r="DP280" i="1"/>
  <c r="DN280" i="1"/>
  <c r="CV280" i="1"/>
  <c r="CQ280" i="1"/>
  <c r="CA280" i="1"/>
  <c r="BU280" i="1"/>
  <c r="BT280" i="1"/>
  <c r="BD280" i="1"/>
  <c r="BB280" i="1"/>
  <c r="AZ280" i="1"/>
  <c r="AY280" i="1"/>
  <c r="AV280" i="1"/>
  <c r="AU280" i="1"/>
  <c r="AR280" i="1"/>
  <c r="AG280" i="1"/>
  <c r="AE280" i="1"/>
  <c r="N280" i="1"/>
  <c r="I280" i="1"/>
  <c r="FY279" i="1"/>
  <c r="FV279" i="1"/>
  <c r="FN279" i="1"/>
  <c r="FM279" i="1"/>
  <c r="FJ279" i="1"/>
  <c r="CR279" i="1"/>
  <c r="CQ279" i="1"/>
  <c r="CN279" i="1"/>
  <c r="CH279" i="1"/>
  <c r="CG279" i="1"/>
  <c r="J279" i="1"/>
  <c r="I279" i="1"/>
  <c r="H279" i="1"/>
  <c r="FY278" i="1"/>
  <c r="FT278" i="1"/>
  <c r="FJ278" i="1"/>
  <c r="FD278" i="1"/>
  <c r="FC278" i="1"/>
  <c r="FB278" i="1"/>
  <c r="EN278" i="1"/>
  <c r="EK278" i="1"/>
  <c r="EH278" i="1"/>
  <c r="EF278" i="1"/>
  <c r="ED278" i="1"/>
  <c r="EA278" i="1"/>
  <c r="DY278" i="1"/>
  <c r="DP278" i="1"/>
  <c r="DN278" i="1"/>
  <c r="DH278" i="1"/>
  <c r="DD278" i="1"/>
  <c r="CY278" i="1"/>
  <c r="CV278" i="1"/>
  <c r="CQ278" i="1"/>
  <c r="CA278" i="1"/>
  <c r="BT278" i="1"/>
  <c r="BS278" i="1"/>
  <c r="BQ278" i="1"/>
  <c r="BP278" i="1"/>
  <c r="BO278" i="1"/>
  <c r="BD278" i="1"/>
  <c r="BB278" i="1"/>
  <c r="AY278" i="1"/>
  <c r="AW278" i="1"/>
  <c r="AU278" i="1"/>
  <c r="AR278" i="1"/>
  <c r="AP278" i="1"/>
  <c r="AG278" i="1"/>
  <c r="AE278" i="1"/>
  <c r="Z278" i="1"/>
  <c r="V278" i="1"/>
  <c r="Q278" i="1"/>
  <c r="N278" i="1"/>
  <c r="I278" i="1"/>
  <c r="FY277" i="1"/>
  <c r="FX277" i="1"/>
  <c r="FT277" i="1"/>
  <c r="FJ277" i="1"/>
  <c r="ER277" i="1"/>
  <c r="EO277" i="1"/>
  <c r="EN277" i="1"/>
  <c r="EK277" i="1"/>
  <c r="EI277" i="1"/>
  <c r="EH277" i="1"/>
  <c r="EF277" i="1"/>
  <c r="ED277" i="1"/>
  <c r="EA277" i="1"/>
  <c r="DP277" i="1"/>
  <c r="DN277" i="1"/>
  <c r="DF277" i="1"/>
  <c r="DE277" i="1"/>
  <c r="DD277" i="1"/>
  <c r="CY277" i="1"/>
  <c r="CV277" i="1"/>
  <c r="CQ277" i="1"/>
  <c r="CP277" i="1"/>
  <c r="CA277" i="1"/>
  <c r="BW277" i="1"/>
  <c r="BS277" i="1"/>
  <c r="BE277" i="1"/>
  <c r="BD277" i="1"/>
  <c r="BB277" i="1"/>
  <c r="AZ277" i="1"/>
  <c r="AY277" i="1"/>
  <c r="AW277" i="1"/>
  <c r="AU277" i="1"/>
  <c r="AR277" i="1"/>
  <c r="AG277" i="1"/>
  <c r="AE277" i="1"/>
  <c r="X277" i="1"/>
  <c r="W277" i="1"/>
  <c r="V277" i="1"/>
  <c r="Q277" i="1"/>
  <c r="N277" i="1"/>
  <c r="I277" i="1"/>
  <c r="FY276" i="1"/>
  <c r="FV276" i="1"/>
  <c r="FS276" i="1"/>
  <c r="FO276" i="1"/>
  <c r="FN276" i="1"/>
  <c r="FM276" i="1"/>
  <c r="FJ276" i="1"/>
  <c r="FG276" i="1"/>
  <c r="CS276" i="1"/>
  <c r="CR276" i="1"/>
  <c r="CQ276" i="1"/>
  <c r="CN276" i="1"/>
  <c r="CL276" i="1"/>
  <c r="CI276" i="1"/>
  <c r="CH276" i="1"/>
  <c r="CG276" i="1"/>
  <c r="BW276" i="1"/>
  <c r="K276" i="1"/>
  <c r="J276" i="1"/>
  <c r="I276" i="1"/>
  <c r="H276" i="1"/>
  <c r="FY275" i="1"/>
  <c r="FV275" i="1"/>
  <c r="FO275" i="1"/>
  <c r="FN275" i="1"/>
  <c r="FM275" i="1"/>
  <c r="FL275" i="1"/>
  <c r="FJ275" i="1"/>
  <c r="FG275" i="1"/>
  <c r="DZ275" i="1"/>
  <c r="CR275" i="1"/>
  <c r="CQ275" i="1"/>
  <c r="CN275" i="1"/>
  <c r="CI275" i="1"/>
  <c r="CH275" i="1"/>
  <c r="CG275" i="1"/>
  <c r="CF275" i="1"/>
  <c r="BW275" i="1"/>
  <c r="AQ275" i="1"/>
  <c r="J275" i="1"/>
  <c r="I275" i="1"/>
  <c r="H275" i="1"/>
  <c r="FY274" i="1"/>
  <c r="FX274" i="1"/>
  <c r="FT274" i="1"/>
  <c r="FD274" i="1"/>
  <c r="EQ274" i="1"/>
  <c r="EO274" i="1"/>
  <c r="EN274" i="1"/>
  <c r="EK274" i="1"/>
  <c r="EI274" i="1"/>
  <c r="EH274" i="1"/>
  <c r="EF274" i="1"/>
  <c r="ED274" i="1"/>
  <c r="DP274" i="1"/>
  <c r="DN274" i="1"/>
  <c r="CV274" i="1"/>
  <c r="CQ274" i="1"/>
  <c r="CP274" i="1"/>
  <c r="CA274" i="1"/>
  <c r="BY274" i="1"/>
  <c r="BW274" i="1"/>
  <c r="BS274" i="1"/>
  <c r="BQ274" i="1"/>
  <c r="BG274" i="1"/>
  <c r="BE274" i="1"/>
  <c r="BD274" i="1"/>
  <c r="BB274" i="1"/>
  <c r="AZ274" i="1"/>
  <c r="AY274" i="1"/>
  <c r="AW274" i="1"/>
  <c r="AU274" i="1"/>
  <c r="AG274" i="1"/>
  <c r="AE274" i="1"/>
  <c r="N274" i="1"/>
  <c r="I274" i="1"/>
  <c r="FY273" i="1"/>
  <c r="FT273" i="1"/>
  <c r="FJ273" i="1"/>
  <c r="FB273" i="1"/>
  <c r="EN273" i="1"/>
  <c r="EK273" i="1"/>
  <c r="EH273" i="1"/>
  <c r="EF273" i="1"/>
  <c r="ED273" i="1"/>
  <c r="DY273" i="1"/>
  <c r="DN273" i="1"/>
  <c r="DF273" i="1"/>
  <c r="CV273" i="1"/>
  <c r="CQ273" i="1"/>
  <c r="BY273" i="1"/>
  <c r="BT273" i="1"/>
  <c r="BO273" i="1"/>
  <c r="BD273" i="1"/>
  <c r="BB273" i="1"/>
  <c r="AY273" i="1"/>
  <c r="AW273" i="1"/>
  <c r="AU273" i="1"/>
  <c r="AP273" i="1"/>
  <c r="AE273" i="1"/>
  <c r="X273" i="1"/>
  <c r="N273" i="1"/>
  <c r="I273" i="1"/>
  <c r="FY272" i="1"/>
  <c r="FX272" i="1"/>
  <c r="FT272" i="1"/>
  <c r="FJ272" i="1"/>
  <c r="EN272" i="1"/>
  <c r="EH272" i="1"/>
  <c r="EF272" i="1"/>
  <c r="ED272" i="1"/>
  <c r="CV272" i="1"/>
  <c r="CQ272" i="1"/>
  <c r="CP272" i="1"/>
  <c r="BY272" i="1"/>
  <c r="BD272" i="1"/>
  <c r="AY272" i="1"/>
  <c r="AW272" i="1"/>
  <c r="AU272" i="1"/>
  <c r="N272" i="1"/>
  <c r="I272" i="1"/>
  <c r="FY271" i="1"/>
  <c r="FT271" i="1"/>
  <c r="FJ271" i="1"/>
  <c r="EI271" i="1"/>
  <c r="EH271" i="1"/>
  <c r="EF271" i="1"/>
  <c r="ED271" i="1"/>
  <c r="DA271" i="1"/>
  <c r="CZ271" i="1"/>
  <c r="CQ271" i="1"/>
  <c r="AZ271" i="1"/>
  <c r="AY271" i="1"/>
  <c r="AW271" i="1"/>
  <c r="AU271" i="1"/>
  <c r="S271" i="1"/>
  <c r="R271" i="1"/>
  <c r="I271" i="1"/>
  <c r="FY270" i="1"/>
  <c r="FT270" i="1"/>
  <c r="FJ270" i="1"/>
  <c r="FF270" i="1"/>
  <c r="FD270" i="1"/>
  <c r="FB270" i="1"/>
  <c r="EO270" i="1"/>
  <c r="EN270" i="1"/>
  <c r="EI270" i="1"/>
  <c r="EH270" i="1"/>
  <c r="EG270" i="1"/>
  <c r="EF270" i="1"/>
  <c r="EE270" i="1"/>
  <c r="ED270" i="1"/>
  <c r="EA270" i="1"/>
  <c r="DY270" i="1"/>
  <c r="DP270" i="1"/>
  <c r="DN270" i="1"/>
  <c r="DF270" i="1"/>
  <c r="DE270" i="1"/>
  <c r="DD270" i="1"/>
  <c r="CY270" i="1"/>
  <c r="CV270" i="1"/>
  <c r="CQ270" i="1"/>
  <c r="CA270" i="1"/>
  <c r="BY270" i="1"/>
  <c r="BU270" i="1"/>
  <c r="BT270" i="1"/>
  <c r="BS270" i="1"/>
  <c r="BQ270" i="1"/>
  <c r="BO270" i="1"/>
  <c r="BE270" i="1"/>
  <c r="BD270" i="1"/>
  <c r="AZ270" i="1"/>
  <c r="AY270" i="1"/>
  <c r="AX270" i="1"/>
  <c r="AW270" i="1"/>
  <c r="AV270" i="1"/>
  <c r="AU270" i="1"/>
  <c r="AR270" i="1"/>
  <c r="AP270" i="1"/>
  <c r="AG270" i="1"/>
  <c r="AE270" i="1"/>
  <c r="X270" i="1"/>
  <c r="W270" i="1"/>
  <c r="V270" i="1"/>
  <c r="Q270" i="1"/>
  <c r="N270" i="1"/>
  <c r="I270" i="1"/>
  <c r="FY269" i="1"/>
  <c r="FV269" i="1"/>
  <c r="FU269" i="1"/>
  <c r="FS269" i="1"/>
  <c r="FP269" i="1"/>
  <c r="FO269" i="1"/>
  <c r="FN269" i="1"/>
  <c r="FM269" i="1"/>
  <c r="FJ269" i="1"/>
  <c r="FG269" i="1"/>
  <c r="CR269" i="1"/>
  <c r="CQ269" i="1"/>
  <c r="CN269" i="1"/>
  <c r="CM269" i="1"/>
  <c r="CL269" i="1"/>
  <c r="CJ269" i="1"/>
  <c r="CI269" i="1"/>
  <c r="CH269" i="1"/>
  <c r="CG269" i="1"/>
  <c r="BW269" i="1"/>
  <c r="J269" i="1"/>
  <c r="I269" i="1"/>
  <c r="H269" i="1"/>
  <c r="FY268" i="1"/>
  <c r="FV268" i="1"/>
  <c r="FS268" i="1"/>
  <c r="FP268" i="1"/>
  <c r="FO268" i="1"/>
  <c r="FN268" i="1"/>
  <c r="FJ268" i="1"/>
  <c r="FG268" i="1"/>
  <c r="CS268" i="1"/>
  <c r="CR268" i="1"/>
  <c r="CQ268" i="1"/>
  <c r="CN268" i="1"/>
  <c r="CL268" i="1"/>
  <c r="CJ268" i="1"/>
  <c r="CI268" i="1"/>
  <c r="CH268" i="1"/>
  <c r="BW268" i="1"/>
  <c r="K268" i="1"/>
  <c r="J268" i="1"/>
  <c r="I268" i="1"/>
  <c r="H268" i="1"/>
  <c r="FY267" i="1"/>
  <c r="FT267" i="1"/>
  <c r="FJ267" i="1"/>
  <c r="FE267" i="1"/>
  <c r="FD267" i="1"/>
  <c r="FB267" i="1"/>
  <c r="ER267" i="1"/>
  <c r="EN267" i="1"/>
  <c r="EK267" i="1"/>
  <c r="EH267" i="1"/>
  <c r="EG267" i="1"/>
  <c r="EF267" i="1"/>
  <c r="ED267" i="1"/>
  <c r="EA267" i="1"/>
  <c r="DY267" i="1"/>
  <c r="DP267" i="1"/>
  <c r="DN267" i="1"/>
  <c r="DG267" i="1"/>
  <c r="DF267" i="1"/>
  <c r="DE267" i="1"/>
  <c r="DD267" i="1"/>
  <c r="CY267" i="1"/>
  <c r="CV267" i="1"/>
  <c r="CQ267" i="1"/>
  <c r="CA267" i="1"/>
  <c r="BZ267" i="1"/>
  <c r="BW267" i="1"/>
  <c r="BU267" i="1"/>
  <c r="BT267" i="1"/>
  <c r="BR267" i="1"/>
  <c r="BQ267" i="1"/>
  <c r="BO267" i="1"/>
  <c r="BD267" i="1"/>
  <c r="BB267" i="1"/>
  <c r="AY267" i="1"/>
  <c r="AX267" i="1"/>
  <c r="AW267" i="1"/>
  <c r="AU267" i="1"/>
  <c r="AR267" i="1"/>
  <c r="AP267" i="1"/>
  <c r="AG267" i="1"/>
  <c r="AE267" i="1"/>
  <c r="Y267" i="1"/>
  <c r="X267" i="1"/>
  <c r="W267" i="1"/>
  <c r="V267" i="1"/>
  <c r="Q267" i="1"/>
  <c r="N267" i="1"/>
  <c r="I267" i="1"/>
  <c r="FY266" i="1"/>
  <c r="FV266" i="1"/>
  <c r="FS266" i="1"/>
  <c r="FP266" i="1"/>
  <c r="FO266" i="1"/>
  <c r="FN266" i="1"/>
  <c r="FM266" i="1"/>
  <c r="FJ266" i="1"/>
  <c r="FG266" i="1"/>
  <c r="CS266" i="1"/>
  <c r="CR266" i="1"/>
  <c r="CQ266" i="1"/>
  <c r="CN266" i="1"/>
  <c r="CL266" i="1"/>
  <c r="CJ266" i="1"/>
  <c r="CI266" i="1"/>
  <c r="CH266" i="1"/>
  <c r="CG266" i="1"/>
  <c r="BW266" i="1"/>
  <c r="K266" i="1"/>
  <c r="J266" i="1"/>
  <c r="I266" i="1"/>
  <c r="H266" i="1"/>
  <c r="FY265" i="1"/>
  <c r="FT265" i="1"/>
  <c r="FJ265" i="1"/>
  <c r="EO265" i="1"/>
  <c r="EN265" i="1"/>
  <c r="EK265" i="1"/>
  <c r="EI265" i="1"/>
  <c r="EH265" i="1"/>
  <c r="EG265" i="1"/>
  <c r="EF265" i="1"/>
  <c r="EE265" i="1"/>
  <c r="ED265" i="1"/>
  <c r="CY265" i="1"/>
  <c r="CV265" i="1"/>
  <c r="CQ265" i="1"/>
  <c r="CA265" i="1"/>
  <c r="BY265" i="1"/>
  <c r="BT265" i="1"/>
  <c r="BS265" i="1"/>
  <c r="BE265" i="1"/>
  <c r="BD265" i="1"/>
  <c r="BB265" i="1"/>
  <c r="AZ265" i="1"/>
  <c r="AY265" i="1"/>
  <c r="AX265" i="1"/>
  <c r="AW265" i="1"/>
  <c r="AV265" i="1"/>
  <c r="AU265" i="1"/>
  <c r="Q265" i="1"/>
  <c r="N265" i="1"/>
  <c r="I265" i="1"/>
  <c r="FY264" i="1"/>
  <c r="CS264" i="1"/>
  <c r="CR264" i="1"/>
  <c r="CQ264" i="1"/>
  <c r="K264" i="1"/>
  <c r="J264" i="1"/>
  <c r="I264" i="1"/>
  <c r="H264" i="1"/>
  <c r="FY263" i="1"/>
  <c r="FX263" i="1"/>
  <c r="FT263" i="1"/>
  <c r="FJ263" i="1"/>
  <c r="FE263" i="1"/>
  <c r="FD263" i="1"/>
  <c r="FC263" i="1"/>
  <c r="FB263" i="1"/>
  <c r="EN263" i="1"/>
  <c r="EK263" i="1"/>
  <c r="EH263" i="1"/>
  <c r="EG263" i="1"/>
  <c r="EF263" i="1"/>
  <c r="EE263" i="1"/>
  <c r="ED263" i="1"/>
  <c r="EA263" i="1"/>
  <c r="DY263" i="1"/>
  <c r="DP263" i="1"/>
  <c r="DN263" i="1"/>
  <c r="DG263" i="1"/>
  <c r="DF263" i="1"/>
  <c r="DE263" i="1"/>
  <c r="DD263" i="1"/>
  <c r="CY263" i="1"/>
  <c r="CV263" i="1"/>
  <c r="CQ263" i="1"/>
  <c r="CP263" i="1"/>
  <c r="CA263" i="1"/>
  <c r="BT263" i="1"/>
  <c r="BR263" i="1"/>
  <c r="BQ263" i="1"/>
  <c r="BP263" i="1"/>
  <c r="BO263" i="1"/>
  <c r="BD263" i="1"/>
  <c r="BB263" i="1"/>
  <c r="AY263" i="1"/>
  <c r="AX263" i="1"/>
  <c r="AW263" i="1"/>
  <c r="AV263" i="1"/>
  <c r="AU263" i="1"/>
  <c r="AR263" i="1"/>
  <c r="AP263" i="1"/>
  <c r="AG263" i="1"/>
  <c r="AE263" i="1"/>
  <c r="Y263" i="1"/>
  <c r="X263" i="1"/>
  <c r="W263" i="1"/>
  <c r="V263" i="1"/>
  <c r="Q263" i="1"/>
  <c r="N263" i="1"/>
  <c r="I263" i="1"/>
  <c r="FY262" i="1"/>
  <c r="FX262" i="1"/>
  <c r="FT262" i="1"/>
  <c r="FJ262" i="1"/>
  <c r="EO262" i="1"/>
  <c r="EN262" i="1"/>
  <c r="EK262" i="1"/>
  <c r="EH262" i="1"/>
  <c r="EF262" i="1"/>
  <c r="ED262" i="1"/>
  <c r="CV262" i="1"/>
  <c r="CQ262" i="1"/>
  <c r="CP262" i="1"/>
  <c r="CA262" i="1"/>
  <c r="BT262" i="1"/>
  <c r="BS262" i="1"/>
  <c r="BE262" i="1"/>
  <c r="BD262" i="1"/>
  <c r="BB262" i="1"/>
  <c r="AY262" i="1"/>
  <c r="AW262" i="1"/>
  <c r="AU262" i="1"/>
  <c r="N262" i="1"/>
  <c r="I262" i="1"/>
  <c r="FY261" i="1"/>
  <c r="FX261" i="1"/>
  <c r="FT261" i="1"/>
  <c r="FJ261" i="1"/>
  <c r="EY261" i="1"/>
  <c r="EX261" i="1"/>
  <c r="EV261" i="1"/>
  <c r="EN261" i="1"/>
  <c r="EK261" i="1"/>
  <c r="EI261" i="1"/>
  <c r="EH261" i="1"/>
  <c r="EG261" i="1"/>
  <c r="EF261" i="1"/>
  <c r="EE261" i="1"/>
  <c r="ED261" i="1"/>
  <c r="DD261" i="1"/>
  <c r="CY261" i="1"/>
  <c r="CV261" i="1"/>
  <c r="CQ261" i="1"/>
  <c r="CP261" i="1"/>
  <c r="CB261" i="1"/>
  <c r="CA261" i="1"/>
  <c r="BY261" i="1"/>
  <c r="BT261" i="1"/>
  <c r="BL261" i="1"/>
  <c r="BK261" i="1"/>
  <c r="BD261" i="1"/>
  <c r="BB261" i="1"/>
  <c r="AZ261" i="1"/>
  <c r="AY261" i="1"/>
  <c r="AX261" i="1"/>
  <c r="AW261" i="1"/>
  <c r="AV261" i="1"/>
  <c r="AU261" i="1"/>
  <c r="V261" i="1"/>
  <c r="Q261" i="1"/>
  <c r="N261" i="1"/>
  <c r="I261" i="1"/>
  <c r="FY260" i="1"/>
  <c r="FX260" i="1"/>
  <c r="FT260" i="1"/>
  <c r="FJ260" i="1"/>
  <c r="EV260" i="1"/>
  <c r="EO260" i="1"/>
  <c r="EK260" i="1"/>
  <c r="EH260" i="1"/>
  <c r="EF260" i="1"/>
  <c r="ED260" i="1"/>
  <c r="CY260" i="1"/>
  <c r="CV260" i="1"/>
  <c r="CQ260" i="1"/>
  <c r="CP260" i="1"/>
  <c r="BW260" i="1"/>
  <c r="BS260" i="1"/>
  <c r="BE260" i="1"/>
  <c r="BB260" i="1"/>
  <c r="AY260" i="1"/>
  <c r="AW260" i="1"/>
  <c r="AU260" i="1"/>
  <c r="Q260" i="1"/>
  <c r="N260" i="1"/>
  <c r="I260" i="1"/>
  <c r="FY259" i="1"/>
  <c r="FX259" i="1"/>
  <c r="FT259" i="1"/>
  <c r="FJ259" i="1"/>
  <c r="ET259" i="1"/>
  <c r="EP259" i="1"/>
  <c r="EN259" i="1"/>
  <c r="EK259" i="1"/>
  <c r="ED259" i="1"/>
  <c r="DN259" i="1"/>
  <c r="CV259" i="1"/>
  <c r="CQ259" i="1"/>
  <c r="CP259" i="1"/>
  <c r="BY259" i="1"/>
  <c r="BI259" i="1"/>
  <c r="BF259" i="1"/>
  <c r="BD259" i="1"/>
  <c r="BB259" i="1"/>
  <c r="AU259" i="1"/>
  <c r="AE259" i="1"/>
  <c r="N259" i="1"/>
  <c r="I259" i="1"/>
  <c r="FY258" i="1"/>
  <c r="FT258" i="1"/>
  <c r="FJ258" i="1"/>
  <c r="FE258" i="1"/>
  <c r="FD258" i="1"/>
  <c r="FB258" i="1"/>
  <c r="EV258" i="1"/>
  <c r="EN258" i="1"/>
  <c r="EK258" i="1"/>
  <c r="EH258" i="1"/>
  <c r="EF258" i="1"/>
  <c r="ED258" i="1"/>
  <c r="EA258" i="1"/>
  <c r="DY258" i="1"/>
  <c r="DP258" i="1"/>
  <c r="DN258" i="1"/>
  <c r="DG258" i="1"/>
  <c r="DE258" i="1"/>
  <c r="DD258" i="1"/>
  <c r="CY258" i="1"/>
  <c r="CV258" i="1"/>
  <c r="CQ258" i="1"/>
  <c r="CA258" i="1"/>
  <c r="BY258" i="1"/>
  <c r="BX258" i="1"/>
  <c r="BW258" i="1"/>
  <c r="BT258" i="1"/>
  <c r="BS258" i="1"/>
  <c r="BR258" i="1"/>
  <c r="BQ258" i="1"/>
  <c r="BO258" i="1"/>
  <c r="BD258" i="1"/>
  <c r="BB258" i="1"/>
  <c r="AY258" i="1"/>
  <c r="AW258" i="1"/>
  <c r="AU258" i="1"/>
  <c r="AR258" i="1"/>
  <c r="AP258" i="1"/>
  <c r="AG258" i="1"/>
  <c r="AE258" i="1"/>
  <c r="Y258" i="1"/>
  <c r="W258" i="1"/>
  <c r="V258" i="1"/>
  <c r="Q258" i="1"/>
  <c r="N258" i="1"/>
  <c r="I258" i="1"/>
  <c r="FY257" i="1"/>
  <c r="EI257" i="1"/>
  <c r="EH257" i="1"/>
  <c r="ED257" i="1"/>
  <c r="CY257" i="1"/>
  <c r="CV257" i="1"/>
  <c r="CQ257" i="1"/>
  <c r="CA257" i="1"/>
  <c r="BY257" i="1"/>
  <c r="BW257" i="1"/>
  <c r="BS257" i="1"/>
  <c r="AZ257" i="1"/>
  <c r="AY257" i="1"/>
  <c r="AU257" i="1"/>
  <c r="Q257" i="1"/>
  <c r="N257" i="1"/>
  <c r="I257" i="1"/>
  <c r="FY256" i="1"/>
  <c r="FT256" i="1"/>
  <c r="FF256" i="1"/>
  <c r="EO256" i="1"/>
  <c r="EN256" i="1"/>
  <c r="EK256" i="1"/>
  <c r="EH256" i="1"/>
  <c r="EF256" i="1"/>
  <c r="ED256" i="1"/>
  <c r="EA256" i="1"/>
  <c r="DP256" i="1"/>
  <c r="DN256" i="1"/>
  <c r="DE256" i="1"/>
  <c r="DD256" i="1"/>
  <c r="CY256" i="1"/>
  <c r="CV256" i="1"/>
  <c r="CQ256" i="1"/>
  <c r="CA256" i="1"/>
  <c r="BW256" i="1"/>
  <c r="BV256" i="1"/>
  <c r="BU256" i="1"/>
  <c r="BT256" i="1"/>
  <c r="BE256" i="1"/>
  <c r="BD256" i="1"/>
  <c r="BB256" i="1"/>
  <c r="AY256" i="1"/>
  <c r="AW256" i="1"/>
  <c r="AU256" i="1"/>
  <c r="AR256" i="1"/>
  <c r="AG256" i="1"/>
  <c r="AE256" i="1"/>
  <c r="W256" i="1"/>
  <c r="V256" i="1"/>
  <c r="Q256" i="1"/>
  <c r="N256" i="1"/>
  <c r="I256" i="1"/>
  <c r="FY255" i="1"/>
  <c r="FT255" i="1"/>
  <c r="FJ255" i="1"/>
  <c r="EH255" i="1"/>
  <c r="EF255" i="1"/>
  <c r="ED255" i="1"/>
  <c r="CX255" i="1"/>
  <c r="CW255" i="1"/>
  <c r="CQ255" i="1"/>
  <c r="BW255" i="1"/>
  <c r="BT255" i="1"/>
  <c r="BS255" i="1"/>
  <c r="AY255" i="1"/>
  <c r="AW255" i="1"/>
  <c r="AU255" i="1"/>
  <c r="P255" i="1"/>
  <c r="O255" i="1"/>
  <c r="I255" i="1"/>
  <c r="FY254" i="1"/>
  <c r="FX254" i="1"/>
  <c r="FT254" i="1"/>
  <c r="FJ254" i="1"/>
  <c r="FD254" i="1"/>
  <c r="FB254" i="1"/>
  <c r="EO254" i="1"/>
  <c r="EN254" i="1"/>
  <c r="EH254" i="1"/>
  <c r="EG254" i="1"/>
  <c r="EF254" i="1"/>
  <c r="ED254" i="1"/>
  <c r="EA254" i="1"/>
  <c r="DY254" i="1"/>
  <c r="DP254" i="1"/>
  <c r="DN254" i="1"/>
  <c r="DD254" i="1"/>
  <c r="CY254" i="1"/>
  <c r="CV254" i="1"/>
  <c r="CQ254" i="1"/>
  <c r="CP254" i="1"/>
  <c r="CA254" i="1"/>
  <c r="BY254" i="1"/>
  <c r="BT254" i="1"/>
  <c r="BQ254" i="1"/>
  <c r="BO254" i="1"/>
  <c r="BE254" i="1"/>
  <c r="BD254" i="1"/>
  <c r="AY254" i="1"/>
  <c r="AX254" i="1"/>
  <c r="AW254" i="1"/>
  <c r="AU254" i="1"/>
  <c r="AR254" i="1"/>
  <c r="AP254" i="1"/>
  <c r="AG254" i="1"/>
  <c r="AE254" i="1"/>
  <c r="V254" i="1"/>
  <c r="Q254" i="1"/>
  <c r="N254" i="1"/>
  <c r="I254" i="1"/>
  <c r="FY253" i="1"/>
  <c r="FT253" i="1"/>
  <c r="FJ253" i="1"/>
  <c r="FD253" i="1"/>
  <c r="EV253" i="1"/>
  <c r="EN253" i="1"/>
  <c r="EH253" i="1"/>
  <c r="EF253" i="1"/>
  <c r="ED253" i="1"/>
  <c r="CV253" i="1"/>
  <c r="CQ253" i="1"/>
  <c r="BT253" i="1"/>
  <c r="BQ253" i="1"/>
  <c r="BD253" i="1"/>
  <c r="AY253" i="1"/>
  <c r="AW253" i="1"/>
  <c r="AU253" i="1"/>
  <c r="N253" i="1"/>
  <c r="I253" i="1"/>
  <c r="FY252" i="1"/>
  <c r="FX252" i="1"/>
  <c r="EV252" i="1"/>
  <c r="CQ252" i="1"/>
  <c r="CP252" i="1"/>
  <c r="BW252" i="1"/>
  <c r="BS252" i="1"/>
  <c r="I252" i="1"/>
  <c r="FY251" i="1"/>
  <c r="FX251" i="1"/>
  <c r="FT251" i="1"/>
  <c r="FJ251" i="1"/>
  <c r="EQ251" i="1"/>
  <c r="EN251" i="1"/>
  <c r="EI251" i="1"/>
  <c r="EH251" i="1"/>
  <c r="EG251" i="1"/>
  <c r="EF251" i="1"/>
  <c r="ED251" i="1"/>
  <c r="CY251" i="1"/>
  <c r="CV251" i="1"/>
  <c r="CQ251" i="1"/>
  <c r="CP251" i="1"/>
  <c r="BG251" i="1"/>
  <c r="BD251" i="1"/>
  <c r="AZ251" i="1"/>
  <c r="AY251" i="1"/>
  <c r="AX251" i="1"/>
  <c r="AW251" i="1"/>
  <c r="AU251" i="1"/>
  <c r="Q251" i="1"/>
  <c r="N251" i="1"/>
  <c r="I251" i="1"/>
  <c r="FY250" i="1"/>
  <c r="FX250" i="1"/>
  <c r="FT250" i="1"/>
  <c r="FJ250" i="1"/>
  <c r="EN250" i="1"/>
  <c r="EK250" i="1"/>
  <c r="EI250" i="1"/>
  <c r="EH250" i="1"/>
  <c r="EG250" i="1"/>
  <c r="EF250" i="1"/>
  <c r="EE250" i="1"/>
  <c r="ED250" i="1"/>
  <c r="CY250" i="1"/>
  <c r="CV250" i="1"/>
  <c r="CQ250" i="1"/>
  <c r="CP250" i="1"/>
  <c r="BT250" i="1"/>
  <c r="BD250" i="1"/>
  <c r="BB250" i="1"/>
  <c r="AZ250" i="1"/>
  <c r="AY250" i="1"/>
  <c r="AX250" i="1"/>
  <c r="AW250" i="1"/>
  <c r="AV250" i="1"/>
  <c r="AU250" i="1"/>
  <c r="Q250" i="1"/>
  <c r="N250" i="1"/>
  <c r="I250" i="1"/>
  <c r="FY249" i="1"/>
  <c r="FX249" i="1"/>
  <c r="FT249" i="1"/>
  <c r="FJ249" i="1"/>
  <c r="FC249" i="1"/>
  <c r="FB249" i="1"/>
  <c r="EO249" i="1"/>
  <c r="EN249" i="1"/>
  <c r="EK249" i="1"/>
  <c r="EI249" i="1"/>
  <c r="EH249" i="1"/>
  <c r="EG249" i="1"/>
  <c r="EF249" i="1"/>
  <c r="EE249" i="1"/>
  <c r="ED249" i="1"/>
  <c r="CY249" i="1"/>
  <c r="CV249" i="1"/>
  <c r="CQ249" i="1"/>
  <c r="CP249" i="1"/>
  <c r="CA249" i="1"/>
  <c r="BY249" i="1"/>
  <c r="BT249" i="1"/>
  <c r="BP249" i="1"/>
  <c r="BO249" i="1"/>
  <c r="BE249" i="1"/>
  <c r="BD249" i="1"/>
  <c r="BB249" i="1"/>
  <c r="AZ249" i="1"/>
  <c r="AY249" i="1"/>
  <c r="AX249" i="1"/>
  <c r="AW249" i="1"/>
  <c r="AV249" i="1"/>
  <c r="AU249" i="1"/>
  <c r="Q249" i="1"/>
  <c r="N249" i="1"/>
  <c r="I249" i="1"/>
  <c r="FY248" i="1"/>
  <c r="FT248" i="1"/>
  <c r="FJ248" i="1"/>
  <c r="FD248" i="1"/>
  <c r="EO248" i="1"/>
  <c r="EN248" i="1"/>
  <c r="EK248" i="1"/>
  <c r="EH248" i="1"/>
  <c r="EG248" i="1"/>
  <c r="EF248" i="1"/>
  <c r="EE248" i="1"/>
  <c r="ED248" i="1"/>
  <c r="EA248" i="1"/>
  <c r="DY248" i="1"/>
  <c r="DP248" i="1"/>
  <c r="DN248" i="1"/>
  <c r="DG248" i="1"/>
  <c r="DE248" i="1"/>
  <c r="DD248" i="1"/>
  <c r="CY248" i="1"/>
  <c r="CV248" i="1"/>
  <c r="CQ248" i="1"/>
  <c r="CA248" i="1"/>
  <c r="BT248" i="1"/>
  <c r="BS248" i="1"/>
  <c r="BQ248" i="1"/>
  <c r="BE248" i="1"/>
  <c r="BD248" i="1"/>
  <c r="BB248" i="1"/>
  <c r="AY248" i="1"/>
  <c r="AX248" i="1"/>
  <c r="AW248" i="1"/>
  <c r="AV248" i="1"/>
  <c r="AU248" i="1"/>
  <c r="AR248" i="1"/>
  <c r="AP248" i="1"/>
  <c r="AG248" i="1"/>
  <c r="AE248" i="1"/>
  <c r="Y248" i="1"/>
  <c r="W248" i="1"/>
  <c r="V248" i="1"/>
  <c r="Q248" i="1"/>
  <c r="N248" i="1"/>
  <c r="I248" i="1"/>
  <c r="FY247" i="1"/>
  <c r="FX247" i="1"/>
  <c r="FT247" i="1"/>
  <c r="FJ247" i="1"/>
  <c r="FH247" i="1"/>
  <c r="EY247" i="1"/>
  <c r="EX247" i="1"/>
  <c r="EQ247" i="1"/>
  <c r="EP247" i="1"/>
  <c r="EN247" i="1"/>
  <c r="EK247" i="1"/>
  <c r="EI247" i="1"/>
  <c r="EH247" i="1"/>
  <c r="EG247" i="1"/>
  <c r="EF247" i="1"/>
  <c r="EE247" i="1"/>
  <c r="ED247" i="1"/>
  <c r="DY247" i="1"/>
  <c r="DF247" i="1"/>
  <c r="DD247" i="1"/>
  <c r="CY247" i="1"/>
  <c r="CV247" i="1"/>
  <c r="CQ247" i="1"/>
  <c r="CP247" i="1"/>
  <c r="CB247" i="1"/>
  <c r="BY247" i="1"/>
  <c r="BT247" i="1"/>
  <c r="BL247" i="1"/>
  <c r="BK247" i="1"/>
  <c r="BG247" i="1"/>
  <c r="BF247" i="1"/>
  <c r="BD247" i="1"/>
  <c r="BB247" i="1"/>
  <c r="AZ247" i="1"/>
  <c r="AY247" i="1"/>
  <c r="AX247" i="1"/>
  <c r="AW247" i="1"/>
  <c r="AV247" i="1"/>
  <c r="AU247" i="1"/>
  <c r="AP247" i="1"/>
  <c r="X247" i="1"/>
  <c r="V247" i="1"/>
  <c r="Q247" i="1"/>
  <c r="N247" i="1"/>
  <c r="I247" i="1"/>
  <c r="FY246" i="1"/>
  <c r="FX246" i="1"/>
  <c r="FT246" i="1"/>
  <c r="FJ246" i="1"/>
  <c r="EQ246" i="1"/>
  <c r="EO246" i="1"/>
  <c r="EN246" i="1"/>
  <c r="EI246" i="1"/>
  <c r="EH246" i="1"/>
  <c r="EG246" i="1"/>
  <c r="EF246" i="1"/>
  <c r="EE246" i="1"/>
  <c r="ED246" i="1"/>
  <c r="DP246" i="1"/>
  <c r="DN246" i="1"/>
  <c r="CY246" i="1"/>
  <c r="CV246" i="1"/>
  <c r="CQ246" i="1"/>
  <c r="CP246" i="1"/>
  <c r="BT246" i="1"/>
  <c r="BG246" i="1"/>
  <c r="BE246" i="1"/>
  <c r="BD246" i="1"/>
  <c r="AZ246" i="1"/>
  <c r="AY246" i="1"/>
  <c r="AX246" i="1"/>
  <c r="AW246" i="1"/>
  <c r="AV246" i="1"/>
  <c r="AU246" i="1"/>
  <c r="AG246" i="1"/>
  <c r="AE246" i="1"/>
  <c r="Q246" i="1"/>
  <c r="N246" i="1"/>
  <c r="I246" i="1"/>
  <c r="FY245" i="1"/>
  <c r="FX245" i="1"/>
  <c r="FT245" i="1"/>
  <c r="FJ245" i="1"/>
  <c r="FD245" i="1"/>
  <c r="FB245" i="1"/>
  <c r="EV245" i="1"/>
  <c r="EN245" i="1"/>
  <c r="EK245" i="1"/>
  <c r="EI245" i="1"/>
  <c r="EH245" i="1"/>
  <c r="EF245" i="1"/>
  <c r="EE245" i="1"/>
  <c r="ED245" i="1"/>
  <c r="EA245" i="1"/>
  <c r="DY245" i="1"/>
  <c r="DP245" i="1"/>
  <c r="DN245" i="1"/>
  <c r="DD245" i="1"/>
  <c r="CY245" i="1"/>
  <c r="CV245" i="1"/>
  <c r="CQ245" i="1"/>
  <c r="CP245" i="1"/>
  <c r="CA245" i="1"/>
  <c r="BY245" i="1"/>
  <c r="BQ245" i="1"/>
  <c r="BO245" i="1"/>
  <c r="BD245" i="1"/>
  <c r="BB245" i="1"/>
  <c r="AZ245" i="1"/>
  <c r="AY245" i="1"/>
  <c r="AW245" i="1"/>
  <c r="AV245" i="1"/>
  <c r="AU245" i="1"/>
  <c r="AR245" i="1"/>
  <c r="AP245" i="1"/>
  <c r="AG245" i="1"/>
  <c r="AE245" i="1"/>
  <c r="V245" i="1"/>
  <c r="Q245" i="1"/>
  <c r="N245" i="1"/>
  <c r="I245" i="1"/>
  <c r="FY244" i="1"/>
  <c r="FV244" i="1"/>
  <c r="FS244" i="1"/>
  <c r="FO244" i="1"/>
  <c r="FN244" i="1"/>
  <c r="FM244" i="1"/>
  <c r="FJ244" i="1"/>
  <c r="FG244" i="1"/>
  <c r="EW244" i="1"/>
  <c r="CS244" i="1"/>
  <c r="CR244" i="1"/>
  <c r="CQ244" i="1"/>
  <c r="CN244" i="1"/>
  <c r="CL244" i="1"/>
  <c r="CI244" i="1"/>
  <c r="CH244" i="1"/>
  <c r="CG244" i="1"/>
  <c r="BW244" i="1"/>
  <c r="K244" i="1"/>
  <c r="J244" i="1"/>
  <c r="I244" i="1"/>
  <c r="H244" i="1"/>
  <c r="FY243" i="1"/>
  <c r="FT243" i="1"/>
  <c r="FJ243" i="1"/>
  <c r="EU243" i="1"/>
  <c r="ET243" i="1"/>
  <c r="EP243" i="1"/>
  <c r="EN243" i="1"/>
  <c r="EK243" i="1"/>
  <c r="ED243" i="1"/>
  <c r="DN243" i="1"/>
  <c r="CV243" i="1"/>
  <c r="CQ243" i="1"/>
  <c r="BJ243" i="1"/>
  <c r="BI243" i="1"/>
  <c r="BF243" i="1"/>
  <c r="BD243" i="1"/>
  <c r="BB243" i="1"/>
  <c r="AU243" i="1"/>
  <c r="AE243" i="1"/>
  <c r="N243" i="1"/>
  <c r="I243" i="1"/>
  <c r="FY242" i="1"/>
  <c r="FX242" i="1"/>
  <c r="FT242" i="1"/>
  <c r="FJ242" i="1"/>
  <c r="FC242" i="1"/>
  <c r="FB242" i="1"/>
  <c r="EN242" i="1"/>
  <c r="EK242" i="1"/>
  <c r="EI242" i="1"/>
  <c r="EH242" i="1"/>
  <c r="EF242" i="1"/>
  <c r="ED242" i="1"/>
  <c r="EA242" i="1"/>
  <c r="DY242" i="1"/>
  <c r="DP242" i="1"/>
  <c r="DN242" i="1"/>
  <c r="DE242" i="1"/>
  <c r="CY242" i="1"/>
  <c r="CV242" i="1"/>
  <c r="CQ242" i="1"/>
  <c r="CP242" i="1"/>
  <c r="CA242" i="1"/>
  <c r="BY242" i="1"/>
  <c r="BV242" i="1"/>
  <c r="BU242" i="1"/>
  <c r="BT242" i="1"/>
  <c r="BS242" i="1"/>
  <c r="BP242" i="1"/>
  <c r="BO242" i="1"/>
  <c r="BD242" i="1"/>
  <c r="BB242" i="1"/>
  <c r="AZ242" i="1"/>
  <c r="AY242" i="1"/>
  <c r="AW242" i="1"/>
  <c r="AU242" i="1"/>
  <c r="AR242" i="1"/>
  <c r="AP242" i="1"/>
  <c r="AG242" i="1"/>
  <c r="AE242" i="1"/>
  <c r="W242" i="1"/>
  <c r="Q242" i="1"/>
  <c r="N242" i="1"/>
  <c r="I242" i="1"/>
  <c r="FY241" i="1"/>
  <c r="FX241" i="1"/>
  <c r="FT241" i="1"/>
  <c r="FI241" i="1"/>
  <c r="EN241" i="1"/>
  <c r="ED241" i="1"/>
  <c r="DY241" i="1"/>
  <c r="CV241" i="1"/>
  <c r="CQ241" i="1"/>
  <c r="CP241" i="1"/>
  <c r="CD241" i="1"/>
  <c r="CC241" i="1"/>
  <c r="BW241" i="1"/>
  <c r="BD241" i="1"/>
  <c r="AU241" i="1"/>
  <c r="AP241" i="1"/>
  <c r="N241" i="1"/>
  <c r="I241" i="1"/>
  <c r="FY240" i="1"/>
  <c r="FX240" i="1"/>
  <c r="FV240" i="1"/>
  <c r="FS240" i="1"/>
  <c r="FP240" i="1"/>
  <c r="FO240" i="1"/>
  <c r="FN240" i="1"/>
  <c r="FM240" i="1"/>
  <c r="FL240" i="1"/>
  <c r="CS240" i="1"/>
  <c r="CR240" i="1"/>
  <c r="CQ240" i="1"/>
  <c r="CP240" i="1"/>
  <c r="CN240" i="1"/>
  <c r="CL240" i="1"/>
  <c r="CJ240" i="1"/>
  <c r="CI240" i="1"/>
  <c r="CH240" i="1"/>
  <c r="CG240" i="1"/>
  <c r="CF240" i="1"/>
  <c r="K240" i="1"/>
  <c r="J240" i="1"/>
  <c r="I240" i="1"/>
  <c r="H240" i="1"/>
  <c r="CQ239" i="1"/>
  <c r="CC239" i="1"/>
  <c r="BW239" i="1"/>
  <c r="FY238" i="1"/>
  <c r="FX238" i="1"/>
  <c r="FV238" i="1"/>
  <c r="FO238" i="1"/>
  <c r="FN238" i="1"/>
  <c r="FJ238" i="1"/>
  <c r="DM238" i="1"/>
  <c r="DL238" i="1"/>
  <c r="DK238" i="1"/>
  <c r="CR238" i="1"/>
  <c r="CQ238" i="1"/>
  <c r="CP238" i="1"/>
  <c r="CN238" i="1"/>
  <c r="CI238" i="1"/>
  <c r="CH238" i="1"/>
  <c r="BW238" i="1"/>
  <c r="BC238" i="1"/>
  <c r="AD238" i="1"/>
  <c r="AC238" i="1"/>
  <c r="AB238" i="1"/>
  <c r="J238" i="1"/>
  <c r="I238" i="1"/>
  <c r="H238" i="1"/>
  <c r="FY237" i="1"/>
  <c r="FV237" i="1"/>
  <c r="FS237" i="1"/>
  <c r="FP237" i="1"/>
  <c r="FO237" i="1"/>
  <c r="FN237" i="1"/>
  <c r="FM237" i="1"/>
  <c r="FJ237" i="1"/>
  <c r="FG237" i="1"/>
  <c r="EW237" i="1"/>
  <c r="CS237" i="1"/>
  <c r="CR237" i="1"/>
  <c r="CQ237" i="1"/>
  <c r="CN237" i="1"/>
  <c r="CL237" i="1"/>
  <c r="CJ237" i="1"/>
  <c r="CI237" i="1"/>
  <c r="CH237" i="1"/>
  <c r="CG237" i="1"/>
  <c r="BW237" i="1"/>
  <c r="K237" i="1"/>
  <c r="J237" i="1"/>
  <c r="I237" i="1"/>
  <c r="H237" i="1"/>
  <c r="FY236" i="1"/>
  <c r="FV236" i="1"/>
  <c r="FN236" i="1"/>
  <c r="FM236" i="1"/>
  <c r="FJ236" i="1"/>
  <c r="DZ236" i="1"/>
  <c r="CR236" i="1"/>
  <c r="CQ236" i="1"/>
  <c r="CN236" i="1"/>
  <c r="CI236" i="1"/>
  <c r="CH236" i="1"/>
  <c r="CG236" i="1"/>
  <c r="CF236" i="1"/>
  <c r="BW236" i="1"/>
  <c r="AQ236" i="1"/>
  <c r="J236" i="1"/>
  <c r="I236" i="1"/>
  <c r="H236" i="1"/>
  <c r="FY235" i="1"/>
  <c r="FT235" i="1"/>
  <c r="FJ235" i="1"/>
  <c r="EH235" i="1"/>
  <c r="EF235" i="1"/>
  <c r="ED235" i="1"/>
  <c r="CW235" i="1"/>
  <c r="CU235" i="1"/>
  <c r="CT235" i="1"/>
  <c r="CQ235" i="1"/>
  <c r="AY235" i="1"/>
  <c r="AW235" i="1"/>
  <c r="AU235" i="1"/>
  <c r="O235" i="1"/>
  <c r="M235" i="1"/>
  <c r="L235" i="1"/>
  <c r="I235" i="1"/>
  <c r="FY234" i="1"/>
  <c r="FT234" i="1"/>
  <c r="FJ234" i="1"/>
  <c r="FD234" i="1"/>
  <c r="FB234" i="1"/>
  <c r="EN234" i="1"/>
  <c r="EH234" i="1"/>
  <c r="EF234" i="1"/>
  <c r="ED234" i="1"/>
  <c r="EA234" i="1"/>
  <c r="DY234" i="1"/>
  <c r="DP234" i="1"/>
  <c r="DN234" i="1"/>
  <c r="DE234" i="1"/>
  <c r="DD234" i="1"/>
  <c r="CY234" i="1"/>
  <c r="CV234" i="1"/>
  <c r="CQ234" i="1"/>
  <c r="BQ234" i="1"/>
  <c r="BO234" i="1"/>
  <c r="BD234" i="1"/>
  <c r="AY234" i="1"/>
  <c r="AW234" i="1"/>
  <c r="AU234" i="1"/>
  <c r="AR234" i="1"/>
  <c r="AP234" i="1"/>
  <c r="AG234" i="1"/>
  <c r="AE234" i="1"/>
  <c r="W234" i="1"/>
  <c r="V234" i="1"/>
  <c r="Q234" i="1"/>
  <c r="N234" i="1"/>
  <c r="I234" i="1"/>
  <c r="FY233" i="1"/>
  <c r="FT233" i="1"/>
  <c r="FJ233" i="1"/>
  <c r="FF233" i="1"/>
  <c r="EO233" i="1"/>
  <c r="EN233" i="1"/>
  <c r="EK233" i="1"/>
  <c r="EH233" i="1"/>
  <c r="EF233" i="1"/>
  <c r="ED233" i="1"/>
  <c r="EA233" i="1"/>
  <c r="DY233" i="1"/>
  <c r="DP233" i="1"/>
  <c r="DN233" i="1"/>
  <c r="DD233" i="1"/>
  <c r="CY233" i="1"/>
  <c r="CV233" i="1"/>
  <c r="CQ233" i="1"/>
  <c r="CA233" i="1"/>
  <c r="BY233" i="1"/>
  <c r="BW233" i="1"/>
  <c r="BU233" i="1"/>
  <c r="BS233" i="1"/>
  <c r="BE233" i="1"/>
  <c r="BD233" i="1"/>
  <c r="BB233" i="1"/>
  <c r="AY233" i="1"/>
  <c r="AW233" i="1"/>
  <c r="AU233" i="1"/>
  <c r="AR233" i="1"/>
  <c r="AP233" i="1"/>
  <c r="AG233" i="1"/>
  <c r="AE233" i="1"/>
  <c r="V233" i="1"/>
  <c r="Q233" i="1"/>
  <c r="N233" i="1"/>
  <c r="I233" i="1"/>
  <c r="FY232" i="1"/>
  <c r="FX232" i="1"/>
  <c r="FT232" i="1"/>
  <c r="FJ232" i="1"/>
  <c r="EO232" i="1"/>
  <c r="EK232" i="1"/>
  <c r="EI232" i="1"/>
  <c r="EH232" i="1"/>
  <c r="EF232" i="1"/>
  <c r="ED232" i="1"/>
  <c r="DY232" i="1"/>
  <c r="CY232" i="1"/>
  <c r="CV232" i="1"/>
  <c r="CQ232" i="1"/>
  <c r="CP232" i="1"/>
  <c r="CA232" i="1"/>
  <c r="BE232" i="1"/>
  <c r="BB232" i="1"/>
  <c r="AZ232" i="1"/>
  <c r="AY232" i="1"/>
  <c r="AW232" i="1"/>
  <c r="AU232" i="1"/>
  <c r="AP232" i="1"/>
  <c r="Q232" i="1"/>
  <c r="N232" i="1"/>
  <c r="I232" i="1"/>
  <c r="FY231" i="1"/>
  <c r="FX231" i="1"/>
  <c r="FT231" i="1"/>
  <c r="FJ231" i="1"/>
  <c r="EV231" i="1"/>
  <c r="EO231" i="1"/>
  <c r="EN231" i="1"/>
  <c r="EH231" i="1"/>
  <c r="EF231" i="1"/>
  <c r="ED231" i="1"/>
  <c r="EA231" i="1"/>
  <c r="DY231" i="1"/>
  <c r="DN231" i="1"/>
  <c r="DE231" i="1"/>
  <c r="CY231" i="1"/>
  <c r="CV231" i="1"/>
  <c r="CQ231" i="1"/>
  <c r="CP231" i="1"/>
  <c r="BE231" i="1"/>
  <c r="BD231" i="1"/>
  <c r="AY231" i="1"/>
  <c r="AW231" i="1"/>
  <c r="AU231" i="1"/>
  <c r="AR231" i="1"/>
  <c r="AP231" i="1"/>
  <c r="AE231" i="1"/>
  <c r="W231" i="1"/>
  <c r="Q231" i="1"/>
  <c r="N231" i="1"/>
  <c r="I231" i="1"/>
  <c r="FY230" i="1"/>
  <c r="CR230" i="1"/>
  <c r="CQ230" i="1"/>
  <c r="J230" i="1"/>
  <c r="I230" i="1"/>
  <c r="H230" i="1"/>
  <c r="FY229" i="1"/>
  <c r="FX229" i="1"/>
  <c r="FV229" i="1"/>
  <c r="FN229" i="1"/>
  <c r="FM229" i="1"/>
  <c r="FJ229" i="1"/>
  <c r="DX229" i="1"/>
  <c r="CR229" i="1"/>
  <c r="CQ229" i="1"/>
  <c r="CP229" i="1"/>
  <c r="CN229" i="1"/>
  <c r="CI229" i="1"/>
  <c r="CH229" i="1"/>
  <c r="CG229" i="1"/>
  <c r="BW229" i="1"/>
  <c r="AO229" i="1"/>
  <c r="J229" i="1"/>
  <c r="I229" i="1"/>
  <c r="H229" i="1"/>
  <c r="FY228" i="1"/>
  <c r="FT228" i="1"/>
  <c r="FJ228" i="1"/>
  <c r="FB228" i="1"/>
  <c r="EN228" i="1"/>
  <c r="EK228" i="1"/>
  <c r="EH228" i="1"/>
  <c r="EF228" i="1"/>
  <c r="ED228" i="1"/>
  <c r="DP228" i="1"/>
  <c r="DN228" i="1"/>
  <c r="CY228" i="1"/>
  <c r="CV228" i="1"/>
  <c r="CQ228" i="1"/>
  <c r="BZ228" i="1"/>
  <c r="BW228" i="1"/>
  <c r="BO228" i="1"/>
  <c r="BD228" i="1"/>
  <c r="BB228" i="1"/>
  <c r="AY228" i="1"/>
  <c r="AW228" i="1"/>
  <c r="AU228" i="1"/>
  <c r="AG228" i="1"/>
  <c r="AE228" i="1"/>
  <c r="Q228" i="1"/>
  <c r="N228" i="1"/>
  <c r="I228" i="1"/>
  <c r="FY227" i="1"/>
  <c r="CR227" i="1"/>
  <c r="CQ227" i="1"/>
  <c r="J227" i="1"/>
  <c r="I227" i="1"/>
  <c r="H227" i="1"/>
  <c r="FY226" i="1"/>
  <c r="FX226" i="1"/>
  <c r="FT226" i="1"/>
  <c r="FJ226" i="1"/>
  <c r="FE226" i="1"/>
  <c r="FD226" i="1"/>
  <c r="EO226" i="1"/>
  <c r="EN226" i="1"/>
  <c r="EG226" i="1"/>
  <c r="EF226" i="1"/>
  <c r="ED226" i="1"/>
  <c r="EA226" i="1"/>
  <c r="DY226" i="1"/>
  <c r="DP226" i="1"/>
  <c r="DN226" i="1"/>
  <c r="DD226" i="1"/>
  <c r="CY226" i="1"/>
  <c r="CV226" i="1"/>
  <c r="CQ226" i="1"/>
  <c r="CP226" i="1"/>
  <c r="CA226" i="1"/>
  <c r="BY226" i="1"/>
  <c r="BR226" i="1"/>
  <c r="BQ226" i="1"/>
  <c r="BE226" i="1"/>
  <c r="BD226" i="1"/>
  <c r="AX226" i="1"/>
  <c r="AW226" i="1"/>
  <c r="AU226" i="1"/>
  <c r="AR226" i="1"/>
  <c r="AP226" i="1"/>
  <c r="AG226" i="1"/>
  <c r="AE226" i="1"/>
  <c r="V226" i="1"/>
  <c r="Q226" i="1"/>
  <c r="N226" i="1"/>
  <c r="I226" i="1"/>
  <c r="FY225" i="1"/>
  <c r="FV225" i="1"/>
  <c r="FN225" i="1"/>
  <c r="FM225" i="1"/>
  <c r="FJ225" i="1"/>
  <c r="CS225" i="1"/>
  <c r="CR225" i="1"/>
  <c r="CQ225" i="1"/>
  <c r="CN225" i="1"/>
  <c r="CH225" i="1"/>
  <c r="CG225" i="1"/>
  <c r="K225" i="1"/>
  <c r="J225" i="1"/>
  <c r="I225" i="1"/>
  <c r="H225" i="1"/>
  <c r="FY224" i="1"/>
  <c r="FT224" i="1"/>
  <c r="FJ224" i="1"/>
  <c r="EN224" i="1"/>
  <c r="EK224" i="1"/>
  <c r="EH224" i="1"/>
  <c r="EF224" i="1"/>
  <c r="ED224" i="1"/>
  <c r="DH224" i="1"/>
  <c r="CY224" i="1"/>
  <c r="CV224" i="1"/>
  <c r="CQ224" i="1"/>
  <c r="CA224" i="1"/>
  <c r="BX224" i="1"/>
  <c r="BT224" i="1"/>
  <c r="BS224" i="1"/>
  <c r="BD224" i="1"/>
  <c r="BB224" i="1"/>
  <c r="AY224" i="1"/>
  <c r="AW224" i="1"/>
  <c r="AU224" i="1"/>
  <c r="Z224" i="1"/>
  <c r="Q224" i="1"/>
  <c r="N224" i="1"/>
  <c r="I224" i="1"/>
  <c r="FY223" i="1"/>
  <c r="FV223" i="1"/>
  <c r="FO223" i="1"/>
  <c r="FN223" i="1"/>
  <c r="FM223" i="1"/>
  <c r="FJ223" i="1"/>
  <c r="FG223" i="1"/>
  <c r="DV223" i="1"/>
  <c r="CR223" i="1"/>
  <c r="CQ223" i="1"/>
  <c r="CN223" i="1"/>
  <c r="CI223" i="1"/>
  <c r="CH223" i="1"/>
  <c r="CG223" i="1"/>
  <c r="BW223" i="1"/>
  <c r="AM223" i="1"/>
  <c r="J223" i="1"/>
  <c r="I223" i="1"/>
  <c r="H223" i="1"/>
  <c r="FY222" i="1"/>
  <c r="FT222" i="1"/>
  <c r="FJ222" i="1"/>
  <c r="EN222" i="1"/>
  <c r="EK222" i="1"/>
  <c r="EI222" i="1"/>
  <c r="EH222" i="1"/>
  <c r="EF222" i="1"/>
  <c r="EE222" i="1"/>
  <c r="ED222" i="1"/>
  <c r="EA222" i="1"/>
  <c r="DY222" i="1"/>
  <c r="DG222" i="1"/>
  <c r="DF222" i="1"/>
  <c r="DE222" i="1"/>
  <c r="DD222" i="1"/>
  <c r="CY222" i="1"/>
  <c r="CV222" i="1"/>
  <c r="CQ222" i="1"/>
  <c r="BY222" i="1"/>
  <c r="BD222" i="1"/>
  <c r="BB222" i="1"/>
  <c r="AZ222" i="1"/>
  <c r="AY222" i="1"/>
  <c r="AW222" i="1"/>
  <c r="AV222" i="1"/>
  <c r="AU222" i="1"/>
  <c r="AR222" i="1"/>
  <c r="AP222" i="1"/>
  <c r="Y222" i="1"/>
  <c r="X222" i="1"/>
  <c r="W222" i="1"/>
  <c r="V222" i="1"/>
  <c r="Q222" i="1"/>
  <c r="N222" i="1"/>
  <c r="I222" i="1"/>
  <c r="FY221" i="1"/>
  <c r="FV221" i="1"/>
  <c r="FO221" i="1"/>
  <c r="FN221" i="1"/>
  <c r="FM221" i="1"/>
  <c r="FJ221" i="1"/>
  <c r="FG221" i="1"/>
  <c r="CS221" i="1"/>
  <c r="CR221" i="1"/>
  <c r="CQ221" i="1"/>
  <c r="CN221" i="1"/>
  <c r="CI221" i="1"/>
  <c r="CH221" i="1"/>
  <c r="CG221" i="1"/>
  <c r="BW221" i="1"/>
  <c r="K221" i="1"/>
  <c r="J221" i="1"/>
  <c r="I221" i="1"/>
  <c r="H221" i="1"/>
  <c r="FY220" i="1"/>
  <c r="FV220" i="1"/>
  <c r="FS220" i="1"/>
  <c r="FO220" i="1"/>
  <c r="FN220" i="1"/>
  <c r="FM220" i="1"/>
  <c r="FJ220" i="1"/>
  <c r="FG220" i="1"/>
  <c r="ER220" i="1"/>
  <c r="CS220" i="1"/>
  <c r="CR220" i="1"/>
  <c r="CQ220" i="1"/>
  <c r="CN220" i="1"/>
  <c r="CL220" i="1"/>
  <c r="CI220" i="1"/>
  <c r="CH220" i="1"/>
  <c r="CG220" i="1"/>
  <c r="BW220" i="1"/>
  <c r="K220" i="1"/>
  <c r="J220" i="1"/>
  <c r="I220" i="1"/>
  <c r="H220" i="1"/>
  <c r="FY219" i="1"/>
  <c r="FV219" i="1"/>
  <c r="FS219" i="1"/>
  <c r="FO219" i="1"/>
  <c r="FN219" i="1"/>
  <c r="FJ219" i="1"/>
  <c r="FG219" i="1"/>
  <c r="CR219" i="1"/>
  <c r="CQ219" i="1"/>
  <c r="CN219" i="1"/>
  <c r="CL219" i="1"/>
  <c r="CI219" i="1"/>
  <c r="CH219" i="1"/>
  <c r="BW219" i="1"/>
  <c r="J219" i="1"/>
  <c r="I219" i="1"/>
  <c r="H219" i="1"/>
  <c r="FY218" i="1"/>
  <c r="FT218" i="1"/>
  <c r="FJ218" i="1"/>
  <c r="EK218" i="1"/>
  <c r="EH218" i="1"/>
  <c r="EF218" i="1"/>
  <c r="ED218" i="1"/>
  <c r="DA218" i="1"/>
  <c r="CZ218" i="1"/>
  <c r="CX218" i="1"/>
  <c r="CW218" i="1"/>
  <c r="CQ218" i="1"/>
  <c r="CA218" i="1"/>
  <c r="BY218" i="1"/>
  <c r="BT218" i="1"/>
  <c r="BS218" i="1"/>
  <c r="BB218" i="1"/>
  <c r="AY218" i="1"/>
  <c r="AW218" i="1"/>
  <c r="AU218" i="1"/>
  <c r="S218" i="1"/>
  <c r="R218" i="1"/>
  <c r="P218" i="1"/>
  <c r="O218" i="1"/>
  <c r="I218" i="1"/>
  <c r="FY217" i="1"/>
  <c r="FV217" i="1"/>
  <c r="FN217" i="1"/>
  <c r="FM217" i="1"/>
  <c r="FJ217" i="1"/>
  <c r="DM217" i="1"/>
  <c r="DL217" i="1"/>
  <c r="DK217" i="1"/>
  <c r="CR217" i="1"/>
  <c r="CQ217" i="1"/>
  <c r="CN217" i="1"/>
  <c r="CI217" i="1"/>
  <c r="CH217" i="1"/>
  <c r="CG217" i="1"/>
  <c r="BW217" i="1"/>
  <c r="AD217" i="1"/>
  <c r="AC217" i="1"/>
  <c r="AB217" i="1"/>
  <c r="J217" i="1"/>
  <c r="I217" i="1"/>
  <c r="H217" i="1"/>
  <c r="FY216" i="1"/>
  <c r="FX216" i="1"/>
  <c r="FT216" i="1"/>
  <c r="FJ216" i="1"/>
  <c r="FF216" i="1"/>
  <c r="FE216" i="1"/>
  <c r="EO216" i="1"/>
  <c r="EN216" i="1"/>
  <c r="EK216" i="1"/>
  <c r="EI216" i="1"/>
  <c r="EH216" i="1"/>
  <c r="EF216" i="1"/>
  <c r="EE216" i="1"/>
  <c r="ED216" i="1"/>
  <c r="EA216" i="1"/>
  <c r="DY216" i="1"/>
  <c r="DP216" i="1"/>
  <c r="DN216" i="1"/>
  <c r="DE216" i="1"/>
  <c r="CY216" i="1"/>
  <c r="CV216" i="1"/>
  <c r="CQ216" i="1"/>
  <c r="CP216" i="1"/>
  <c r="CC216" i="1"/>
  <c r="CA216" i="1"/>
  <c r="BX216" i="1"/>
  <c r="BW216" i="1"/>
  <c r="BV216" i="1"/>
  <c r="BU216" i="1"/>
  <c r="BS216" i="1"/>
  <c r="BR216" i="1"/>
  <c r="BE216" i="1"/>
  <c r="BD216" i="1"/>
  <c r="BB216" i="1"/>
  <c r="AZ216" i="1"/>
  <c r="AY216" i="1"/>
  <c r="AW216" i="1"/>
  <c r="AV216" i="1"/>
  <c r="AU216" i="1"/>
  <c r="AR216" i="1"/>
  <c r="AP216" i="1"/>
  <c r="AG216" i="1"/>
  <c r="AE216" i="1"/>
  <c r="W216" i="1"/>
  <c r="Q216" i="1"/>
  <c r="N216" i="1"/>
  <c r="I216" i="1"/>
  <c r="H216" i="1"/>
  <c r="FY215" i="1"/>
  <c r="FV215" i="1"/>
  <c r="FN215" i="1"/>
  <c r="FM215" i="1"/>
  <c r="FJ215" i="1"/>
  <c r="FG215" i="1"/>
  <c r="DM215" i="1"/>
  <c r="CR215" i="1"/>
  <c r="CQ215" i="1"/>
  <c r="CN215" i="1"/>
  <c r="CI215" i="1"/>
  <c r="CH215" i="1"/>
  <c r="CG215" i="1"/>
  <c r="BW215" i="1"/>
  <c r="AD215" i="1"/>
  <c r="J215" i="1"/>
  <c r="I215" i="1"/>
  <c r="H215" i="1"/>
  <c r="FY214" i="1"/>
  <c r="FT214" i="1"/>
  <c r="FJ214" i="1"/>
  <c r="FD214" i="1"/>
  <c r="FC214" i="1"/>
  <c r="FB214" i="1"/>
  <c r="EO214" i="1"/>
  <c r="EN214" i="1"/>
  <c r="EK214" i="1"/>
  <c r="EI214" i="1"/>
  <c r="EH214" i="1"/>
  <c r="EG214" i="1"/>
  <c r="EF214" i="1"/>
  <c r="ED214" i="1"/>
  <c r="EA214" i="1"/>
  <c r="DY214" i="1"/>
  <c r="DP214" i="1"/>
  <c r="DN214" i="1"/>
  <c r="DG214" i="1"/>
  <c r="DF214" i="1"/>
  <c r="DE214" i="1"/>
  <c r="DD214" i="1"/>
  <c r="DC214" i="1"/>
  <c r="CY214" i="1"/>
  <c r="CV214" i="1"/>
  <c r="CQ214" i="1"/>
  <c r="CA214" i="1"/>
  <c r="BY214" i="1"/>
  <c r="BT214" i="1"/>
  <c r="BQ214" i="1"/>
  <c r="BP214" i="1"/>
  <c r="BO214" i="1"/>
  <c r="BE214" i="1"/>
  <c r="BD214" i="1"/>
  <c r="BB214" i="1"/>
  <c r="AZ214" i="1"/>
  <c r="AY214" i="1"/>
  <c r="AX214" i="1"/>
  <c r="AW214" i="1"/>
  <c r="AU214" i="1"/>
  <c r="AR214" i="1"/>
  <c r="AP214" i="1"/>
  <c r="AG214" i="1"/>
  <c r="AE214" i="1"/>
  <c r="Y214" i="1"/>
  <c r="X214" i="1"/>
  <c r="W214" i="1"/>
  <c r="V214" i="1"/>
  <c r="U214" i="1"/>
  <c r="Q214" i="1"/>
  <c r="N214" i="1"/>
  <c r="I214" i="1"/>
  <c r="FY213" i="1"/>
  <c r="FN213" i="1"/>
  <c r="FJ213" i="1"/>
  <c r="CS213" i="1"/>
  <c r="CR213" i="1"/>
  <c r="CQ213" i="1"/>
  <c r="CH213" i="1"/>
  <c r="K213" i="1"/>
  <c r="J213" i="1"/>
  <c r="I213" i="1"/>
  <c r="H213" i="1"/>
  <c r="FY212" i="1"/>
  <c r="FX212" i="1"/>
  <c r="FT212" i="1"/>
  <c r="FJ212" i="1"/>
  <c r="FE212" i="1"/>
  <c r="FD212" i="1"/>
  <c r="FB212" i="1"/>
  <c r="EQ212" i="1"/>
  <c r="EO212" i="1"/>
  <c r="EN212" i="1"/>
  <c r="EF212" i="1"/>
  <c r="ED212" i="1"/>
  <c r="EA212" i="1"/>
  <c r="DY212" i="1"/>
  <c r="DP212" i="1"/>
  <c r="DN212" i="1"/>
  <c r="DG212" i="1"/>
  <c r="DF212" i="1"/>
  <c r="DD212" i="1"/>
  <c r="CY212" i="1"/>
  <c r="CV212" i="1"/>
  <c r="CQ212" i="1"/>
  <c r="CP212" i="1"/>
  <c r="BR212" i="1"/>
  <c r="BQ212" i="1"/>
  <c r="BO212" i="1"/>
  <c r="BG212" i="1"/>
  <c r="BE212" i="1"/>
  <c r="BD212" i="1"/>
  <c r="AW212" i="1"/>
  <c r="AU212" i="1"/>
  <c r="AR212" i="1"/>
  <c r="AP212" i="1"/>
  <c r="AG212" i="1"/>
  <c r="AE212" i="1"/>
  <c r="Y212" i="1"/>
  <c r="X212" i="1"/>
  <c r="V212" i="1"/>
  <c r="Q212" i="1"/>
  <c r="N212" i="1"/>
  <c r="I212" i="1"/>
  <c r="FY211" i="1"/>
  <c r="FT211" i="1"/>
  <c r="FJ211" i="1"/>
  <c r="FD211" i="1"/>
  <c r="FB211" i="1"/>
  <c r="EO211" i="1"/>
  <c r="EN211" i="1"/>
  <c r="EK211" i="1"/>
  <c r="EH211" i="1"/>
  <c r="EF211" i="1"/>
  <c r="EE211" i="1"/>
  <c r="ED211" i="1"/>
  <c r="EA211" i="1"/>
  <c r="DY211" i="1"/>
  <c r="DP211" i="1"/>
  <c r="DN211" i="1"/>
  <c r="DE211" i="1"/>
  <c r="DD211" i="1"/>
  <c r="CY211" i="1"/>
  <c r="CV211" i="1"/>
  <c r="CQ211" i="1"/>
  <c r="CA211" i="1"/>
  <c r="BY211" i="1"/>
  <c r="BT211" i="1"/>
  <c r="BQ211" i="1"/>
  <c r="BO211" i="1"/>
  <c r="BE211" i="1"/>
  <c r="BD211" i="1"/>
  <c r="BB211" i="1"/>
  <c r="AY211" i="1"/>
  <c r="AW211" i="1"/>
  <c r="AV211" i="1"/>
  <c r="AU211" i="1"/>
  <c r="AR211" i="1"/>
  <c r="AP211" i="1"/>
  <c r="AG211" i="1"/>
  <c r="AE211" i="1"/>
  <c r="W211" i="1"/>
  <c r="V211" i="1"/>
  <c r="Q211" i="1"/>
  <c r="N211" i="1"/>
  <c r="I211" i="1"/>
  <c r="FY210" i="1"/>
  <c r="FV210" i="1"/>
  <c r="FO210" i="1"/>
  <c r="FN210" i="1"/>
  <c r="FM210" i="1"/>
  <c r="FL210" i="1"/>
  <c r="FJ210" i="1"/>
  <c r="DW210" i="1"/>
  <c r="CR210" i="1"/>
  <c r="CQ210" i="1"/>
  <c r="CN210" i="1"/>
  <c r="CK210" i="1"/>
  <c r="CI210" i="1"/>
  <c r="CH210" i="1"/>
  <c r="CG210" i="1"/>
  <c r="CF210" i="1"/>
  <c r="BW210" i="1"/>
  <c r="AN210" i="1"/>
  <c r="J210" i="1"/>
  <c r="I210" i="1"/>
  <c r="H210" i="1"/>
  <c r="FY209" i="1"/>
  <c r="FX209" i="1"/>
  <c r="FT209" i="1"/>
  <c r="FJ209" i="1"/>
  <c r="EN209" i="1"/>
  <c r="EI209" i="1"/>
  <c r="EH209" i="1"/>
  <c r="EF209" i="1"/>
  <c r="ED209" i="1"/>
  <c r="CY209" i="1"/>
  <c r="CV209" i="1"/>
  <c r="CQ209" i="1"/>
  <c r="CP209" i="1"/>
  <c r="CA209" i="1"/>
  <c r="BY209" i="1"/>
  <c r="BT209" i="1"/>
  <c r="BS209" i="1"/>
  <c r="BD209" i="1"/>
  <c r="AZ209" i="1"/>
  <c r="AY209" i="1"/>
  <c r="AW209" i="1"/>
  <c r="AU209" i="1"/>
  <c r="Q209" i="1"/>
  <c r="N209" i="1"/>
  <c r="I209" i="1"/>
  <c r="FY208" i="1"/>
  <c r="FV208" i="1"/>
  <c r="FN208" i="1"/>
  <c r="FM208" i="1"/>
  <c r="FJ208" i="1"/>
  <c r="DM208" i="1"/>
  <c r="DL208" i="1"/>
  <c r="DK208" i="1"/>
  <c r="CR208" i="1"/>
  <c r="CQ208" i="1"/>
  <c r="CN208" i="1"/>
  <c r="CI208" i="1"/>
  <c r="CH208" i="1"/>
  <c r="CG208" i="1"/>
  <c r="BW208" i="1"/>
  <c r="BC208" i="1"/>
  <c r="AD208" i="1"/>
  <c r="AC208" i="1"/>
  <c r="AB208" i="1"/>
  <c r="J208" i="1"/>
  <c r="I208" i="1"/>
  <c r="H208" i="1"/>
  <c r="FY207" i="1"/>
  <c r="FT207" i="1"/>
  <c r="FJ207" i="1"/>
  <c r="EO207" i="1"/>
  <c r="EN207" i="1"/>
  <c r="EK207" i="1"/>
  <c r="EH207" i="1"/>
  <c r="EG207" i="1"/>
  <c r="EF207" i="1"/>
  <c r="ED207" i="1"/>
  <c r="EA207" i="1"/>
  <c r="DY207" i="1"/>
  <c r="DP207" i="1"/>
  <c r="DN207" i="1"/>
  <c r="DF207" i="1"/>
  <c r="DE207" i="1"/>
  <c r="DD207" i="1"/>
  <c r="CY207" i="1"/>
  <c r="CV207" i="1"/>
  <c r="CQ207" i="1"/>
  <c r="CA207" i="1"/>
  <c r="BY207" i="1"/>
  <c r="BT207" i="1"/>
  <c r="BE207" i="1"/>
  <c r="BD207" i="1"/>
  <c r="BB207" i="1"/>
  <c r="AY207" i="1"/>
  <c r="AX207" i="1"/>
  <c r="AW207" i="1"/>
  <c r="AU207" i="1"/>
  <c r="AR207" i="1"/>
  <c r="AP207" i="1"/>
  <c r="AG207" i="1"/>
  <c r="AE207" i="1"/>
  <c r="X207" i="1"/>
  <c r="W207" i="1"/>
  <c r="V207" i="1"/>
  <c r="Q207" i="1"/>
  <c r="N207" i="1"/>
  <c r="I207" i="1"/>
  <c r="FY206" i="1"/>
  <c r="FT206" i="1"/>
  <c r="FJ206" i="1"/>
  <c r="FF206" i="1"/>
  <c r="ER206" i="1"/>
  <c r="EN206" i="1"/>
  <c r="EK206" i="1"/>
  <c r="EH206" i="1"/>
  <c r="EG206" i="1"/>
  <c r="EF206" i="1"/>
  <c r="ED206" i="1"/>
  <c r="EA206" i="1"/>
  <c r="DY206" i="1"/>
  <c r="DP206" i="1"/>
  <c r="DN206" i="1"/>
  <c r="DJ206" i="1"/>
  <c r="DG206" i="1"/>
  <c r="DF206" i="1"/>
  <c r="DE206" i="1"/>
  <c r="DD206" i="1"/>
  <c r="CY206" i="1"/>
  <c r="CV206" i="1"/>
  <c r="CQ206" i="1"/>
  <c r="CA206" i="1"/>
  <c r="BY206" i="1"/>
  <c r="BX206" i="1"/>
  <c r="BV206" i="1"/>
  <c r="BU206" i="1"/>
  <c r="BT206" i="1"/>
  <c r="BS206" i="1"/>
  <c r="BD206" i="1"/>
  <c r="BB206" i="1"/>
  <c r="AY206" i="1"/>
  <c r="AX206" i="1"/>
  <c r="AW206" i="1"/>
  <c r="AU206" i="1"/>
  <c r="AR206" i="1"/>
  <c r="AP206" i="1"/>
  <c r="AG206" i="1"/>
  <c r="AE206" i="1"/>
  <c r="AA206" i="1"/>
  <c r="Y206" i="1"/>
  <c r="X206" i="1"/>
  <c r="W206" i="1"/>
  <c r="V206" i="1"/>
  <c r="Q206" i="1"/>
  <c r="N206" i="1"/>
  <c r="I206" i="1"/>
  <c r="FY205" i="1"/>
  <c r="FV205" i="1"/>
  <c r="FO205" i="1"/>
  <c r="FN205" i="1"/>
  <c r="FM205" i="1"/>
  <c r="FJ205" i="1"/>
  <c r="FG205" i="1"/>
  <c r="DX205" i="1"/>
  <c r="CR205" i="1"/>
  <c r="CQ205" i="1"/>
  <c r="CN205" i="1"/>
  <c r="CI205" i="1"/>
  <c r="CH205" i="1"/>
  <c r="CG205" i="1"/>
  <c r="BW205" i="1"/>
  <c r="AO205" i="1"/>
  <c r="J205" i="1"/>
  <c r="I205" i="1"/>
  <c r="H205" i="1"/>
  <c r="FY204" i="1"/>
  <c r="FO204" i="1"/>
  <c r="FN204" i="1"/>
  <c r="FM204" i="1"/>
  <c r="FJ204" i="1"/>
  <c r="ER204" i="1"/>
  <c r="DW204" i="1"/>
  <c r="CR204" i="1"/>
  <c r="CQ204" i="1"/>
  <c r="CN204" i="1"/>
  <c r="CI204" i="1"/>
  <c r="CH204" i="1"/>
  <c r="CG204" i="1"/>
  <c r="BW204" i="1"/>
  <c r="AN204" i="1"/>
  <c r="J204" i="1"/>
  <c r="I204" i="1"/>
  <c r="H204" i="1"/>
  <c r="FY203" i="1"/>
  <c r="FT203" i="1"/>
  <c r="FJ203" i="1"/>
  <c r="FD203" i="1"/>
  <c r="FC203" i="1"/>
  <c r="FB203" i="1"/>
  <c r="EN203" i="1"/>
  <c r="EI203" i="1"/>
  <c r="EH203" i="1"/>
  <c r="EG203" i="1"/>
  <c r="EF203" i="1"/>
  <c r="EE203" i="1"/>
  <c r="ED203" i="1"/>
  <c r="EA203" i="1"/>
  <c r="DY203" i="1"/>
  <c r="DP203" i="1"/>
  <c r="DN203" i="1"/>
  <c r="DE203" i="1"/>
  <c r="DD203" i="1"/>
  <c r="CY203" i="1"/>
  <c r="CV203" i="1"/>
  <c r="CQ203" i="1"/>
  <c r="CA203" i="1"/>
  <c r="BT203" i="1"/>
  <c r="BQ203" i="1"/>
  <c r="BP203" i="1"/>
  <c r="BO203" i="1"/>
  <c r="BD203" i="1"/>
  <c r="AZ203" i="1"/>
  <c r="AY203" i="1"/>
  <c r="AX203" i="1"/>
  <c r="AW203" i="1"/>
  <c r="AV203" i="1"/>
  <c r="AU203" i="1"/>
  <c r="AR203" i="1"/>
  <c r="AP203" i="1"/>
  <c r="AG203" i="1"/>
  <c r="AE203" i="1"/>
  <c r="W203" i="1"/>
  <c r="V203" i="1"/>
  <c r="Q203" i="1"/>
  <c r="N203" i="1"/>
  <c r="I203" i="1"/>
  <c r="FY202" i="1"/>
  <c r="FT202" i="1"/>
  <c r="FJ202" i="1"/>
  <c r="EQ202" i="1"/>
  <c r="EN202" i="1"/>
  <c r="EK202" i="1"/>
  <c r="EI202" i="1"/>
  <c r="EH202" i="1"/>
  <c r="EF202" i="1"/>
  <c r="ED202" i="1"/>
  <c r="EA202" i="1"/>
  <c r="DP202" i="1"/>
  <c r="DN202" i="1"/>
  <c r="DH202" i="1"/>
  <c r="DF202" i="1"/>
  <c r="DE202" i="1"/>
  <c r="DD202" i="1"/>
  <c r="CY202" i="1"/>
  <c r="CV202" i="1"/>
  <c r="CQ202" i="1"/>
  <c r="CA202" i="1"/>
  <c r="BT202" i="1"/>
  <c r="BS202" i="1"/>
  <c r="BG202" i="1"/>
  <c r="BD202" i="1"/>
  <c r="BB202" i="1"/>
  <c r="AZ202" i="1"/>
  <c r="AY202" i="1"/>
  <c r="AW202" i="1"/>
  <c r="AU202" i="1"/>
  <c r="AR202" i="1"/>
  <c r="AG202" i="1"/>
  <c r="AE202" i="1"/>
  <c r="Z202" i="1"/>
  <c r="X202" i="1"/>
  <c r="W202" i="1"/>
  <c r="V202" i="1"/>
  <c r="Q202" i="1"/>
  <c r="N202" i="1"/>
  <c r="I202" i="1"/>
  <c r="FY201" i="1"/>
  <c r="FT201" i="1"/>
  <c r="FJ201" i="1"/>
  <c r="FE201" i="1"/>
  <c r="FD201" i="1"/>
  <c r="EN201" i="1"/>
  <c r="EK201" i="1"/>
  <c r="EF201" i="1"/>
  <c r="ED201" i="1"/>
  <c r="EA201" i="1"/>
  <c r="DY201" i="1"/>
  <c r="DP201" i="1"/>
  <c r="DN201" i="1"/>
  <c r="DD201" i="1"/>
  <c r="CY201" i="1"/>
  <c r="CV201" i="1"/>
  <c r="CQ201" i="1"/>
  <c r="CC201" i="1"/>
  <c r="CA201" i="1"/>
  <c r="BZ201" i="1"/>
  <c r="BY201" i="1"/>
  <c r="BW201" i="1"/>
  <c r="BT201" i="1"/>
  <c r="BS201" i="1"/>
  <c r="BR201" i="1"/>
  <c r="BQ201" i="1"/>
  <c r="BD201" i="1"/>
  <c r="BB201" i="1"/>
  <c r="AW201" i="1"/>
  <c r="AU201" i="1"/>
  <c r="AR201" i="1"/>
  <c r="AP201" i="1"/>
  <c r="AG201" i="1"/>
  <c r="AE201" i="1"/>
  <c r="V201" i="1"/>
  <c r="Q201" i="1"/>
  <c r="N201" i="1"/>
  <c r="I201" i="1"/>
  <c r="FY200" i="1"/>
  <c r="FT200" i="1"/>
  <c r="FJ200" i="1"/>
  <c r="FD200" i="1"/>
  <c r="FB200" i="1"/>
  <c r="EO200" i="1"/>
  <c r="EN200" i="1"/>
  <c r="EK200" i="1"/>
  <c r="EH200" i="1"/>
  <c r="EF200" i="1"/>
  <c r="ED200" i="1"/>
  <c r="EA200" i="1"/>
  <c r="DY200" i="1"/>
  <c r="DP200" i="1"/>
  <c r="DN200" i="1"/>
  <c r="DF200" i="1"/>
  <c r="DE200" i="1"/>
  <c r="DD200" i="1"/>
  <c r="CY200" i="1"/>
  <c r="CV200" i="1"/>
  <c r="CQ200" i="1"/>
  <c r="CA200" i="1"/>
  <c r="BX200" i="1"/>
  <c r="BT200" i="1"/>
  <c r="BS200" i="1"/>
  <c r="BQ200" i="1"/>
  <c r="BO200" i="1"/>
  <c r="BE200" i="1"/>
  <c r="BD200" i="1"/>
  <c r="BB200" i="1"/>
  <c r="AY200" i="1"/>
  <c r="AW200" i="1"/>
  <c r="AU200" i="1"/>
  <c r="AR200" i="1"/>
  <c r="AP200" i="1"/>
  <c r="AG200" i="1"/>
  <c r="AE200" i="1"/>
  <c r="X200" i="1"/>
  <c r="W200" i="1"/>
  <c r="V200" i="1"/>
  <c r="Q200" i="1"/>
  <c r="N200" i="1"/>
  <c r="I200" i="1"/>
  <c r="FY199" i="1"/>
  <c r="FX199" i="1"/>
  <c r="FT199" i="1"/>
  <c r="FJ199" i="1"/>
  <c r="FD199" i="1"/>
  <c r="FC199" i="1"/>
  <c r="FB199" i="1"/>
  <c r="EO199" i="1"/>
  <c r="EN199" i="1"/>
  <c r="EK199" i="1"/>
  <c r="EH199" i="1"/>
  <c r="EG199" i="1"/>
  <c r="EF199" i="1"/>
  <c r="ED199" i="1"/>
  <c r="EA199" i="1"/>
  <c r="DY199" i="1"/>
  <c r="DP199" i="1"/>
  <c r="DN199" i="1"/>
  <c r="DH199" i="1"/>
  <c r="DG199" i="1"/>
  <c r="DF199" i="1"/>
  <c r="DE199" i="1"/>
  <c r="DD199" i="1"/>
  <c r="CY199" i="1"/>
  <c r="CV199" i="1"/>
  <c r="CQ199" i="1"/>
  <c r="CP199" i="1"/>
  <c r="CA199" i="1"/>
  <c r="BT199" i="1"/>
  <c r="BQ199" i="1"/>
  <c r="BP199" i="1"/>
  <c r="BO199" i="1"/>
  <c r="BE199" i="1"/>
  <c r="BD199" i="1"/>
  <c r="BB199" i="1"/>
  <c r="AY199" i="1"/>
  <c r="AX199" i="1"/>
  <c r="AW199" i="1"/>
  <c r="AU199" i="1"/>
  <c r="AR199" i="1"/>
  <c r="AP199" i="1"/>
  <c r="AG199" i="1"/>
  <c r="AE199" i="1"/>
  <c r="Z199" i="1"/>
  <c r="Y199" i="1"/>
  <c r="X199" i="1"/>
  <c r="W199" i="1"/>
  <c r="V199" i="1"/>
  <c r="Q199" i="1"/>
  <c r="N199" i="1"/>
  <c r="I199" i="1"/>
  <c r="FY198" i="1"/>
  <c r="FN198" i="1"/>
  <c r="FJ198" i="1"/>
  <c r="CS198" i="1"/>
  <c r="CR198" i="1"/>
  <c r="CQ198" i="1"/>
  <c r="CH198" i="1"/>
  <c r="K198" i="1"/>
  <c r="J198" i="1"/>
  <c r="I198" i="1"/>
  <c r="H198" i="1"/>
  <c r="FY197" i="1"/>
  <c r="FV197" i="1"/>
  <c r="FN197" i="1"/>
  <c r="FM197" i="1"/>
  <c r="FJ197" i="1"/>
  <c r="FG197" i="1"/>
  <c r="DO197" i="1"/>
  <c r="DM197" i="1"/>
  <c r="CR197" i="1"/>
  <c r="CQ197" i="1"/>
  <c r="CN197" i="1"/>
  <c r="CI197" i="1"/>
  <c r="CH197" i="1"/>
  <c r="CG197" i="1"/>
  <c r="BW197" i="1"/>
  <c r="AF197" i="1"/>
  <c r="AD197" i="1"/>
  <c r="J197" i="1"/>
  <c r="I197" i="1"/>
  <c r="H197" i="1"/>
  <c r="FY196" i="1"/>
  <c r="CR196" i="1"/>
  <c r="CQ196" i="1"/>
  <c r="J196" i="1"/>
  <c r="I196" i="1"/>
  <c r="H196" i="1"/>
  <c r="FY195" i="1"/>
  <c r="FJ195" i="1"/>
  <c r="CR195" i="1"/>
  <c r="CQ195" i="1"/>
  <c r="J195" i="1"/>
  <c r="I195" i="1"/>
  <c r="H195" i="1"/>
  <c r="FY194" i="1"/>
  <c r="FT194" i="1"/>
  <c r="FJ194" i="1"/>
  <c r="FD194" i="1"/>
  <c r="FC194" i="1"/>
  <c r="FB194" i="1"/>
  <c r="EV194" i="1"/>
  <c r="EO194" i="1"/>
  <c r="EN194" i="1"/>
  <c r="EK194" i="1"/>
  <c r="EH194" i="1"/>
  <c r="EG194" i="1"/>
  <c r="EF194" i="1"/>
  <c r="ED194" i="1"/>
  <c r="EA194" i="1"/>
  <c r="DY194" i="1"/>
  <c r="DP194" i="1"/>
  <c r="DN194" i="1"/>
  <c r="DH194" i="1"/>
  <c r="DG194" i="1"/>
  <c r="DF194" i="1"/>
  <c r="DE194" i="1"/>
  <c r="DD194" i="1"/>
  <c r="CY194" i="1"/>
  <c r="CV194" i="1"/>
  <c r="CQ194" i="1"/>
  <c r="CA194" i="1"/>
  <c r="BX194" i="1"/>
  <c r="BW194" i="1"/>
  <c r="BT194" i="1"/>
  <c r="BQ194" i="1"/>
  <c r="BP194" i="1"/>
  <c r="BO194" i="1"/>
  <c r="BE194" i="1"/>
  <c r="BD194" i="1"/>
  <c r="BB194" i="1"/>
  <c r="AY194" i="1"/>
  <c r="AX194" i="1"/>
  <c r="AW194" i="1"/>
  <c r="AU194" i="1"/>
  <c r="AR194" i="1"/>
  <c r="AP194" i="1"/>
  <c r="AG194" i="1"/>
  <c r="AE194" i="1"/>
  <c r="Z194" i="1"/>
  <c r="Y194" i="1"/>
  <c r="X194" i="1"/>
  <c r="W194" i="1"/>
  <c r="V194" i="1"/>
  <c r="Q194" i="1"/>
  <c r="N194" i="1"/>
  <c r="I194" i="1"/>
  <c r="FY193" i="1"/>
  <c r="FJ193" i="1"/>
  <c r="ET193" i="1"/>
  <c r="EP193" i="1"/>
  <c r="EN193" i="1"/>
  <c r="ED193" i="1"/>
  <c r="DN193" i="1"/>
  <c r="CY193" i="1"/>
  <c r="CV193" i="1"/>
  <c r="CQ193" i="1"/>
  <c r="BT193" i="1"/>
  <c r="BI193" i="1"/>
  <c r="BF193" i="1"/>
  <c r="BD193" i="1"/>
  <c r="AU193" i="1"/>
  <c r="AE193" i="1"/>
  <c r="Q193" i="1"/>
  <c r="N193" i="1"/>
  <c r="I193" i="1"/>
  <c r="FY192" i="1"/>
  <c r="FV192" i="1"/>
  <c r="FO192" i="1"/>
  <c r="FN192" i="1"/>
  <c r="FJ192" i="1"/>
  <c r="DR192" i="1"/>
  <c r="CR192" i="1"/>
  <c r="CQ192" i="1"/>
  <c r="CN192" i="1"/>
  <c r="CI192" i="1"/>
  <c r="CH192" i="1"/>
  <c r="BW192" i="1"/>
  <c r="AI192" i="1"/>
  <c r="J192" i="1"/>
  <c r="I192" i="1"/>
  <c r="H192" i="1"/>
  <c r="FY191" i="1"/>
  <c r="FJ191" i="1"/>
  <c r="ET191" i="1"/>
  <c r="EP191" i="1"/>
  <c r="EN191" i="1"/>
  <c r="ED191" i="1"/>
  <c r="CV191" i="1"/>
  <c r="CQ191" i="1"/>
  <c r="BI191" i="1"/>
  <c r="BF191" i="1"/>
  <c r="BD191" i="1"/>
  <c r="AU191" i="1"/>
  <c r="N191" i="1"/>
  <c r="I191" i="1"/>
  <c r="FY190" i="1"/>
  <c r="FV190" i="1"/>
  <c r="FN190" i="1"/>
  <c r="FM190" i="1"/>
  <c r="FJ190" i="1"/>
  <c r="DM190" i="1"/>
  <c r="DL190" i="1"/>
  <c r="DK190" i="1"/>
  <c r="CR190" i="1"/>
  <c r="CQ190" i="1"/>
  <c r="CN190" i="1"/>
  <c r="CI190" i="1"/>
  <c r="CH190" i="1"/>
  <c r="CG190" i="1"/>
  <c r="BW190" i="1"/>
  <c r="AD190" i="1"/>
  <c r="AC190" i="1"/>
  <c r="AB190" i="1"/>
  <c r="J190" i="1"/>
  <c r="I190" i="1"/>
  <c r="H190" i="1"/>
  <c r="FY189" i="1"/>
  <c r="FV189" i="1"/>
  <c r="FS189" i="1"/>
  <c r="FP189" i="1"/>
  <c r="FO189" i="1"/>
  <c r="FN189" i="1"/>
  <c r="DT189" i="1"/>
  <c r="CS189" i="1"/>
  <c r="CR189" i="1"/>
  <c r="CQ189" i="1"/>
  <c r="CN189" i="1"/>
  <c r="CL189" i="1"/>
  <c r="CJ189" i="1"/>
  <c r="CI189" i="1"/>
  <c r="CH189" i="1"/>
  <c r="AK189" i="1"/>
  <c r="K189" i="1"/>
  <c r="J189" i="1"/>
  <c r="I189" i="1"/>
  <c r="H189" i="1"/>
  <c r="FY188" i="1"/>
  <c r="FX188" i="1"/>
  <c r="FJ188" i="1"/>
  <c r="FE188" i="1"/>
  <c r="FD188" i="1"/>
  <c r="ER188" i="1"/>
  <c r="EN188" i="1"/>
  <c r="EK188" i="1"/>
  <c r="EH188" i="1"/>
  <c r="EG188" i="1"/>
  <c r="EF188" i="1"/>
  <c r="ED188" i="1"/>
  <c r="EA188" i="1"/>
  <c r="DY188" i="1"/>
  <c r="DN188" i="1"/>
  <c r="DG188" i="1"/>
  <c r="DD188" i="1"/>
  <c r="CY188" i="1"/>
  <c r="CV188" i="1"/>
  <c r="CQ188" i="1"/>
  <c r="CP188" i="1"/>
  <c r="CA188" i="1"/>
  <c r="BZ188" i="1"/>
  <c r="BW188" i="1"/>
  <c r="BT188" i="1"/>
  <c r="BS188" i="1"/>
  <c r="BR188" i="1"/>
  <c r="BQ188" i="1"/>
  <c r="BD188" i="1"/>
  <c r="BB188" i="1"/>
  <c r="AY188" i="1"/>
  <c r="AX188" i="1"/>
  <c r="AW188" i="1"/>
  <c r="AU188" i="1"/>
  <c r="AR188" i="1"/>
  <c r="AP188" i="1"/>
  <c r="AE188" i="1"/>
  <c r="Y188" i="1"/>
  <c r="V188" i="1"/>
  <c r="Q188" i="1"/>
  <c r="N188" i="1"/>
  <c r="I188" i="1"/>
  <c r="FY187" i="1"/>
  <c r="FX187" i="1"/>
  <c r="FT187" i="1"/>
  <c r="FJ187" i="1"/>
  <c r="FB187" i="1"/>
  <c r="EO187" i="1"/>
  <c r="EN187" i="1"/>
  <c r="EI187" i="1"/>
  <c r="EH187" i="1"/>
  <c r="EF187" i="1"/>
  <c r="ED187" i="1"/>
  <c r="EA187" i="1"/>
  <c r="DY187" i="1"/>
  <c r="DP187" i="1"/>
  <c r="DN187" i="1"/>
  <c r="DG187" i="1"/>
  <c r="DF187" i="1"/>
  <c r="DE187" i="1"/>
  <c r="CY187" i="1"/>
  <c r="CV187" i="1"/>
  <c r="CQ187" i="1"/>
  <c r="CP187" i="1"/>
  <c r="BS187" i="1"/>
  <c r="BO187" i="1"/>
  <c r="BE187" i="1"/>
  <c r="BD187" i="1"/>
  <c r="AZ187" i="1"/>
  <c r="AY187" i="1"/>
  <c r="AW187" i="1"/>
  <c r="AU187" i="1"/>
  <c r="AR187" i="1"/>
  <c r="AP187" i="1"/>
  <c r="AG187" i="1"/>
  <c r="AE187" i="1"/>
  <c r="Y187" i="1"/>
  <c r="X187" i="1"/>
  <c r="W187" i="1"/>
  <c r="Q187" i="1"/>
  <c r="N187" i="1"/>
  <c r="I187" i="1"/>
  <c r="FY186" i="1"/>
  <c r="FT186" i="1"/>
  <c r="FJ186" i="1"/>
  <c r="FB186" i="1"/>
  <c r="EO186" i="1"/>
  <c r="EN186" i="1"/>
  <c r="EK186" i="1"/>
  <c r="EH186" i="1"/>
  <c r="EF186" i="1"/>
  <c r="ED186" i="1"/>
  <c r="DY186" i="1"/>
  <c r="DN186" i="1"/>
  <c r="CV186" i="1"/>
  <c r="CQ186" i="1"/>
  <c r="CC186" i="1"/>
  <c r="CA186" i="1"/>
  <c r="BY186" i="1"/>
  <c r="BW186" i="1"/>
  <c r="BT186" i="1"/>
  <c r="BS186" i="1"/>
  <c r="BO186" i="1"/>
  <c r="BE186" i="1"/>
  <c r="BD186" i="1"/>
  <c r="BB186" i="1"/>
  <c r="AY186" i="1"/>
  <c r="AW186" i="1"/>
  <c r="AU186" i="1"/>
  <c r="AP186" i="1"/>
  <c r="AE186" i="1"/>
  <c r="N186" i="1"/>
  <c r="I186" i="1"/>
  <c r="FY185" i="1"/>
  <c r="FN185" i="1"/>
  <c r="FJ185" i="1"/>
  <c r="CS185" i="1"/>
  <c r="CR185" i="1"/>
  <c r="CQ185" i="1"/>
  <c r="CH185" i="1"/>
  <c r="K185" i="1"/>
  <c r="J185" i="1"/>
  <c r="I185" i="1"/>
  <c r="H185" i="1"/>
  <c r="FY184" i="1"/>
  <c r="FT184" i="1"/>
  <c r="FJ184" i="1"/>
  <c r="FC184" i="1"/>
  <c r="FB184" i="1"/>
  <c r="EO184" i="1"/>
  <c r="EN184" i="1"/>
  <c r="EI184" i="1"/>
  <c r="EH184" i="1"/>
  <c r="EF184" i="1"/>
  <c r="ED184" i="1"/>
  <c r="EA184" i="1"/>
  <c r="DY184" i="1"/>
  <c r="DP184" i="1"/>
  <c r="DN184" i="1"/>
  <c r="DG184" i="1"/>
  <c r="DF184" i="1"/>
  <c r="DE184" i="1"/>
  <c r="CY184" i="1"/>
  <c r="CV184" i="1"/>
  <c r="CQ184" i="1"/>
  <c r="BP184" i="1"/>
  <c r="BO184" i="1"/>
  <c r="BE184" i="1"/>
  <c r="BD184" i="1"/>
  <c r="AZ184" i="1"/>
  <c r="AY184" i="1"/>
  <c r="AW184" i="1"/>
  <c r="AU184" i="1"/>
  <c r="AR184" i="1"/>
  <c r="AP184" i="1"/>
  <c r="AG184" i="1"/>
  <c r="AE184" i="1"/>
  <c r="Y184" i="1"/>
  <c r="X184" i="1"/>
  <c r="W184" i="1"/>
  <c r="Q184" i="1"/>
  <c r="N184" i="1"/>
  <c r="I184" i="1"/>
  <c r="FY183" i="1"/>
  <c r="FT183" i="1"/>
  <c r="FJ183" i="1"/>
  <c r="EI183" i="1"/>
  <c r="EH183" i="1"/>
  <c r="EG183" i="1"/>
  <c r="EF183" i="1"/>
  <c r="ED183" i="1"/>
  <c r="CU183" i="1"/>
  <c r="CT183" i="1"/>
  <c r="CQ183" i="1"/>
  <c r="AZ183" i="1"/>
  <c r="AY183" i="1"/>
  <c r="AX183" i="1"/>
  <c r="AW183" i="1"/>
  <c r="AU183" i="1"/>
  <c r="M183" i="1"/>
  <c r="L183" i="1"/>
  <c r="I183" i="1"/>
  <c r="FY182" i="1"/>
  <c r="FX182" i="1"/>
  <c r="FN182" i="1"/>
  <c r="CR182" i="1"/>
  <c r="CQ182" i="1"/>
  <c r="CP182" i="1"/>
  <c r="CH182" i="1"/>
  <c r="J182" i="1"/>
  <c r="I182" i="1"/>
  <c r="H182" i="1"/>
  <c r="FY181" i="1"/>
  <c r="FX181" i="1"/>
  <c r="FT181" i="1"/>
  <c r="FJ181" i="1"/>
  <c r="FD181" i="1"/>
  <c r="EO181" i="1"/>
  <c r="EK181" i="1"/>
  <c r="EI181" i="1"/>
  <c r="EH181" i="1"/>
  <c r="EG181" i="1"/>
  <c r="EF181" i="1"/>
  <c r="ED181" i="1"/>
  <c r="EA181" i="1"/>
  <c r="DY181" i="1"/>
  <c r="DP181" i="1"/>
  <c r="DN181" i="1"/>
  <c r="CY181" i="1"/>
  <c r="CV181" i="1"/>
  <c r="CQ181" i="1"/>
  <c r="CP181" i="1"/>
  <c r="CA181" i="1"/>
  <c r="BT181" i="1"/>
  <c r="BQ181" i="1"/>
  <c r="BE181" i="1"/>
  <c r="BB181" i="1"/>
  <c r="AZ181" i="1"/>
  <c r="AY181" i="1"/>
  <c r="AX181" i="1"/>
  <c r="AW181" i="1"/>
  <c r="AU181" i="1"/>
  <c r="AR181" i="1"/>
  <c r="AP181" i="1"/>
  <c r="AG181" i="1"/>
  <c r="AE181" i="1"/>
  <c r="Q181" i="1"/>
  <c r="N181" i="1"/>
  <c r="I181" i="1"/>
  <c r="FY180" i="1"/>
  <c r="FT180" i="1"/>
  <c r="FJ180" i="1"/>
  <c r="FE180" i="1"/>
  <c r="FD180" i="1"/>
  <c r="FB180" i="1"/>
  <c r="EN180" i="1"/>
  <c r="EK180" i="1"/>
  <c r="EH180" i="1"/>
  <c r="EF180" i="1"/>
  <c r="ED180" i="1"/>
  <c r="EA180" i="1"/>
  <c r="DY180" i="1"/>
  <c r="DP180" i="1"/>
  <c r="DN180" i="1"/>
  <c r="DF180" i="1"/>
  <c r="DE180" i="1"/>
  <c r="DD180" i="1"/>
  <c r="CY180" i="1"/>
  <c r="CV180" i="1"/>
  <c r="CQ180" i="1"/>
  <c r="CA180" i="1"/>
  <c r="BY180" i="1"/>
  <c r="BW180" i="1"/>
  <c r="BU180" i="1"/>
  <c r="BT180" i="1"/>
  <c r="BS180" i="1"/>
  <c r="BR180" i="1"/>
  <c r="BQ180" i="1"/>
  <c r="BO180" i="1"/>
  <c r="BD180" i="1"/>
  <c r="BB180" i="1"/>
  <c r="AY180" i="1"/>
  <c r="AW180" i="1"/>
  <c r="AU180" i="1"/>
  <c r="AR180" i="1"/>
  <c r="AP180" i="1"/>
  <c r="AG180" i="1"/>
  <c r="AE180" i="1"/>
  <c r="X180" i="1"/>
  <c r="W180" i="1"/>
  <c r="V180" i="1"/>
  <c r="Q180" i="1"/>
  <c r="N180" i="1"/>
  <c r="I180" i="1"/>
  <c r="FY179" i="1"/>
  <c r="FT179" i="1"/>
  <c r="FJ179" i="1"/>
  <c r="EV179" i="1"/>
  <c r="EQ179" i="1"/>
  <c r="EP179" i="1"/>
  <c r="EO179" i="1"/>
  <c r="EN179" i="1"/>
  <c r="EK179" i="1"/>
  <c r="EI179" i="1"/>
  <c r="EH179" i="1"/>
  <c r="EG179" i="1"/>
  <c r="EF179" i="1"/>
  <c r="ED179" i="1"/>
  <c r="DG179" i="1"/>
  <c r="DF179" i="1"/>
  <c r="DE179" i="1"/>
  <c r="DD179" i="1"/>
  <c r="DC179" i="1"/>
  <c r="CY179" i="1"/>
  <c r="CV179" i="1"/>
  <c r="CQ179" i="1"/>
  <c r="CA179" i="1"/>
  <c r="BY179" i="1"/>
  <c r="BW179" i="1"/>
  <c r="BU179" i="1"/>
  <c r="BT179" i="1"/>
  <c r="BS179" i="1"/>
  <c r="BG179" i="1"/>
  <c r="BF179" i="1"/>
  <c r="BE179" i="1"/>
  <c r="BD179" i="1"/>
  <c r="BB179" i="1"/>
  <c r="AZ179" i="1"/>
  <c r="AY179" i="1"/>
  <c r="AX179" i="1"/>
  <c r="AW179" i="1"/>
  <c r="AU179" i="1"/>
  <c r="Y179" i="1"/>
  <c r="X179" i="1"/>
  <c r="W179" i="1"/>
  <c r="V179" i="1"/>
  <c r="U179" i="1"/>
  <c r="Q179" i="1"/>
  <c r="N179" i="1"/>
  <c r="I179" i="1"/>
  <c r="FY178" i="1"/>
  <c r="FX178" i="1"/>
  <c r="FV178" i="1"/>
  <c r="FO178" i="1"/>
  <c r="FN178" i="1"/>
  <c r="FM178" i="1"/>
  <c r="ER178" i="1"/>
  <c r="DW178" i="1"/>
  <c r="CR178" i="1"/>
  <c r="CQ178" i="1"/>
  <c r="CP178" i="1"/>
  <c r="CN178" i="1"/>
  <c r="CI178" i="1"/>
  <c r="CH178" i="1"/>
  <c r="CG178" i="1"/>
  <c r="BW178" i="1"/>
  <c r="BC178" i="1"/>
  <c r="AN178" i="1"/>
  <c r="J178" i="1"/>
  <c r="I178" i="1"/>
  <c r="H178" i="1"/>
  <c r="FY177" i="1"/>
  <c r="FV177" i="1"/>
  <c r="FN177" i="1"/>
  <c r="FM177" i="1"/>
  <c r="FJ177" i="1"/>
  <c r="EB177" i="1"/>
  <c r="CR177" i="1"/>
  <c r="CQ177" i="1"/>
  <c r="CN177" i="1"/>
  <c r="CI177" i="1"/>
  <c r="CH177" i="1"/>
  <c r="CG177" i="1"/>
  <c r="BW177" i="1"/>
  <c r="AS177" i="1"/>
  <c r="J177" i="1"/>
  <c r="I177" i="1"/>
  <c r="H177" i="1"/>
  <c r="FY176" i="1"/>
  <c r="FT176" i="1"/>
  <c r="FJ176" i="1"/>
  <c r="FD176" i="1"/>
  <c r="FC176" i="1"/>
  <c r="FB176" i="1"/>
  <c r="EQ176" i="1"/>
  <c r="EN176" i="1"/>
  <c r="EI176" i="1"/>
  <c r="EH176" i="1"/>
  <c r="EG176" i="1"/>
  <c r="EF176" i="1"/>
  <c r="ED176" i="1"/>
  <c r="EA176" i="1"/>
  <c r="DY176" i="1"/>
  <c r="DP176" i="1"/>
  <c r="DN176" i="1"/>
  <c r="DE176" i="1"/>
  <c r="DD176" i="1"/>
  <c r="CY176" i="1"/>
  <c r="CV176" i="1"/>
  <c r="CQ176" i="1"/>
  <c r="BY176" i="1"/>
  <c r="BT176" i="1"/>
  <c r="BQ176" i="1"/>
  <c r="BP176" i="1"/>
  <c r="BO176" i="1"/>
  <c r="BG176" i="1"/>
  <c r="BD176" i="1"/>
  <c r="AZ176" i="1"/>
  <c r="AY176" i="1"/>
  <c r="AX176" i="1"/>
  <c r="AW176" i="1"/>
  <c r="AU176" i="1"/>
  <c r="AR176" i="1"/>
  <c r="AP176" i="1"/>
  <c r="AG176" i="1"/>
  <c r="AE176" i="1"/>
  <c r="W176" i="1"/>
  <c r="V176" i="1"/>
  <c r="Q176" i="1"/>
  <c r="N176" i="1"/>
  <c r="I176" i="1"/>
  <c r="FY175" i="1"/>
  <c r="EP175" i="1"/>
  <c r="EN175" i="1"/>
  <c r="ED175" i="1"/>
  <c r="CQ175" i="1"/>
  <c r="BT175" i="1"/>
  <c r="BF175" i="1"/>
  <c r="BD175" i="1"/>
  <c r="AU175" i="1"/>
  <c r="I175" i="1"/>
  <c r="FY174" i="1"/>
  <c r="FX174" i="1"/>
  <c r="FJ174" i="1"/>
  <c r="EH174" i="1"/>
  <c r="EF174" i="1"/>
  <c r="ED174" i="1"/>
  <c r="CU174" i="1"/>
  <c r="CT174" i="1"/>
  <c r="CQ174" i="1"/>
  <c r="CP174" i="1"/>
  <c r="CC174" i="1"/>
  <c r="BZ174" i="1"/>
  <c r="BW174" i="1"/>
  <c r="BT174" i="1"/>
  <c r="AY174" i="1"/>
  <c r="AW174" i="1"/>
  <c r="AU174" i="1"/>
  <c r="M174" i="1"/>
  <c r="L174" i="1"/>
  <c r="I174" i="1"/>
  <c r="FY173" i="1"/>
  <c r="FX173" i="1"/>
  <c r="FT173" i="1"/>
  <c r="FJ173" i="1"/>
  <c r="EN173" i="1"/>
  <c r="EK173" i="1"/>
  <c r="EI173" i="1"/>
  <c r="EH173" i="1"/>
  <c r="EG173" i="1"/>
  <c r="EF173" i="1"/>
  <c r="EE173" i="1"/>
  <c r="ED173" i="1"/>
  <c r="EA173" i="1"/>
  <c r="DY173" i="1"/>
  <c r="DP173" i="1"/>
  <c r="DN173" i="1"/>
  <c r="DG173" i="1"/>
  <c r="DF173" i="1"/>
  <c r="DE173" i="1"/>
  <c r="DD173" i="1"/>
  <c r="CY173" i="1"/>
  <c r="CV173" i="1"/>
  <c r="CQ173" i="1"/>
  <c r="CP173" i="1"/>
  <c r="CA173" i="1"/>
  <c r="BY173" i="1"/>
  <c r="BT173" i="1"/>
  <c r="BD173" i="1"/>
  <c r="BB173" i="1"/>
  <c r="AZ173" i="1"/>
  <c r="AY173" i="1"/>
  <c r="AX173" i="1"/>
  <c r="AW173" i="1"/>
  <c r="AV173" i="1"/>
  <c r="AU173" i="1"/>
  <c r="AR173" i="1"/>
  <c r="AP173" i="1"/>
  <c r="AG173" i="1"/>
  <c r="AE173" i="1"/>
  <c r="Y173" i="1"/>
  <c r="X173" i="1"/>
  <c r="W173" i="1"/>
  <c r="V173" i="1"/>
  <c r="Q173" i="1"/>
  <c r="N173" i="1"/>
  <c r="I173" i="1"/>
  <c r="FY172" i="1"/>
  <c r="FX172" i="1"/>
  <c r="FO172" i="1"/>
  <c r="DS172" i="1"/>
  <c r="CR172" i="1"/>
  <c r="CQ172" i="1"/>
  <c r="CP172" i="1"/>
  <c r="CN172" i="1"/>
  <c r="CI172" i="1"/>
  <c r="CH172" i="1"/>
  <c r="BW172" i="1"/>
  <c r="BC172" i="1"/>
  <c r="AJ172" i="1"/>
  <c r="J172" i="1"/>
  <c r="I172" i="1"/>
  <c r="H172" i="1"/>
  <c r="FY171" i="1"/>
  <c r="FT171" i="1"/>
  <c r="FJ171" i="1"/>
  <c r="FD171" i="1"/>
  <c r="EN171" i="1"/>
  <c r="EH171" i="1"/>
  <c r="EF171" i="1"/>
  <c r="ED171" i="1"/>
  <c r="EA171" i="1"/>
  <c r="DY171" i="1"/>
  <c r="DP171" i="1"/>
  <c r="DN171" i="1"/>
  <c r="DE171" i="1"/>
  <c r="DD171" i="1"/>
  <c r="CY171" i="1"/>
  <c r="CV171" i="1"/>
  <c r="CQ171" i="1"/>
  <c r="BW171" i="1"/>
  <c r="BT171" i="1"/>
  <c r="BQ171" i="1"/>
  <c r="BD171" i="1"/>
  <c r="AY171" i="1"/>
  <c r="AW171" i="1"/>
  <c r="AU171" i="1"/>
  <c r="AR171" i="1"/>
  <c r="AP171" i="1"/>
  <c r="AG171" i="1"/>
  <c r="AE171" i="1"/>
  <c r="W171" i="1"/>
  <c r="V171" i="1"/>
  <c r="Q171" i="1"/>
  <c r="N171" i="1"/>
  <c r="I171" i="1"/>
  <c r="FY170" i="1"/>
  <c r="FJ170" i="1"/>
  <c r="EU170" i="1"/>
  <c r="ET170" i="1"/>
  <c r="EP170" i="1"/>
  <c r="EN170" i="1"/>
  <c r="ED170" i="1"/>
  <c r="DN170" i="1"/>
  <c r="CV170" i="1"/>
  <c r="CQ170" i="1"/>
  <c r="CA170" i="1"/>
  <c r="BJ170" i="1"/>
  <c r="BI170" i="1"/>
  <c r="BF170" i="1"/>
  <c r="BD170" i="1"/>
  <c r="AU170" i="1"/>
  <c r="AE170" i="1"/>
  <c r="N170" i="1"/>
  <c r="I170" i="1"/>
  <c r="FY169" i="1"/>
  <c r="FV169" i="1"/>
  <c r="FO169" i="1"/>
  <c r="FN169" i="1"/>
  <c r="FM169" i="1"/>
  <c r="FJ169" i="1"/>
  <c r="FG169" i="1"/>
  <c r="ER169" i="1"/>
  <c r="EB169" i="1"/>
  <c r="CR169" i="1"/>
  <c r="CQ169" i="1"/>
  <c r="CN169" i="1"/>
  <c r="CI169" i="1"/>
  <c r="CH169" i="1"/>
  <c r="CG169" i="1"/>
  <c r="BW169" i="1"/>
  <c r="AS169" i="1"/>
  <c r="J169" i="1"/>
  <c r="I169" i="1"/>
  <c r="H169" i="1"/>
  <c r="FY168" i="1"/>
  <c r="FX168" i="1"/>
  <c r="FP168" i="1"/>
  <c r="FO168" i="1"/>
  <c r="FN168" i="1"/>
  <c r="CS168" i="1"/>
  <c r="CR168" i="1"/>
  <c r="CQ168" i="1"/>
  <c r="CP168" i="1"/>
  <c r="CJ168" i="1"/>
  <c r="CI168" i="1"/>
  <c r="CH168" i="1"/>
  <c r="K168" i="1"/>
  <c r="J168" i="1"/>
  <c r="I168" i="1"/>
  <c r="H168" i="1"/>
  <c r="FY167" i="1"/>
  <c r="FT167" i="1"/>
  <c r="FJ167" i="1"/>
  <c r="EP167" i="1"/>
  <c r="EN167" i="1"/>
  <c r="EH167" i="1"/>
  <c r="EF167" i="1"/>
  <c r="ED167" i="1"/>
  <c r="DY167" i="1"/>
  <c r="DN167" i="1"/>
  <c r="DF167" i="1"/>
  <c r="DD167" i="1"/>
  <c r="CY167" i="1"/>
  <c r="CV167" i="1"/>
  <c r="CQ167" i="1"/>
  <c r="CA167" i="1"/>
  <c r="BY167" i="1"/>
  <c r="BT167" i="1"/>
  <c r="BS167" i="1"/>
  <c r="BF167" i="1"/>
  <c r="BD167" i="1"/>
  <c r="AY167" i="1"/>
  <c r="AW167" i="1"/>
  <c r="AU167" i="1"/>
  <c r="AP167" i="1"/>
  <c r="AE167" i="1"/>
  <c r="X167" i="1"/>
  <c r="V167" i="1"/>
  <c r="Q167" i="1"/>
  <c r="N167" i="1"/>
  <c r="I167" i="1"/>
  <c r="FY166" i="1"/>
  <c r="FS166" i="1"/>
  <c r="FP166" i="1"/>
  <c r="FO166" i="1"/>
  <c r="FN166" i="1"/>
  <c r="FM166" i="1"/>
  <c r="FL166" i="1"/>
  <c r="FJ166" i="1"/>
  <c r="FG166" i="1"/>
  <c r="CS166" i="1"/>
  <c r="CR166" i="1"/>
  <c r="CQ166" i="1"/>
  <c r="CL166" i="1"/>
  <c r="CJ166" i="1"/>
  <c r="CI166" i="1"/>
  <c r="CH166" i="1"/>
  <c r="CG166" i="1"/>
  <c r="CF166" i="1"/>
  <c r="BW166" i="1"/>
  <c r="K166" i="1"/>
  <c r="J166" i="1"/>
  <c r="I166" i="1"/>
  <c r="H166" i="1"/>
  <c r="FY165" i="1"/>
  <c r="FX165" i="1"/>
  <c r="FT165" i="1"/>
  <c r="FF165" i="1"/>
  <c r="EN165" i="1"/>
  <c r="EK165" i="1"/>
  <c r="EH165" i="1"/>
  <c r="EF165" i="1"/>
  <c r="ED165" i="1"/>
  <c r="EA165" i="1"/>
  <c r="DY165" i="1"/>
  <c r="DP165" i="1"/>
  <c r="DN165" i="1"/>
  <c r="DE165" i="1"/>
  <c r="CY165" i="1"/>
  <c r="CV165" i="1"/>
  <c r="CQ165" i="1"/>
  <c r="CP165" i="1"/>
  <c r="CA165" i="1"/>
  <c r="BY165" i="1"/>
  <c r="BU165" i="1"/>
  <c r="BS165" i="1"/>
  <c r="BD165" i="1"/>
  <c r="BB165" i="1"/>
  <c r="AY165" i="1"/>
  <c r="AW165" i="1"/>
  <c r="AU165" i="1"/>
  <c r="AR165" i="1"/>
  <c r="AP165" i="1"/>
  <c r="AG165" i="1"/>
  <c r="AE165" i="1"/>
  <c r="W165" i="1"/>
  <c r="Q165" i="1"/>
  <c r="N165" i="1"/>
  <c r="I165" i="1"/>
  <c r="FY164" i="1"/>
  <c r="FX164" i="1"/>
  <c r="FT164" i="1"/>
  <c r="FJ164" i="1"/>
  <c r="EN164" i="1"/>
  <c r="EK164" i="1"/>
  <c r="EH164" i="1"/>
  <c r="ED164" i="1"/>
  <c r="CV164" i="1"/>
  <c r="CQ164" i="1"/>
  <c r="CP164" i="1"/>
  <c r="CA164" i="1"/>
  <c r="BW164" i="1"/>
  <c r="BD164" i="1"/>
  <c r="BB164" i="1"/>
  <c r="AY164" i="1"/>
  <c r="AU164" i="1"/>
  <c r="N164" i="1"/>
  <c r="I164" i="1"/>
  <c r="FY163" i="1"/>
  <c r="FX163" i="1"/>
  <c r="FV163" i="1"/>
  <c r="FN163" i="1"/>
  <c r="FJ163" i="1"/>
  <c r="FG163" i="1"/>
  <c r="DM163" i="1"/>
  <c r="DL163" i="1"/>
  <c r="DK163" i="1"/>
  <c r="CR163" i="1"/>
  <c r="CQ163" i="1"/>
  <c r="CP163" i="1"/>
  <c r="CN163" i="1"/>
  <c r="CI163" i="1"/>
  <c r="CH163" i="1"/>
  <c r="BW163" i="1"/>
  <c r="AD163" i="1"/>
  <c r="AC163" i="1"/>
  <c r="AB163" i="1"/>
  <c r="J163" i="1"/>
  <c r="I163" i="1"/>
  <c r="H163" i="1"/>
  <c r="FY162" i="1"/>
  <c r="FT162" i="1"/>
  <c r="FJ162" i="1"/>
  <c r="EV162" i="1"/>
  <c r="EO162" i="1"/>
  <c r="EN162" i="1"/>
  <c r="EK162" i="1"/>
  <c r="EH162" i="1"/>
  <c r="EF162" i="1"/>
  <c r="ED162" i="1"/>
  <c r="CY162" i="1"/>
  <c r="CV162" i="1"/>
  <c r="CQ162" i="1"/>
  <c r="CA162" i="1"/>
  <c r="BZ162" i="1"/>
  <c r="BY162" i="1"/>
  <c r="BX162" i="1"/>
  <c r="BE162" i="1"/>
  <c r="BD162" i="1"/>
  <c r="BB162" i="1"/>
  <c r="AY162" i="1"/>
  <c r="AW162" i="1"/>
  <c r="AU162" i="1"/>
  <c r="Q162" i="1"/>
  <c r="N162" i="1"/>
  <c r="I162" i="1"/>
  <c r="FY161" i="1"/>
  <c r="FK161" i="1"/>
  <c r="CR161" i="1"/>
  <c r="CQ161" i="1"/>
  <c r="CH161" i="1"/>
  <c r="CE161" i="1"/>
  <c r="I161" i="1"/>
  <c r="H161" i="1"/>
  <c r="FY160" i="1"/>
  <c r="FT160" i="1"/>
  <c r="FJ160" i="1"/>
  <c r="FD160" i="1"/>
  <c r="FB160" i="1"/>
  <c r="EV160" i="1"/>
  <c r="EN160" i="1"/>
  <c r="EK160" i="1"/>
  <c r="EI160" i="1"/>
  <c r="EH160" i="1"/>
  <c r="EG160" i="1"/>
  <c r="EF160" i="1"/>
  <c r="ED160" i="1"/>
  <c r="EA160" i="1"/>
  <c r="DY160" i="1"/>
  <c r="DP160" i="1"/>
  <c r="DN160" i="1"/>
  <c r="DD160" i="1"/>
  <c r="CY160" i="1"/>
  <c r="CV160" i="1"/>
  <c r="CQ160" i="1"/>
  <c r="CA160" i="1"/>
  <c r="BY160" i="1"/>
  <c r="BW160" i="1"/>
  <c r="BT160" i="1"/>
  <c r="BQ160" i="1"/>
  <c r="BO160" i="1"/>
  <c r="BD160" i="1"/>
  <c r="BB160" i="1"/>
  <c r="AZ160" i="1"/>
  <c r="AY160" i="1"/>
  <c r="AX160" i="1"/>
  <c r="AW160" i="1"/>
  <c r="AU160" i="1"/>
  <c r="AR160" i="1"/>
  <c r="AP160" i="1"/>
  <c r="AG160" i="1"/>
  <c r="AE160" i="1"/>
  <c r="V160" i="1"/>
  <c r="Q160" i="1"/>
  <c r="N160" i="1"/>
  <c r="I160" i="1"/>
  <c r="FY159" i="1"/>
  <c r="FT159" i="1"/>
  <c r="FJ159" i="1"/>
  <c r="FB159" i="1"/>
  <c r="EN159" i="1"/>
  <c r="EK159" i="1"/>
  <c r="EI159" i="1"/>
  <c r="EH159" i="1"/>
  <c r="EG159" i="1"/>
  <c r="EF159" i="1"/>
  <c r="ED159" i="1"/>
  <c r="EA159" i="1"/>
  <c r="DY159" i="1"/>
  <c r="DP159" i="1"/>
  <c r="DN159" i="1"/>
  <c r="DG159" i="1"/>
  <c r="DF159" i="1"/>
  <c r="DE159" i="1"/>
  <c r="DD159" i="1"/>
  <c r="CY159" i="1"/>
  <c r="CV159" i="1"/>
  <c r="CQ159" i="1"/>
  <c r="CA159" i="1"/>
  <c r="BY159" i="1"/>
  <c r="BT159" i="1"/>
  <c r="BO159" i="1"/>
  <c r="BD159" i="1"/>
  <c r="BB159" i="1"/>
  <c r="AZ159" i="1"/>
  <c r="AY159" i="1"/>
  <c r="AX159" i="1"/>
  <c r="AW159" i="1"/>
  <c r="AU159" i="1"/>
  <c r="AR159" i="1"/>
  <c r="AP159" i="1"/>
  <c r="AG159" i="1"/>
  <c r="AE159" i="1"/>
  <c r="Y159" i="1"/>
  <c r="X159" i="1"/>
  <c r="W159" i="1"/>
  <c r="V159" i="1"/>
  <c r="Q159" i="1"/>
  <c r="N159" i="1"/>
  <c r="I159" i="1"/>
  <c r="FY158" i="1"/>
  <c r="FT158" i="1"/>
  <c r="FJ158" i="1"/>
  <c r="FC158" i="1"/>
  <c r="FB158" i="1"/>
  <c r="EN158" i="1"/>
  <c r="EK158" i="1"/>
  <c r="EI158" i="1"/>
  <c r="EH158" i="1"/>
  <c r="EF158" i="1"/>
  <c r="ED158" i="1"/>
  <c r="CY158" i="1"/>
  <c r="CV158" i="1"/>
  <c r="CQ158" i="1"/>
  <c r="CA158" i="1"/>
  <c r="BV158" i="1"/>
  <c r="BU158" i="1"/>
  <c r="BP158" i="1"/>
  <c r="BO158" i="1"/>
  <c r="BD158" i="1"/>
  <c r="BB158" i="1"/>
  <c r="AZ158" i="1"/>
  <c r="AY158" i="1"/>
  <c r="AW158" i="1"/>
  <c r="AU158" i="1"/>
  <c r="Q158" i="1"/>
  <c r="N158" i="1"/>
  <c r="I158" i="1"/>
  <c r="FY157" i="1"/>
  <c r="FV157" i="1"/>
  <c r="FN157" i="1"/>
  <c r="FM157" i="1"/>
  <c r="CS157" i="1"/>
  <c r="CR157" i="1"/>
  <c r="CQ157" i="1"/>
  <c r="CN157" i="1"/>
  <c r="CH157" i="1"/>
  <c r="CG157" i="1"/>
  <c r="K157" i="1"/>
  <c r="J157" i="1"/>
  <c r="I157" i="1"/>
  <c r="H157" i="1"/>
  <c r="FY156" i="1"/>
  <c r="FX156" i="1"/>
  <c r="FT156" i="1"/>
  <c r="FJ156" i="1"/>
  <c r="EV156" i="1"/>
  <c r="EO156" i="1"/>
  <c r="EN156" i="1"/>
  <c r="EK156" i="1"/>
  <c r="EI156" i="1"/>
  <c r="EH156" i="1"/>
  <c r="EG156" i="1"/>
  <c r="EF156" i="1"/>
  <c r="EE156" i="1"/>
  <c r="ED156" i="1"/>
  <c r="EA156" i="1"/>
  <c r="DY156" i="1"/>
  <c r="DP156" i="1"/>
  <c r="DN156" i="1"/>
  <c r="DD156" i="1"/>
  <c r="CY156" i="1"/>
  <c r="CV156" i="1"/>
  <c r="CQ156" i="1"/>
  <c r="CP156" i="1"/>
  <c r="CA156" i="1"/>
  <c r="BY156" i="1"/>
  <c r="BE156" i="1"/>
  <c r="BD156" i="1"/>
  <c r="BB156" i="1"/>
  <c r="AZ156" i="1"/>
  <c r="AY156" i="1"/>
  <c r="AX156" i="1"/>
  <c r="AW156" i="1"/>
  <c r="AV156" i="1"/>
  <c r="AU156" i="1"/>
  <c r="AR156" i="1"/>
  <c r="AP156" i="1"/>
  <c r="AG156" i="1"/>
  <c r="AE156" i="1"/>
  <c r="V156" i="1"/>
  <c r="Q156" i="1"/>
  <c r="N156" i="1"/>
  <c r="I156" i="1"/>
  <c r="FY155" i="1"/>
  <c r="FV155" i="1"/>
  <c r="FO155" i="1"/>
  <c r="FN155" i="1"/>
  <c r="FM155" i="1"/>
  <c r="FJ155" i="1"/>
  <c r="FG155" i="1"/>
  <c r="DX155" i="1"/>
  <c r="CR155" i="1"/>
  <c r="CQ155" i="1"/>
  <c r="CN155" i="1"/>
  <c r="CI155" i="1"/>
  <c r="CH155" i="1"/>
  <c r="CG155" i="1"/>
  <c r="BW155" i="1"/>
  <c r="AO155" i="1"/>
  <c r="J155" i="1"/>
  <c r="I155" i="1"/>
  <c r="H155" i="1"/>
  <c r="FY154" i="1"/>
  <c r="FX154" i="1"/>
  <c r="FT154" i="1"/>
  <c r="FJ154" i="1"/>
  <c r="EN154" i="1"/>
  <c r="EK154" i="1"/>
  <c r="EH154" i="1"/>
  <c r="EF154" i="1"/>
  <c r="ED154" i="1"/>
  <c r="CV154" i="1"/>
  <c r="CQ154" i="1"/>
  <c r="CP154" i="1"/>
  <c r="BD154" i="1"/>
  <c r="BB154" i="1"/>
  <c r="AY154" i="1"/>
  <c r="AW154" i="1"/>
  <c r="AU154" i="1"/>
  <c r="N154" i="1"/>
  <c r="I154" i="1"/>
  <c r="FY153" i="1"/>
  <c r="FX153" i="1"/>
  <c r="FT153" i="1"/>
  <c r="FJ153" i="1"/>
  <c r="FE153" i="1"/>
  <c r="FD153" i="1"/>
  <c r="FB153" i="1"/>
  <c r="EN153" i="1"/>
  <c r="EK153" i="1"/>
  <c r="EI153" i="1"/>
  <c r="EH153" i="1"/>
  <c r="EG153" i="1"/>
  <c r="EF153" i="1"/>
  <c r="EE153" i="1"/>
  <c r="ED153" i="1"/>
  <c r="EA153" i="1"/>
  <c r="DY153" i="1"/>
  <c r="DP153" i="1"/>
  <c r="DN153" i="1"/>
  <c r="DG153" i="1"/>
  <c r="DF153" i="1"/>
  <c r="DE153" i="1"/>
  <c r="DD153" i="1"/>
  <c r="CY153" i="1"/>
  <c r="CV153" i="1"/>
  <c r="CQ153" i="1"/>
  <c r="CP153" i="1"/>
  <c r="CA153" i="1"/>
  <c r="BW153" i="1"/>
  <c r="BT153" i="1"/>
  <c r="BS153" i="1"/>
  <c r="BR153" i="1"/>
  <c r="BQ153" i="1"/>
  <c r="BO153" i="1"/>
  <c r="BD153" i="1"/>
  <c r="BB153" i="1"/>
  <c r="AZ153" i="1"/>
  <c r="AY153" i="1"/>
  <c r="AX153" i="1"/>
  <c r="AW153" i="1"/>
  <c r="AV153" i="1"/>
  <c r="AU153" i="1"/>
  <c r="AR153" i="1"/>
  <c r="AP153" i="1"/>
  <c r="AG153" i="1"/>
  <c r="AE153" i="1"/>
  <c r="Y153" i="1"/>
  <c r="X153" i="1"/>
  <c r="W153" i="1"/>
  <c r="V153" i="1"/>
  <c r="Q153" i="1"/>
  <c r="N153" i="1"/>
  <c r="I153" i="1"/>
  <c r="FY152" i="1"/>
  <c r="FT152" i="1"/>
  <c r="FJ152" i="1"/>
  <c r="FD152" i="1"/>
  <c r="FB152" i="1"/>
  <c r="EO152" i="1"/>
  <c r="EN152" i="1"/>
  <c r="EI152" i="1"/>
  <c r="EH152" i="1"/>
  <c r="EF152" i="1"/>
  <c r="ED152" i="1"/>
  <c r="EA152" i="1"/>
  <c r="DY152" i="1"/>
  <c r="DP152" i="1"/>
  <c r="DN152" i="1"/>
  <c r="DH152" i="1"/>
  <c r="DF152" i="1"/>
  <c r="DD152" i="1"/>
  <c r="CY152" i="1"/>
  <c r="CV152" i="1"/>
  <c r="CQ152" i="1"/>
  <c r="CA152" i="1"/>
  <c r="BY152" i="1"/>
  <c r="BQ152" i="1"/>
  <c r="BO152" i="1"/>
  <c r="BE152" i="1"/>
  <c r="BD152" i="1"/>
  <c r="AZ152" i="1"/>
  <c r="AY152" i="1"/>
  <c r="AW152" i="1"/>
  <c r="AU152" i="1"/>
  <c r="AR152" i="1"/>
  <c r="AP152" i="1"/>
  <c r="AG152" i="1"/>
  <c r="AE152" i="1"/>
  <c r="Z152" i="1"/>
  <c r="X152" i="1"/>
  <c r="V152" i="1"/>
  <c r="Q152" i="1"/>
  <c r="N152" i="1"/>
  <c r="I152" i="1"/>
  <c r="FY151" i="1"/>
  <c r="FX151" i="1"/>
  <c r="FT151" i="1"/>
  <c r="FJ151" i="1"/>
  <c r="FD151" i="1"/>
  <c r="FB151" i="1"/>
  <c r="ER151" i="1"/>
  <c r="EO151" i="1"/>
  <c r="EN151" i="1"/>
  <c r="EK151" i="1"/>
  <c r="EH151" i="1"/>
  <c r="EG151" i="1"/>
  <c r="EF151" i="1"/>
  <c r="EE151" i="1"/>
  <c r="ED151" i="1"/>
  <c r="EA151" i="1"/>
  <c r="DY151" i="1"/>
  <c r="DP151" i="1"/>
  <c r="DN151" i="1"/>
  <c r="DG151" i="1"/>
  <c r="DF151" i="1"/>
  <c r="DE151" i="1"/>
  <c r="DD151" i="1"/>
  <c r="CY151" i="1"/>
  <c r="CV151" i="1"/>
  <c r="CQ151" i="1"/>
  <c r="CP151" i="1"/>
  <c r="CA151" i="1"/>
  <c r="BT151" i="1"/>
  <c r="BQ151" i="1"/>
  <c r="BO151" i="1"/>
  <c r="BE151" i="1"/>
  <c r="BD151" i="1"/>
  <c r="BB151" i="1"/>
  <c r="AY151" i="1"/>
  <c r="AX151" i="1"/>
  <c r="AW151" i="1"/>
  <c r="AV151" i="1"/>
  <c r="AU151" i="1"/>
  <c r="AR151" i="1"/>
  <c r="AP151" i="1"/>
  <c r="AG151" i="1"/>
  <c r="AE151" i="1"/>
  <c r="Y151" i="1"/>
  <c r="X151" i="1"/>
  <c r="W151" i="1"/>
  <c r="V151" i="1"/>
  <c r="Q151" i="1"/>
  <c r="N151" i="1"/>
  <c r="I151" i="1"/>
  <c r="FY150" i="1"/>
  <c r="FT150" i="1"/>
  <c r="FJ150" i="1"/>
  <c r="EQ150" i="1"/>
  <c r="EH150" i="1"/>
  <c r="EF150" i="1"/>
  <c r="ED150" i="1"/>
  <c r="DA150" i="1"/>
  <c r="CZ150" i="1"/>
  <c r="CQ150" i="1"/>
  <c r="BG150" i="1"/>
  <c r="AY150" i="1"/>
  <c r="AW150" i="1"/>
  <c r="AU150" i="1"/>
  <c r="S150" i="1"/>
  <c r="R150" i="1"/>
  <c r="I150" i="1"/>
  <c r="FY149" i="1"/>
  <c r="FT149" i="1"/>
  <c r="FJ149" i="1"/>
  <c r="FD149" i="1"/>
  <c r="FB149" i="1"/>
  <c r="EN149" i="1"/>
  <c r="EK149" i="1"/>
  <c r="EH149" i="1"/>
  <c r="EF149" i="1"/>
  <c r="ED149" i="1"/>
  <c r="DN149" i="1"/>
  <c r="CV149" i="1"/>
  <c r="CQ149" i="1"/>
  <c r="CA149" i="1"/>
  <c r="BY149" i="1"/>
  <c r="BS149" i="1"/>
  <c r="BQ149" i="1"/>
  <c r="BO149" i="1"/>
  <c r="BD149" i="1"/>
  <c r="BB149" i="1"/>
  <c r="AY149" i="1"/>
  <c r="AW149" i="1"/>
  <c r="AU149" i="1"/>
  <c r="AE149" i="1"/>
  <c r="N149" i="1"/>
  <c r="I149" i="1"/>
  <c r="FY148" i="1"/>
  <c r="FT148" i="1"/>
  <c r="FJ148" i="1"/>
  <c r="EN148" i="1"/>
  <c r="EK148" i="1"/>
  <c r="EH148" i="1"/>
  <c r="EF148" i="1"/>
  <c r="ED148" i="1"/>
  <c r="DE148" i="1"/>
  <c r="CY148" i="1"/>
  <c r="CV148" i="1"/>
  <c r="CQ148" i="1"/>
  <c r="CA148" i="1"/>
  <c r="BY148" i="1"/>
  <c r="BW148" i="1"/>
  <c r="BT148" i="1"/>
  <c r="BS148" i="1"/>
  <c r="BD148" i="1"/>
  <c r="BB148" i="1"/>
  <c r="AY148" i="1"/>
  <c r="AW148" i="1"/>
  <c r="AU148" i="1"/>
  <c r="W148" i="1"/>
  <c r="Q148" i="1"/>
  <c r="N148" i="1"/>
  <c r="I148" i="1"/>
  <c r="FY147" i="1"/>
  <c r="FX147" i="1"/>
  <c r="FT147" i="1"/>
  <c r="FJ147" i="1"/>
  <c r="FE147" i="1"/>
  <c r="FD147" i="1"/>
  <c r="EX147" i="1"/>
  <c r="EN147" i="1"/>
  <c r="EK147" i="1"/>
  <c r="EI147" i="1"/>
  <c r="EH147" i="1"/>
  <c r="EG147" i="1"/>
  <c r="EF147" i="1"/>
  <c r="EE147" i="1"/>
  <c r="ED147" i="1"/>
  <c r="EA147" i="1"/>
  <c r="DY147" i="1"/>
  <c r="DP147" i="1"/>
  <c r="DN147" i="1"/>
  <c r="DG147" i="1"/>
  <c r="DF147" i="1"/>
  <c r="DE147" i="1"/>
  <c r="DD147" i="1"/>
  <c r="CY147" i="1"/>
  <c r="CV147" i="1"/>
  <c r="CQ147" i="1"/>
  <c r="CP147" i="1"/>
  <c r="CB147" i="1"/>
  <c r="CA147" i="1"/>
  <c r="BT147" i="1"/>
  <c r="BR147" i="1"/>
  <c r="BQ147" i="1"/>
  <c r="BK147" i="1"/>
  <c r="BD147" i="1"/>
  <c r="BB147" i="1"/>
  <c r="AZ147" i="1"/>
  <c r="AY147" i="1"/>
  <c r="AX147" i="1"/>
  <c r="AW147" i="1"/>
  <c r="AV147" i="1"/>
  <c r="AU147" i="1"/>
  <c r="AR147" i="1"/>
  <c r="AP147" i="1"/>
  <c r="AG147" i="1"/>
  <c r="AE147" i="1"/>
  <c r="Y147" i="1"/>
  <c r="X147" i="1"/>
  <c r="W147" i="1"/>
  <c r="V147" i="1"/>
  <c r="Q147" i="1"/>
  <c r="N147" i="1"/>
  <c r="I147" i="1"/>
  <c r="FY146" i="1"/>
  <c r="FT146" i="1"/>
  <c r="FJ146" i="1"/>
  <c r="EQ146" i="1"/>
  <c r="EN146" i="1"/>
  <c r="EK146" i="1"/>
  <c r="EI146" i="1"/>
  <c r="EH146" i="1"/>
  <c r="EG146" i="1"/>
  <c r="EF146" i="1"/>
  <c r="EE146" i="1"/>
  <c r="ED146" i="1"/>
  <c r="DP146" i="1"/>
  <c r="DN146" i="1"/>
  <c r="CY146" i="1"/>
  <c r="CV146" i="1"/>
  <c r="CQ146" i="1"/>
  <c r="BT146" i="1"/>
  <c r="BG146" i="1"/>
  <c r="BD146" i="1"/>
  <c r="BB146" i="1"/>
  <c r="AZ146" i="1"/>
  <c r="AY146" i="1"/>
  <c r="AX146" i="1"/>
  <c r="AW146" i="1"/>
  <c r="AV146" i="1"/>
  <c r="AU146" i="1"/>
  <c r="AG146" i="1"/>
  <c r="AE146" i="1"/>
  <c r="Q146" i="1"/>
  <c r="N146" i="1"/>
  <c r="I146" i="1"/>
  <c r="FY145" i="1"/>
  <c r="FV145" i="1"/>
  <c r="FO145" i="1"/>
  <c r="FN145" i="1"/>
  <c r="FJ145" i="1"/>
  <c r="DU145" i="1"/>
  <c r="CR145" i="1"/>
  <c r="CQ145" i="1"/>
  <c r="CN145" i="1"/>
  <c r="CI145" i="1"/>
  <c r="CH145" i="1"/>
  <c r="AL145" i="1"/>
  <c r="J145" i="1"/>
  <c r="I145" i="1"/>
  <c r="H145" i="1"/>
  <c r="FY144" i="1"/>
  <c r="FX144" i="1"/>
  <c r="FT144" i="1"/>
  <c r="FJ144" i="1"/>
  <c r="FE144" i="1"/>
  <c r="FD144" i="1"/>
  <c r="FC144" i="1"/>
  <c r="FB144" i="1"/>
  <c r="EO144" i="1"/>
  <c r="EN144" i="1"/>
  <c r="EH144" i="1"/>
  <c r="EF144" i="1"/>
  <c r="EE144" i="1"/>
  <c r="ED144" i="1"/>
  <c r="EA144" i="1"/>
  <c r="DY144" i="1"/>
  <c r="DP144" i="1"/>
  <c r="DN144" i="1"/>
  <c r="DG144" i="1"/>
  <c r="DE144" i="1"/>
  <c r="DD144" i="1"/>
  <c r="CY144" i="1"/>
  <c r="CV144" i="1"/>
  <c r="CQ144" i="1"/>
  <c r="CP144" i="1"/>
  <c r="BR144" i="1"/>
  <c r="BQ144" i="1"/>
  <c r="BP144" i="1"/>
  <c r="BO144" i="1"/>
  <c r="BE144" i="1"/>
  <c r="BD144" i="1"/>
  <c r="AY144" i="1"/>
  <c r="AW144" i="1"/>
  <c r="AV144" i="1"/>
  <c r="AU144" i="1"/>
  <c r="AR144" i="1"/>
  <c r="AP144" i="1"/>
  <c r="AG144" i="1"/>
  <c r="AE144" i="1"/>
  <c r="Y144" i="1"/>
  <c r="W144" i="1"/>
  <c r="V144" i="1"/>
  <c r="Q144" i="1"/>
  <c r="N144" i="1"/>
  <c r="I144" i="1"/>
  <c r="FY143" i="1"/>
  <c r="FT143" i="1"/>
  <c r="FJ143" i="1"/>
  <c r="EI143" i="1"/>
  <c r="EH143" i="1"/>
  <c r="EG143" i="1"/>
  <c r="EF143" i="1"/>
  <c r="ED143" i="1"/>
  <c r="CU143" i="1"/>
  <c r="CT143" i="1"/>
  <c r="CQ143" i="1"/>
  <c r="AZ143" i="1"/>
  <c r="AY143" i="1"/>
  <c r="AX143" i="1"/>
  <c r="AW143" i="1"/>
  <c r="AU143" i="1"/>
  <c r="M143" i="1"/>
  <c r="L143" i="1"/>
  <c r="I143" i="1"/>
  <c r="FY142" i="1"/>
  <c r="FV142" i="1"/>
  <c r="FO142" i="1"/>
  <c r="FN142" i="1"/>
  <c r="FM142" i="1"/>
  <c r="FJ142" i="1"/>
  <c r="FG142" i="1"/>
  <c r="DV142" i="1"/>
  <c r="CR142" i="1"/>
  <c r="CQ142" i="1"/>
  <c r="CN142" i="1"/>
  <c r="CI142" i="1"/>
  <c r="CH142" i="1"/>
  <c r="CG142" i="1"/>
  <c r="BW142" i="1"/>
  <c r="AM142" i="1"/>
  <c r="J142" i="1"/>
  <c r="I142" i="1"/>
  <c r="H142" i="1"/>
  <c r="FY141" i="1"/>
  <c r="FV141" i="1"/>
  <c r="FN141" i="1"/>
  <c r="FJ141" i="1"/>
  <c r="FG141" i="1"/>
  <c r="DO141" i="1"/>
  <c r="DL141" i="1"/>
  <c r="CR141" i="1"/>
  <c r="CQ141" i="1"/>
  <c r="CN141" i="1"/>
  <c r="CI141" i="1"/>
  <c r="CH141" i="1"/>
  <c r="BW141" i="1"/>
  <c r="AF141" i="1"/>
  <c r="AC141" i="1"/>
  <c r="J141" i="1"/>
  <c r="I141" i="1"/>
  <c r="H141" i="1"/>
  <c r="FY140" i="1"/>
  <c r="FX140" i="1"/>
  <c r="FT140" i="1"/>
  <c r="FJ140" i="1"/>
  <c r="EV140" i="1"/>
  <c r="ER140" i="1"/>
  <c r="EO140" i="1"/>
  <c r="EN140" i="1"/>
  <c r="EK140" i="1"/>
  <c r="EI140" i="1"/>
  <c r="EH140" i="1"/>
  <c r="EF140" i="1"/>
  <c r="ED140" i="1"/>
  <c r="EA140" i="1"/>
  <c r="DY140" i="1"/>
  <c r="DP140" i="1"/>
  <c r="DN140" i="1"/>
  <c r="DH140" i="1"/>
  <c r="DG140" i="1"/>
  <c r="DF140" i="1"/>
  <c r="DE140" i="1"/>
  <c r="DD140" i="1"/>
  <c r="CY140" i="1"/>
  <c r="CV140" i="1"/>
  <c r="CQ140" i="1"/>
  <c r="CP140" i="1"/>
  <c r="BT140" i="1"/>
  <c r="BE140" i="1"/>
  <c r="BD140" i="1"/>
  <c r="BB140" i="1"/>
  <c r="AZ140" i="1"/>
  <c r="AY140" i="1"/>
  <c r="AW140" i="1"/>
  <c r="AU140" i="1"/>
  <c r="AR140" i="1"/>
  <c r="AP140" i="1"/>
  <c r="AG140" i="1"/>
  <c r="AE140" i="1"/>
  <c r="Z140" i="1"/>
  <c r="Y140" i="1"/>
  <c r="X140" i="1"/>
  <c r="W140" i="1"/>
  <c r="V140" i="1"/>
  <c r="Q140" i="1"/>
  <c r="N140" i="1"/>
  <c r="I140" i="1"/>
  <c r="FY139" i="1"/>
  <c r="FX139" i="1"/>
  <c r="FV139" i="1"/>
  <c r="FN139" i="1"/>
  <c r="FJ139" i="1"/>
  <c r="FG139" i="1"/>
  <c r="DS139" i="1"/>
  <c r="DR139" i="1"/>
  <c r="CR139" i="1"/>
  <c r="CQ139" i="1"/>
  <c r="CP139" i="1"/>
  <c r="CO139" i="1"/>
  <c r="CN139" i="1"/>
  <c r="CI139" i="1"/>
  <c r="CH139" i="1"/>
  <c r="BW139" i="1"/>
  <c r="AJ139" i="1"/>
  <c r="AI139" i="1"/>
  <c r="J139" i="1"/>
  <c r="I139" i="1"/>
  <c r="H139" i="1"/>
  <c r="FY138" i="1"/>
  <c r="FV138" i="1"/>
  <c r="FS138" i="1"/>
  <c r="FO138" i="1"/>
  <c r="FN138" i="1"/>
  <c r="FM138" i="1"/>
  <c r="FJ138" i="1"/>
  <c r="FG138" i="1"/>
  <c r="CR138" i="1"/>
  <c r="CQ138" i="1"/>
  <c r="CN138" i="1"/>
  <c r="CL138" i="1"/>
  <c r="CI138" i="1"/>
  <c r="CH138" i="1"/>
  <c r="CG138" i="1"/>
  <c r="BW138" i="1"/>
  <c r="J138" i="1"/>
  <c r="I138" i="1"/>
  <c r="H138" i="1"/>
  <c r="FY137" i="1"/>
  <c r="FX137" i="1"/>
  <c r="FT137" i="1"/>
  <c r="FJ137" i="1"/>
  <c r="FD137" i="1"/>
  <c r="EN137" i="1"/>
  <c r="EK137" i="1"/>
  <c r="EI137" i="1"/>
  <c r="EH137" i="1"/>
  <c r="EG137" i="1"/>
  <c r="EF137" i="1"/>
  <c r="EE137" i="1"/>
  <c r="ED137" i="1"/>
  <c r="EA137" i="1"/>
  <c r="DY137" i="1"/>
  <c r="DP137" i="1"/>
  <c r="DN137" i="1"/>
  <c r="DH137" i="1"/>
  <c r="CY137" i="1"/>
  <c r="CV137" i="1"/>
  <c r="CQ137" i="1"/>
  <c r="CP137" i="1"/>
  <c r="BQ137" i="1"/>
  <c r="BD137" i="1"/>
  <c r="BB137" i="1"/>
  <c r="AZ137" i="1"/>
  <c r="AY137" i="1"/>
  <c r="AX137" i="1"/>
  <c r="AW137" i="1"/>
  <c r="AV137" i="1"/>
  <c r="AU137" i="1"/>
  <c r="AR137" i="1"/>
  <c r="AP137" i="1"/>
  <c r="AG137" i="1"/>
  <c r="AE137" i="1"/>
  <c r="Z137" i="1"/>
  <c r="Q137" i="1"/>
  <c r="N137" i="1"/>
  <c r="I137" i="1"/>
  <c r="FY136" i="1"/>
  <c r="FN136" i="1"/>
  <c r="FJ136" i="1"/>
  <c r="CS136" i="1"/>
  <c r="CR136" i="1"/>
  <c r="CQ136" i="1"/>
  <c r="CH136" i="1"/>
  <c r="K136" i="1"/>
  <c r="J136" i="1"/>
  <c r="I136" i="1"/>
  <c r="H136" i="1"/>
  <c r="FY135" i="1"/>
  <c r="FV135" i="1"/>
  <c r="FP135" i="1"/>
  <c r="FN135" i="1"/>
  <c r="FM135" i="1"/>
  <c r="FJ135" i="1"/>
  <c r="FG135" i="1"/>
  <c r="CS135" i="1"/>
  <c r="CR135" i="1"/>
  <c r="CQ135" i="1"/>
  <c r="CN135" i="1"/>
  <c r="CJ135" i="1"/>
  <c r="CH135" i="1"/>
  <c r="CG135" i="1"/>
  <c r="BW135" i="1"/>
  <c r="K135" i="1"/>
  <c r="J135" i="1"/>
  <c r="I135" i="1"/>
  <c r="H135" i="1"/>
  <c r="FY134" i="1"/>
  <c r="FT134" i="1"/>
  <c r="FJ134" i="1"/>
  <c r="EH134" i="1"/>
  <c r="EF134" i="1"/>
  <c r="ED134" i="1"/>
  <c r="DA134" i="1"/>
  <c r="CZ134" i="1"/>
  <c r="CQ134" i="1"/>
  <c r="AY134" i="1"/>
  <c r="AW134" i="1"/>
  <c r="AU134" i="1"/>
  <c r="S134" i="1"/>
  <c r="R134" i="1"/>
  <c r="I134" i="1"/>
  <c r="FY133" i="1"/>
  <c r="FV133" i="1"/>
  <c r="FN133" i="1"/>
  <c r="FM133" i="1"/>
  <c r="FJ133" i="1"/>
  <c r="EL133" i="1"/>
  <c r="EB133" i="1"/>
  <c r="CR133" i="1"/>
  <c r="CQ133" i="1"/>
  <c r="CN133" i="1"/>
  <c r="CH133" i="1"/>
  <c r="CG133" i="1"/>
  <c r="BC133" i="1"/>
  <c r="AS133" i="1"/>
  <c r="J133" i="1"/>
  <c r="I133" i="1"/>
  <c r="H133" i="1"/>
  <c r="FY132" i="1"/>
  <c r="FV132" i="1"/>
  <c r="FO132" i="1"/>
  <c r="FN132" i="1"/>
  <c r="FJ132" i="1"/>
  <c r="EC132" i="1"/>
  <c r="CR132" i="1"/>
  <c r="CQ132" i="1"/>
  <c r="CN132" i="1"/>
  <c r="CI132" i="1"/>
  <c r="CH132" i="1"/>
  <c r="BW132" i="1"/>
  <c r="AT132" i="1"/>
  <c r="J132" i="1"/>
  <c r="I132" i="1"/>
  <c r="H132" i="1"/>
  <c r="FY131" i="1"/>
  <c r="FT131" i="1"/>
  <c r="FJ131" i="1"/>
  <c r="FC131" i="1"/>
  <c r="FB131" i="1"/>
  <c r="EO131" i="1"/>
  <c r="EN131" i="1"/>
  <c r="EI131" i="1"/>
  <c r="EH131" i="1"/>
  <c r="EG131" i="1"/>
  <c r="EF131" i="1"/>
  <c r="EE131" i="1"/>
  <c r="ED131" i="1"/>
  <c r="EA131" i="1"/>
  <c r="DY131" i="1"/>
  <c r="DP131" i="1"/>
  <c r="DN131" i="1"/>
  <c r="DG131" i="1"/>
  <c r="DF131" i="1"/>
  <c r="DE131" i="1"/>
  <c r="DD131" i="1"/>
  <c r="CY131" i="1"/>
  <c r="CV131" i="1"/>
  <c r="CQ131" i="1"/>
  <c r="BP131" i="1"/>
  <c r="BO131" i="1"/>
  <c r="BE131" i="1"/>
  <c r="BD131" i="1"/>
  <c r="AZ131" i="1"/>
  <c r="AY131" i="1"/>
  <c r="AX131" i="1"/>
  <c r="AW131" i="1"/>
  <c r="AV131" i="1"/>
  <c r="AU131" i="1"/>
  <c r="AR131" i="1"/>
  <c r="AP131" i="1"/>
  <c r="AG131" i="1"/>
  <c r="AE131" i="1"/>
  <c r="Y131" i="1"/>
  <c r="X131" i="1"/>
  <c r="W131" i="1"/>
  <c r="V131" i="1"/>
  <c r="Q131" i="1"/>
  <c r="N131" i="1"/>
  <c r="I131" i="1"/>
  <c r="FY130" i="1"/>
  <c r="FT130" i="1"/>
  <c r="FJ130" i="1"/>
  <c r="FB130" i="1"/>
  <c r="EN130" i="1"/>
  <c r="EI130" i="1"/>
  <c r="EH130" i="1"/>
  <c r="EF130" i="1"/>
  <c r="EE130" i="1"/>
  <c r="ED130" i="1"/>
  <c r="EA130" i="1"/>
  <c r="DY130" i="1"/>
  <c r="DP130" i="1"/>
  <c r="DN130" i="1"/>
  <c r="DE130" i="1"/>
  <c r="CY130" i="1"/>
  <c r="CV130" i="1"/>
  <c r="CQ130" i="1"/>
  <c r="CA130" i="1"/>
  <c r="BY130" i="1"/>
  <c r="BS130" i="1"/>
  <c r="BO130" i="1"/>
  <c r="BD130" i="1"/>
  <c r="AZ130" i="1"/>
  <c r="AY130" i="1"/>
  <c r="AW130" i="1"/>
  <c r="AV130" i="1"/>
  <c r="AU130" i="1"/>
  <c r="AR130" i="1"/>
  <c r="AP130" i="1"/>
  <c r="AG130" i="1"/>
  <c r="AE130" i="1"/>
  <c r="W130" i="1"/>
  <c r="Q130" i="1"/>
  <c r="N130" i="1"/>
  <c r="I130" i="1"/>
  <c r="FY129" i="1"/>
  <c r="FT129" i="1"/>
  <c r="FJ129" i="1"/>
  <c r="FB129" i="1"/>
  <c r="EN129" i="1"/>
  <c r="EI129" i="1"/>
  <c r="EH129" i="1"/>
  <c r="EG129" i="1"/>
  <c r="EF129" i="1"/>
  <c r="EE129" i="1"/>
  <c r="ED129" i="1"/>
  <c r="EA129" i="1"/>
  <c r="DY129" i="1"/>
  <c r="DP129" i="1"/>
  <c r="DN129" i="1"/>
  <c r="CY129" i="1"/>
  <c r="CV129" i="1"/>
  <c r="CQ129" i="1"/>
  <c r="BY129" i="1"/>
  <c r="BT129" i="1"/>
  <c r="BS129" i="1"/>
  <c r="BO129" i="1"/>
  <c r="BD129" i="1"/>
  <c r="AZ129" i="1"/>
  <c r="AY129" i="1"/>
  <c r="AX129" i="1"/>
  <c r="AW129" i="1"/>
  <c r="AV129" i="1"/>
  <c r="AU129" i="1"/>
  <c r="AR129" i="1"/>
  <c r="AP129" i="1"/>
  <c r="AG129" i="1"/>
  <c r="AE129" i="1"/>
  <c r="Q129" i="1"/>
  <c r="N129" i="1"/>
  <c r="I129" i="1"/>
  <c r="FY128" i="1"/>
  <c r="FX128" i="1"/>
  <c r="FT128" i="1"/>
  <c r="FJ128" i="1"/>
  <c r="FD128" i="1"/>
  <c r="EO128" i="1"/>
  <c r="EN128" i="1"/>
  <c r="EK128" i="1"/>
  <c r="EH128" i="1"/>
  <c r="EG128" i="1"/>
  <c r="EF128" i="1"/>
  <c r="EE128" i="1"/>
  <c r="ED128" i="1"/>
  <c r="EA128" i="1"/>
  <c r="DY128" i="1"/>
  <c r="DN128" i="1"/>
  <c r="DG128" i="1"/>
  <c r="DF128" i="1"/>
  <c r="CY128" i="1"/>
  <c r="CV128" i="1"/>
  <c r="CQ128" i="1"/>
  <c r="CP128" i="1"/>
  <c r="BT128" i="1"/>
  <c r="BQ128" i="1"/>
  <c r="BE128" i="1"/>
  <c r="BD128" i="1"/>
  <c r="BB128" i="1"/>
  <c r="AY128" i="1"/>
  <c r="AX128" i="1"/>
  <c r="AW128" i="1"/>
  <c r="AV128" i="1"/>
  <c r="AU128" i="1"/>
  <c r="AR128" i="1"/>
  <c r="AP128" i="1"/>
  <c r="AE128" i="1"/>
  <c r="Y128" i="1"/>
  <c r="X128" i="1"/>
  <c r="Q128" i="1"/>
  <c r="N128" i="1"/>
  <c r="I128" i="1"/>
  <c r="FY127" i="1"/>
  <c r="FV127" i="1"/>
  <c r="FO127" i="1"/>
  <c r="FN127" i="1"/>
  <c r="FM127" i="1"/>
  <c r="FJ127" i="1"/>
  <c r="FG127" i="1"/>
  <c r="EW127" i="1"/>
  <c r="DS127" i="1"/>
  <c r="DR127" i="1"/>
  <c r="CR127" i="1"/>
  <c r="CQ127" i="1"/>
  <c r="CN127" i="1"/>
  <c r="CI127" i="1"/>
  <c r="CH127" i="1"/>
  <c r="CG127" i="1"/>
  <c r="BW127" i="1"/>
  <c r="AJ127" i="1"/>
  <c r="AI127" i="1"/>
  <c r="J127" i="1"/>
  <c r="I127" i="1"/>
  <c r="H127" i="1"/>
  <c r="FY126" i="1"/>
  <c r="FX126" i="1"/>
  <c r="FK126" i="1"/>
  <c r="DM126" i="1"/>
  <c r="CR126" i="1"/>
  <c r="CQ126" i="1"/>
  <c r="CP126" i="1"/>
  <c r="CN126" i="1"/>
  <c r="CH126" i="1"/>
  <c r="CE126" i="1"/>
  <c r="BC126" i="1"/>
  <c r="AD126" i="1"/>
  <c r="J126" i="1"/>
  <c r="I126" i="1"/>
  <c r="H126" i="1"/>
  <c r="FY125" i="1"/>
  <c r="FT125" i="1"/>
  <c r="FJ125" i="1"/>
  <c r="FD125" i="1"/>
  <c r="EU125" i="1"/>
  <c r="ET125" i="1"/>
  <c r="EP125" i="1"/>
  <c r="EO125" i="1"/>
  <c r="EN125" i="1"/>
  <c r="EK125" i="1"/>
  <c r="EH125" i="1"/>
  <c r="ED125" i="1"/>
  <c r="DN125" i="1"/>
  <c r="CY125" i="1"/>
  <c r="CV125" i="1"/>
  <c r="CQ125" i="1"/>
  <c r="BT125" i="1"/>
  <c r="BS125" i="1"/>
  <c r="BQ125" i="1"/>
  <c r="BJ125" i="1"/>
  <c r="BI125" i="1"/>
  <c r="BF125" i="1"/>
  <c r="BE125" i="1"/>
  <c r="BD125" i="1"/>
  <c r="BB125" i="1"/>
  <c r="AY125" i="1"/>
  <c r="AU125" i="1"/>
  <c r="AE125" i="1"/>
  <c r="Q125" i="1"/>
  <c r="N125" i="1"/>
  <c r="I125" i="1"/>
  <c r="FY124" i="1"/>
  <c r="FT124" i="1"/>
  <c r="FJ124" i="1"/>
  <c r="FE124" i="1"/>
  <c r="FD124" i="1"/>
  <c r="FB124" i="1"/>
  <c r="EO124" i="1"/>
  <c r="EK124" i="1"/>
  <c r="EH124" i="1"/>
  <c r="EF124" i="1"/>
  <c r="ED124" i="1"/>
  <c r="EA124" i="1"/>
  <c r="DY124" i="1"/>
  <c r="DP124" i="1"/>
  <c r="DN124" i="1"/>
  <c r="DG124" i="1"/>
  <c r="DF124" i="1"/>
  <c r="DE124" i="1"/>
  <c r="DD124" i="1"/>
  <c r="DC124" i="1"/>
  <c r="CY124" i="1"/>
  <c r="CV124" i="1"/>
  <c r="CQ124" i="1"/>
  <c r="BR124" i="1"/>
  <c r="BQ124" i="1"/>
  <c r="BO124" i="1"/>
  <c r="BE124" i="1"/>
  <c r="BB124" i="1"/>
  <c r="AY124" i="1"/>
  <c r="AW124" i="1"/>
  <c r="AU124" i="1"/>
  <c r="AR124" i="1"/>
  <c r="AP124" i="1"/>
  <c r="AG124" i="1"/>
  <c r="AE124" i="1"/>
  <c r="Y124" i="1"/>
  <c r="X124" i="1"/>
  <c r="W124" i="1"/>
  <c r="V124" i="1"/>
  <c r="U124" i="1"/>
  <c r="Q124" i="1"/>
  <c r="N124" i="1"/>
  <c r="I124" i="1"/>
  <c r="FY123" i="1"/>
  <c r="FX123" i="1"/>
  <c r="FT123" i="1"/>
  <c r="FJ123" i="1"/>
  <c r="EN123" i="1"/>
  <c r="EK123" i="1"/>
  <c r="EI123" i="1"/>
  <c r="EH123" i="1"/>
  <c r="EF123" i="1"/>
  <c r="EE123" i="1"/>
  <c r="ED123" i="1"/>
  <c r="CY123" i="1"/>
  <c r="CV123" i="1"/>
  <c r="CQ123" i="1"/>
  <c r="CP123" i="1"/>
  <c r="CA123" i="1"/>
  <c r="BY123" i="1"/>
  <c r="BX123" i="1"/>
  <c r="BW123" i="1"/>
  <c r="BT123" i="1"/>
  <c r="BS123" i="1"/>
  <c r="BD123" i="1"/>
  <c r="BB123" i="1"/>
  <c r="AZ123" i="1"/>
  <c r="AY123" i="1"/>
  <c r="AW123" i="1"/>
  <c r="AV123" i="1"/>
  <c r="AU123" i="1"/>
  <c r="Q123" i="1"/>
  <c r="N123" i="1"/>
  <c r="I123" i="1"/>
  <c r="FY122" i="1"/>
  <c r="FV122" i="1"/>
  <c r="FN122" i="1"/>
  <c r="FM122" i="1"/>
  <c r="FJ122" i="1"/>
  <c r="EW122" i="1"/>
  <c r="EL122" i="1"/>
  <c r="DW122" i="1"/>
  <c r="CR122" i="1"/>
  <c r="CQ122" i="1"/>
  <c r="CN122" i="1"/>
  <c r="CI122" i="1"/>
  <c r="CH122" i="1"/>
  <c r="CG122" i="1"/>
  <c r="BW122" i="1"/>
  <c r="BC122" i="1"/>
  <c r="AN122" i="1"/>
  <c r="J122" i="1"/>
  <c r="I122" i="1"/>
  <c r="H122" i="1"/>
  <c r="FY121" i="1"/>
  <c r="FV121" i="1"/>
  <c r="FS121" i="1"/>
  <c r="FO121" i="1"/>
  <c r="FN121" i="1"/>
  <c r="FM121" i="1"/>
  <c r="FJ121" i="1"/>
  <c r="FG121" i="1"/>
  <c r="DR121" i="1"/>
  <c r="CS121" i="1"/>
  <c r="CR121" i="1"/>
  <c r="CQ121" i="1"/>
  <c r="CN121" i="1"/>
  <c r="CL121" i="1"/>
  <c r="CI121" i="1"/>
  <c r="CH121" i="1"/>
  <c r="CG121" i="1"/>
  <c r="BW121" i="1"/>
  <c r="AI121" i="1"/>
  <c r="K121" i="1"/>
  <c r="J121" i="1"/>
  <c r="I121" i="1"/>
  <c r="H121" i="1"/>
  <c r="FY120" i="1"/>
  <c r="FT120" i="1"/>
  <c r="FJ120" i="1"/>
  <c r="EN120" i="1"/>
  <c r="EK120" i="1"/>
  <c r="EI120" i="1"/>
  <c r="EH120" i="1"/>
  <c r="EF120" i="1"/>
  <c r="ED120" i="1"/>
  <c r="DY120" i="1"/>
  <c r="DP120" i="1"/>
  <c r="DN120" i="1"/>
  <c r="DD120" i="1"/>
  <c r="CY120" i="1"/>
  <c r="CV120" i="1"/>
  <c r="CQ120" i="1"/>
  <c r="CA120" i="1"/>
  <c r="BT120" i="1"/>
  <c r="BD120" i="1"/>
  <c r="BB120" i="1"/>
  <c r="AZ120" i="1"/>
  <c r="AY120" i="1"/>
  <c r="AW120" i="1"/>
  <c r="AU120" i="1"/>
  <c r="AP120" i="1"/>
  <c r="AG120" i="1"/>
  <c r="AE120" i="1"/>
  <c r="V120" i="1"/>
  <c r="Q120" i="1"/>
  <c r="N120" i="1"/>
  <c r="I120" i="1"/>
  <c r="FY119" i="1"/>
  <c r="FV119" i="1"/>
  <c r="FS119" i="1"/>
  <c r="FP119" i="1"/>
  <c r="FO119" i="1"/>
  <c r="FN119" i="1"/>
  <c r="FM119" i="1"/>
  <c r="FJ119" i="1"/>
  <c r="FG119" i="1"/>
  <c r="CS119" i="1"/>
  <c r="CR119" i="1"/>
  <c r="CQ119" i="1"/>
  <c r="CN119" i="1"/>
  <c r="CL119" i="1"/>
  <c r="CJ119" i="1"/>
  <c r="CI119" i="1"/>
  <c r="CH119" i="1"/>
  <c r="CG119" i="1"/>
  <c r="BW119" i="1"/>
  <c r="K119" i="1"/>
  <c r="J119" i="1"/>
  <c r="I119" i="1"/>
  <c r="H119" i="1"/>
  <c r="FY118" i="1"/>
  <c r="FV118" i="1"/>
  <c r="FN118" i="1"/>
  <c r="FM118" i="1"/>
  <c r="CS118" i="1"/>
  <c r="CR118" i="1"/>
  <c r="CQ118" i="1"/>
  <c r="CN118" i="1"/>
  <c r="CH118" i="1"/>
  <c r="CG118" i="1"/>
  <c r="K118" i="1"/>
  <c r="J118" i="1"/>
  <c r="I118" i="1"/>
  <c r="H118" i="1"/>
  <c r="FY117" i="1"/>
  <c r="FX117" i="1"/>
  <c r="FV117" i="1"/>
  <c r="FO117" i="1"/>
  <c r="FN117" i="1"/>
  <c r="FJ117" i="1"/>
  <c r="CS117" i="1"/>
  <c r="CR117" i="1"/>
  <c r="CQ117" i="1"/>
  <c r="CP117" i="1"/>
  <c r="CN117" i="1"/>
  <c r="CI117" i="1"/>
  <c r="CH117" i="1"/>
  <c r="K117" i="1"/>
  <c r="J117" i="1"/>
  <c r="I117" i="1"/>
  <c r="H117" i="1"/>
  <c r="FY116" i="1"/>
  <c r="EN116" i="1"/>
  <c r="CQ116" i="1"/>
  <c r="BD116" i="1"/>
  <c r="I116" i="1"/>
  <c r="FY115" i="1"/>
  <c r="FV115" i="1"/>
  <c r="FS115" i="1"/>
  <c r="FO115" i="1"/>
  <c r="FN115" i="1"/>
  <c r="FM115" i="1"/>
  <c r="FJ115" i="1"/>
  <c r="FG115" i="1"/>
  <c r="CR115" i="1"/>
  <c r="CQ115" i="1"/>
  <c r="CN115" i="1"/>
  <c r="CL115" i="1"/>
  <c r="CI115" i="1"/>
  <c r="CH115" i="1"/>
  <c r="CG115" i="1"/>
  <c r="BW115" i="1"/>
  <c r="J115" i="1"/>
  <c r="I115" i="1"/>
  <c r="H115" i="1"/>
  <c r="FY114" i="1"/>
  <c r="FX114" i="1"/>
  <c r="FT114" i="1"/>
  <c r="FJ114" i="1"/>
  <c r="EV114" i="1"/>
  <c r="EQ114" i="1"/>
  <c r="EN114" i="1"/>
  <c r="EH114" i="1"/>
  <c r="EF114" i="1"/>
  <c r="ED114" i="1"/>
  <c r="DP114" i="1"/>
  <c r="DN114" i="1"/>
  <c r="CQ114" i="1"/>
  <c r="CP114" i="1"/>
  <c r="BY114" i="1"/>
  <c r="BG114" i="1"/>
  <c r="BD114" i="1"/>
  <c r="AY114" i="1"/>
  <c r="AW114" i="1"/>
  <c r="AU114" i="1"/>
  <c r="AG114" i="1"/>
  <c r="AE114" i="1"/>
  <c r="I114" i="1"/>
  <c r="FY113" i="1"/>
  <c r="FT113" i="1"/>
  <c r="FJ113" i="1"/>
  <c r="EV113" i="1"/>
  <c r="EO113" i="1"/>
  <c r="EN113" i="1"/>
  <c r="EK113" i="1"/>
  <c r="EH113" i="1"/>
  <c r="EG113" i="1"/>
  <c r="EF113" i="1"/>
  <c r="ED113" i="1"/>
  <c r="EA113" i="1"/>
  <c r="DY113" i="1"/>
  <c r="DP113" i="1"/>
  <c r="DN113" i="1"/>
  <c r="DD113" i="1"/>
  <c r="CY113" i="1"/>
  <c r="CV113" i="1"/>
  <c r="CQ113" i="1"/>
  <c r="CA113" i="1"/>
  <c r="BY113" i="1"/>
  <c r="BW113" i="1"/>
  <c r="BT113" i="1"/>
  <c r="BS113" i="1"/>
  <c r="BE113" i="1"/>
  <c r="BD113" i="1"/>
  <c r="BB113" i="1"/>
  <c r="AY113" i="1"/>
  <c r="AX113" i="1"/>
  <c r="AW113" i="1"/>
  <c r="AU113" i="1"/>
  <c r="AR113" i="1"/>
  <c r="AP113" i="1"/>
  <c r="AG113" i="1"/>
  <c r="AE113" i="1"/>
  <c r="V113" i="1"/>
  <c r="Q113" i="1"/>
  <c r="N113" i="1"/>
  <c r="I113" i="1"/>
  <c r="FY112" i="1"/>
  <c r="FT112" i="1"/>
  <c r="FJ112" i="1"/>
  <c r="ER112" i="1"/>
  <c r="EQ112" i="1"/>
  <c r="EN112" i="1"/>
  <c r="EK112" i="1"/>
  <c r="EI112" i="1"/>
  <c r="EH112" i="1"/>
  <c r="EF112" i="1"/>
  <c r="EE112" i="1"/>
  <c r="ED112" i="1"/>
  <c r="CY112" i="1"/>
  <c r="CV112" i="1"/>
  <c r="CQ112" i="1"/>
  <c r="CA112" i="1"/>
  <c r="BX112" i="1"/>
  <c r="BU112" i="1"/>
  <c r="BT112" i="1"/>
  <c r="BS112" i="1"/>
  <c r="BG112" i="1"/>
  <c r="BD112" i="1"/>
  <c r="BB112" i="1"/>
  <c r="AZ112" i="1"/>
  <c r="AY112" i="1"/>
  <c r="AW112" i="1"/>
  <c r="AV112" i="1"/>
  <c r="AU112" i="1"/>
  <c r="Q112" i="1"/>
  <c r="N112" i="1"/>
  <c r="I112" i="1"/>
  <c r="FY110" i="1"/>
  <c r="FT110" i="1"/>
  <c r="FJ110" i="1"/>
  <c r="EK110" i="1"/>
  <c r="EH110" i="1"/>
  <c r="EF110" i="1"/>
  <c r="ED110" i="1"/>
  <c r="DA110" i="1"/>
  <c r="CZ110" i="1"/>
  <c r="CQ110" i="1"/>
  <c r="BY110" i="1"/>
  <c r="BU110" i="1"/>
  <c r="BS110" i="1"/>
  <c r="BB110" i="1"/>
  <c r="AY110" i="1"/>
  <c r="AW110" i="1"/>
  <c r="AU110" i="1"/>
  <c r="S110" i="1"/>
  <c r="R110" i="1"/>
  <c r="I110" i="1"/>
  <c r="FY109" i="1"/>
  <c r="FX109" i="1"/>
  <c r="FT109" i="1"/>
  <c r="FJ109" i="1"/>
  <c r="FF109" i="1"/>
  <c r="EO109" i="1"/>
  <c r="EN109" i="1"/>
  <c r="EK109" i="1"/>
  <c r="EI109" i="1"/>
  <c r="EH109" i="1"/>
  <c r="EG109" i="1"/>
  <c r="EF109" i="1"/>
  <c r="ED109" i="1"/>
  <c r="DP109" i="1"/>
  <c r="DN109" i="1"/>
  <c r="DG109" i="1"/>
  <c r="DF109" i="1"/>
  <c r="DD109" i="1"/>
  <c r="CY109" i="1"/>
  <c r="CV109" i="1"/>
  <c r="CQ109" i="1"/>
  <c r="CP109" i="1"/>
  <c r="CC109" i="1"/>
  <c r="BY109" i="1"/>
  <c r="BW109" i="1"/>
  <c r="BU109" i="1"/>
  <c r="BT109" i="1"/>
  <c r="BS109" i="1"/>
  <c r="BE109" i="1"/>
  <c r="BD109" i="1"/>
  <c r="BB109" i="1"/>
  <c r="AZ109" i="1"/>
  <c r="AY109" i="1"/>
  <c r="AX109" i="1"/>
  <c r="AW109" i="1"/>
  <c r="AU109" i="1"/>
  <c r="AG109" i="1"/>
  <c r="AE109" i="1"/>
  <c r="Y109" i="1"/>
  <c r="X109" i="1"/>
  <c r="V109" i="1"/>
  <c r="Q109" i="1"/>
  <c r="N109" i="1"/>
  <c r="I109" i="1"/>
  <c r="FY108" i="1"/>
  <c r="FX108" i="1"/>
  <c r="FT108" i="1"/>
  <c r="FJ108" i="1"/>
  <c r="EN108" i="1"/>
  <c r="EK108" i="1"/>
  <c r="EH108" i="1"/>
  <c r="EF108" i="1"/>
  <c r="ED108" i="1"/>
  <c r="DC108" i="1"/>
  <c r="CY108" i="1"/>
  <c r="CV108" i="1"/>
  <c r="CQ108" i="1"/>
  <c r="CP108" i="1"/>
  <c r="CA108" i="1"/>
  <c r="BX108" i="1"/>
  <c r="BW108" i="1"/>
  <c r="BT108" i="1"/>
  <c r="BD108" i="1"/>
  <c r="BB108" i="1"/>
  <c r="AY108" i="1"/>
  <c r="AW108" i="1"/>
  <c r="AU108" i="1"/>
  <c r="U108" i="1"/>
  <c r="Q108" i="1"/>
  <c r="N108" i="1"/>
  <c r="I108" i="1"/>
  <c r="FY107" i="1"/>
  <c r="FT107" i="1"/>
  <c r="FJ107" i="1"/>
  <c r="EK107" i="1"/>
  <c r="EH107" i="1"/>
  <c r="EF107" i="1"/>
  <c r="ED107" i="1"/>
  <c r="DA107" i="1"/>
  <c r="CZ107" i="1"/>
  <c r="CQ107" i="1"/>
  <c r="BB107" i="1"/>
  <c r="AY107" i="1"/>
  <c r="AW107" i="1"/>
  <c r="AU107" i="1"/>
  <c r="S107" i="1"/>
  <c r="R107" i="1"/>
  <c r="I107" i="1"/>
  <c r="FY106" i="1"/>
  <c r="FT106" i="1"/>
  <c r="FJ106" i="1"/>
  <c r="EQ106" i="1"/>
  <c r="EK106" i="1"/>
  <c r="EI106" i="1"/>
  <c r="EH106" i="1"/>
  <c r="EG106" i="1"/>
  <c r="EF106" i="1"/>
  <c r="ED106" i="1"/>
  <c r="CU106" i="1"/>
  <c r="CT106" i="1"/>
  <c r="CQ106" i="1"/>
  <c r="BG106" i="1"/>
  <c r="BB106" i="1"/>
  <c r="AZ106" i="1"/>
  <c r="AY106" i="1"/>
  <c r="AX106" i="1"/>
  <c r="AW106" i="1"/>
  <c r="AU106" i="1"/>
  <c r="M106" i="1"/>
  <c r="L106" i="1"/>
  <c r="I106" i="1"/>
  <c r="FY105" i="1"/>
  <c r="FT105" i="1"/>
  <c r="FJ105" i="1"/>
  <c r="EQ105" i="1"/>
  <c r="EI105" i="1"/>
  <c r="EH105" i="1"/>
  <c r="EF105" i="1"/>
  <c r="ED105" i="1"/>
  <c r="CU105" i="1"/>
  <c r="CT105" i="1"/>
  <c r="CQ105" i="1"/>
  <c r="BG105" i="1"/>
  <c r="AZ105" i="1"/>
  <c r="AY105" i="1"/>
  <c r="AW105" i="1"/>
  <c r="AU105" i="1"/>
  <c r="M105" i="1"/>
  <c r="L105" i="1"/>
  <c r="I105" i="1"/>
  <c r="FY104" i="1"/>
  <c r="FN104" i="1"/>
  <c r="CS104" i="1"/>
  <c r="CR104" i="1"/>
  <c r="CQ104" i="1"/>
  <c r="CH104" i="1"/>
  <c r="K104" i="1"/>
  <c r="J104" i="1"/>
  <c r="I104" i="1"/>
  <c r="H104" i="1"/>
  <c r="FY103" i="1"/>
  <c r="FT103" i="1"/>
  <c r="FJ103" i="1"/>
  <c r="EI103" i="1"/>
  <c r="EH103" i="1"/>
  <c r="EF103" i="1"/>
  <c r="ED103" i="1"/>
  <c r="CU103" i="1"/>
  <c r="CT103" i="1"/>
  <c r="CQ103" i="1"/>
  <c r="CB103" i="1"/>
  <c r="BW103" i="1"/>
  <c r="BT103" i="1"/>
  <c r="AZ103" i="1"/>
  <c r="AY103" i="1"/>
  <c r="AW103" i="1"/>
  <c r="AU103" i="1"/>
  <c r="M103" i="1"/>
  <c r="L103" i="1"/>
  <c r="I103" i="1"/>
  <c r="FY102" i="1"/>
  <c r="FT102" i="1"/>
  <c r="FJ102" i="1"/>
  <c r="FE102" i="1"/>
  <c r="FD102" i="1"/>
  <c r="FB102" i="1"/>
  <c r="EN102" i="1"/>
  <c r="EH102" i="1"/>
  <c r="EF102" i="1"/>
  <c r="ED102" i="1"/>
  <c r="EA102" i="1"/>
  <c r="DY102" i="1"/>
  <c r="DP102" i="1"/>
  <c r="DN102" i="1"/>
  <c r="DG102" i="1"/>
  <c r="DF102" i="1"/>
  <c r="DE102" i="1"/>
  <c r="DD102" i="1"/>
  <c r="CY102" i="1"/>
  <c r="CV102" i="1"/>
  <c r="CQ102" i="1"/>
  <c r="CA102" i="1"/>
  <c r="BT102" i="1"/>
  <c r="BR102" i="1"/>
  <c r="BQ102" i="1"/>
  <c r="BO102" i="1"/>
  <c r="BD102" i="1"/>
  <c r="AY102" i="1"/>
  <c r="AW102" i="1"/>
  <c r="AU102" i="1"/>
  <c r="AR102" i="1"/>
  <c r="AP102" i="1"/>
  <c r="AG102" i="1"/>
  <c r="AE102" i="1"/>
  <c r="Y102" i="1"/>
  <c r="X102" i="1"/>
  <c r="W102" i="1"/>
  <c r="V102" i="1"/>
  <c r="Q102" i="1"/>
  <c r="N102" i="1"/>
  <c r="I102" i="1"/>
  <c r="FY101" i="1"/>
  <c r="FT101" i="1"/>
  <c r="FJ101" i="1"/>
  <c r="FD101" i="1"/>
  <c r="EN101" i="1"/>
  <c r="EK101" i="1"/>
  <c r="ED101" i="1"/>
  <c r="DN101" i="1"/>
  <c r="CV101" i="1"/>
  <c r="CQ101" i="1"/>
  <c r="BZ101" i="1"/>
  <c r="BY101" i="1"/>
  <c r="BT101" i="1"/>
  <c r="BQ101" i="1"/>
  <c r="BD101" i="1"/>
  <c r="BB101" i="1"/>
  <c r="AU101" i="1"/>
  <c r="AE101" i="1"/>
  <c r="N101" i="1"/>
  <c r="I101" i="1"/>
  <c r="FY100" i="1"/>
  <c r="FX100" i="1"/>
  <c r="FT100" i="1"/>
  <c r="FE100" i="1"/>
  <c r="FD100" i="1"/>
  <c r="FB100" i="1"/>
  <c r="EK100" i="1"/>
  <c r="EH100" i="1"/>
  <c r="EF100" i="1"/>
  <c r="ED100" i="1"/>
  <c r="EA100" i="1"/>
  <c r="DY100" i="1"/>
  <c r="DP100" i="1"/>
  <c r="DN100" i="1"/>
  <c r="DG100" i="1"/>
  <c r="DE100" i="1"/>
  <c r="CY100" i="1"/>
  <c r="CV100" i="1"/>
  <c r="CQ100" i="1"/>
  <c r="CP100" i="1"/>
  <c r="CA100" i="1"/>
  <c r="BW100" i="1"/>
  <c r="BT100" i="1"/>
  <c r="BS100" i="1"/>
  <c r="BR100" i="1"/>
  <c r="BQ100" i="1"/>
  <c r="BO100" i="1"/>
  <c r="BB100" i="1"/>
  <c r="AY100" i="1"/>
  <c r="AW100" i="1"/>
  <c r="AU100" i="1"/>
  <c r="AR100" i="1"/>
  <c r="AP100" i="1"/>
  <c r="AG100" i="1"/>
  <c r="AE100" i="1"/>
  <c r="Y100" i="1"/>
  <c r="W100" i="1"/>
  <c r="Q100" i="1"/>
  <c r="N100" i="1"/>
  <c r="I100" i="1"/>
  <c r="FY99" i="1"/>
  <c r="FX99" i="1"/>
  <c r="CQ99" i="1"/>
  <c r="CP99" i="1"/>
  <c r="BW99" i="1"/>
  <c r="BS99" i="1"/>
  <c r="I99" i="1"/>
  <c r="FY98" i="1"/>
  <c r="FT98" i="1"/>
  <c r="FJ98" i="1"/>
  <c r="EV98" i="1"/>
  <c r="EN98" i="1"/>
  <c r="EK98" i="1"/>
  <c r="EG98" i="1"/>
  <c r="EF98" i="1"/>
  <c r="ED98" i="1"/>
  <c r="DP98" i="1"/>
  <c r="DN98" i="1"/>
  <c r="CY98" i="1"/>
  <c r="CV98" i="1"/>
  <c r="CQ98" i="1"/>
  <c r="BD98" i="1"/>
  <c r="BB98" i="1"/>
  <c r="AX98" i="1"/>
  <c r="AW98" i="1"/>
  <c r="AU98" i="1"/>
  <c r="AG98" i="1"/>
  <c r="AE98" i="1"/>
  <c r="Q98" i="1"/>
  <c r="N98" i="1"/>
  <c r="I98" i="1"/>
  <c r="FY97" i="1"/>
  <c r="FV97" i="1"/>
  <c r="FT97" i="1"/>
  <c r="FJ97" i="1"/>
  <c r="FD97" i="1"/>
  <c r="FB97" i="1"/>
  <c r="EO97" i="1"/>
  <c r="EN97" i="1"/>
  <c r="EK97" i="1"/>
  <c r="EH97" i="1"/>
  <c r="EG97" i="1"/>
  <c r="EF97" i="1"/>
  <c r="EE97" i="1"/>
  <c r="ED97" i="1"/>
  <c r="EA97" i="1"/>
  <c r="DY97" i="1"/>
  <c r="DP97" i="1"/>
  <c r="DN97" i="1"/>
  <c r="DF97" i="1"/>
  <c r="DD97" i="1"/>
  <c r="CY97" i="1"/>
  <c r="CV97" i="1"/>
  <c r="CQ97" i="1"/>
  <c r="CN97" i="1"/>
  <c r="CA97" i="1"/>
  <c r="BS97" i="1"/>
  <c r="BQ97" i="1"/>
  <c r="BO97" i="1"/>
  <c r="BE97" i="1"/>
  <c r="BD97" i="1"/>
  <c r="BB97" i="1"/>
  <c r="AY97" i="1"/>
  <c r="AX97" i="1"/>
  <c r="AW97" i="1"/>
  <c r="AV97" i="1"/>
  <c r="AU97" i="1"/>
  <c r="AR97" i="1"/>
  <c r="AP97" i="1"/>
  <c r="AG97" i="1"/>
  <c r="AE97" i="1"/>
  <c r="X97" i="1"/>
  <c r="V97" i="1"/>
  <c r="Q97" i="1"/>
  <c r="N97" i="1"/>
  <c r="I97" i="1"/>
  <c r="FY96" i="1"/>
  <c r="FV96" i="1"/>
  <c r="FN96" i="1"/>
  <c r="FM96" i="1"/>
  <c r="FJ96" i="1"/>
  <c r="FG96" i="1"/>
  <c r="DL96" i="1"/>
  <c r="DK96" i="1"/>
  <c r="CR96" i="1"/>
  <c r="CQ96" i="1"/>
  <c r="CN96" i="1"/>
  <c r="CH96" i="1"/>
  <c r="CG96" i="1"/>
  <c r="BW96" i="1"/>
  <c r="AC96" i="1"/>
  <c r="AB96" i="1"/>
  <c r="J96" i="1"/>
  <c r="I96" i="1"/>
  <c r="H96" i="1"/>
  <c r="FY95" i="1"/>
  <c r="FX95" i="1"/>
  <c r="FT95" i="1"/>
  <c r="FJ95" i="1"/>
  <c r="EV95" i="1"/>
  <c r="EI95" i="1"/>
  <c r="EH95" i="1"/>
  <c r="EG95" i="1"/>
  <c r="EF95" i="1"/>
  <c r="ED95" i="1"/>
  <c r="CU95" i="1"/>
  <c r="CT95" i="1"/>
  <c r="CQ95" i="1"/>
  <c r="CP95" i="1"/>
  <c r="AZ95" i="1"/>
  <c r="AY95" i="1"/>
  <c r="AX95" i="1"/>
  <c r="AW95" i="1"/>
  <c r="AU95" i="1"/>
  <c r="M95" i="1"/>
  <c r="L95" i="1"/>
  <c r="I95" i="1"/>
  <c r="FY94" i="1"/>
  <c r="FX94" i="1"/>
  <c r="FJ94" i="1"/>
  <c r="EK94" i="1"/>
  <c r="EI94" i="1"/>
  <c r="EH94" i="1"/>
  <c r="EF94" i="1"/>
  <c r="ED94" i="1"/>
  <c r="CY94" i="1"/>
  <c r="CV94" i="1"/>
  <c r="CQ94" i="1"/>
  <c r="CP94" i="1"/>
  <c r="BZ94" i="1"/>
  <c r="BT94" i="1"/>
  <c r="BS94" i="1"/>
  <c r="BB94" i="1"/>
  <c r="AZ94" i="1"/>
  <c r="AY94" i="1"/>
  <c r="AW94" i="1"/>
  <c r="AU94" i="1"/>
  <c r="Q94" i="1"/>
  <c r="N94" i="1"/>
  <c r="I94" i="1"/>
  <c r="FY93" i="1"/>
  <c r="FX93" i="1"/>
  <c r="FV93" i="1"/>
  <c r="FS93" i="1"/>
  <c r="FP93" i="1"/>
  <c r="FO93" i="1"/>
  <c r="FN93" i="1"/>
  <c r="FL93" i="1"/>
  <c r="FG93" i="1"/>
  <c r="CS93" i="1"/>
  <c r="CR93" i="1"/>
  <c r="CQ93" i="1"/>
  <c r="CP93" i="1"/>
  <c r="CN93" i="1"/>
  <c r="CL93" i="1"/>
  <c r="CJ93" i="1"/>
  <c r="CI93" i="1"/>
  <c r="CH93" i="1"/>
  <c r="CF93" i="1"/>
  <c r="BW93" i="1"/>
  <c r="K93" i="1"/>
  <c r="J93" i="1"/>
  <c r="I93" i="1"/>
  <c r="H93" i="1"/>
  <c r="FY92" i="1"/>
  <c r="FT92" i="1"/>
  <c r="FJ92" i="1"/>
  <c r="FE92" i="1"/>
  <c r="FD92" i="1"/>
  <c r="FB92" i="1"/>
  <c r="EV92" i="1"/>
  <c r="ER92" i="1"/>
  <c r="EO92" i="1"/>
  <c r="EN92" i="1"/>
  <c r="EK92" i="1"/>
  <c r="EH92" i="1"/>
  <c r="EG92" i="1"/>
  <c r="EF92" i="1"/>
  <c r="ED92" i="1"/>
  <c r="EA92" i="1"/>
  <c r="DY92" i="1"/>
  <c r="DP92" i="1"/>
  <c r="DN92" i="1"/>
  <c r="DF92" i="1"/>
  <c r="DE92" i="1"/>
  <c r="DD92" i="1"/>
  <c r="CY92" i="1"/>
  <c r="CV92" i="1"/>
  <c r="CQ92" i="1"/>
  <c r="BY92" i="1"/>
  <c r="BT92" i="1"/>
  <c r="BR92" i="1"/>
  <c r="BQ92" i="1"/>
  <c r="BO92" i="1"/>
  <c r="BE92" i="1"/>
  <c r="BD92" i="1"/>
  <c r="BB92" i="1"/>
  <c r="AY92" i="1"/>
  <c r="AX92" i="1"/>
  <c r="AW92" i="1"/>
  <c r="AU92" i="1"/>
  <c r="AR92" i="1"/>
  <c r="AP92" i="1"/>
  <c r="AG92" i="1"/>
  <c r="AE92" i="1"/>
  <c r="X92" i="1"/>
  <c r="W92" i="1"/>
  <c r="V92" i="1"/>
  <c r="Q92" i="1"/>
  <c r="N92" i="1"/>
  <c r="I92" i="1"/>
  <c r="FY91" i="1"/>
  <c r="FT91" i="1"/>
  <c r="FJ91" i="1"/>
  <c r="FE91" i="1"/>
  <c r="EV91" i="1"/>
  <c r="EQ91" i="1"/>
  <c r="EN91" i="1"/>
  <c r="EI91" i="1"/>
  <c r="EH91" i="1"/>
  <c r="EG91" i="1"/>
  <c r="EF91" i="1"/>
  <c r="EE91" i="1"/>
  <c r="ED91" i="1"/>
  <c r="EA91" i="1"/>
  <c r="DP91" i="1"/>
  <c r="DN91" i="1"/>
  <c r="DG91" i="1"/>
  <c r="DF91" i="1"/>
  <c r="DE91" i="1"/>
  <c r="CY91" i="1"/>
  <c r="CV91" i="1"/>
  <c r="CQ91" i="1"/>
  <c r="BR91" i="1"/>
  <c r="BG91" i="1"/>
  <c r="BD91" i="1"/>
  <c r="AZ91" i="1"/>
  <c r="AY91" i="1"/>
  <c r="AX91" i="1"/>
  <c r="AW91" i="1"/>
  <c r="AV91" i="1"/>
  <c r="AU91" i="1"/>
  <c r="AR91" i="1"/>
  <c r="AG91" i="1"/>
  <c r="AE91" i="1"/>
  <c r="Y91" i="1"/>
  <c r="X91" i="1"/>
  <c r="W91" i="1"/>
  <c r="Q91" i="1"/>
  <c r="N91" i="1"/>
  <c r="I91" i="1"/>
  <c r="FY90" i="1"/>
  <c r="FX90" i="1"/>
  <c r="FT90" i="1"/>
  <c r="FJ90" i="1"/>
  <c r="EQ90" i="1"/>
  <c r="EN90" i="1"/>
  <c r="EI90" i="1"/>
  <c r="EH90" i="1"/>
  <c r="EF90" i="1"/>
  <c r="ED90" i="1"/>
  <c r="EA90" i="1"/>
  <c r="DY90" i="1"/>
  <c r="DP90" i="1"/>
  <c r="DN90" i="1"/>
  <c r="CQ90" i="1"/>
  <c r="CP90" i="1"/>
  <c r="CA90" i="1"/>
  <c r="BW90" i="1"/>
  <c r="BT90" i="1"/>
  <c r="BS90" i="1"/>
  <c r="BG90" i="1"/>
  <c r="BD90" i="1"/>
  <c r="AZ90" i="1"/>
  <c r="AY90" i="1"/>
  <c r="AW90" i="1"/>
  <c r="AU90" i="1"/>
  <c r="AR90" i="1"/>
  <c r="AP90" i="1"/>
  <c r="AG90" i="1"/>
  <c r="AE90" i="1"/>
  <c r="I90" i="1"/>
  <c r="FY89" i="1"/>
  <c r="FV89" i="1"/>
  <c r="FN89" i="1"/>
  <c r="FM89" i="1"/>
  <c r="FJ89" i="1"/>
  <c r="FG89" i="1"/>
  <c r="EF89" i="1"/>
  <c r="CR89" i="1"/>
  <c r="CQ89" i="1"/>
  <c r="CN89" i="1"/>
  <c r="CH89" i="1"/>
  <c r="CG89" i="1"/>
  <c r="BW89" i="1"/>
  <c r="AW89" i="1"/>
  <c r="J89" i="1"/>
  <c r="I89" i="1"/>
  <c r="H89" i="1"/>
  <c r="FY88" i="1"/>
  <c r="FX88" i="1"/>
  <c r="FT88" i="1"/>
  <c r="FJ88" i="1"/>
  <c r="EN88" i="1"/>
  <c r="EI88" i="1"/>
  <c r="EH88" i="1"/>
  <c r="EG88" i="1"/>
  <c r="EF88" i="1"/>
  <c r="EE88" i="1"/>
  <c r="ED88" i="1"/>
  <c r="DH88" i="1"/>
  <c r="CY88" i="1"/>
  <c r="CV88" i="1"/>
  <c r="CQ88" i="1"/>
  <c r="CP88" i="1"/>
  <c r="BY88" i="1"/>
  <c r="BW88" i="1"/>
  <c r="BT88" i="1"/>
  <c r="BD88" i="1"/>
  <c r="AZ88" i="1"/>
  <c r="AY88" i="1"/>
  <c r="AX88" i="1"/>
  <c r="AW88" i="1"/>
  <c r="AV88" i="1"/>
  <c r="AU88" i="1"/>
  <c r="Z88" i="1"/>
  <c r="Q88" i="1"/>
  <c r="N88" i="1"/>
  <c r="I88" i="1"/>
  <c r="FY87" i="1"/>
  <c r="FT87" i="1"/>
  <c r="FJ87" i="1"/>
  <c r="EO87" i="1"/>
  <c r="EN87" i="1"/>
  <c r="EK87" i="1"/>
  <c r="EH87" i="1"/>
  <c r="EG87" i="1"/>
  <c r="EF87" i="1"/>
  <c r="ED87" i="1"/>
  <c r="DP87" i="1"/>
  <c r="DN87" i="1"/>
  <c r="CY87" i="1"/>
  <c r="CV87" i="1"/>
  <c r="CQ87" i="1"/>
  <c r="CC87" i="1"/>
  <c r="CA87" i="1"/>
  <c r="BY87" i="1"/>
  <c r="BW87" i="1"/>
  <c r="BS87" i="1"/>
  <c r="BE87" i="1"/>
  <c r="BD87" i="1"/>
  <c r="BB87" i="1"/>
  <c r="AY87" i="1"/>
  <c r="AX87" i="1"/>
  <c r="AW87" i="1"/>
  <c r="AU87" i="1"/>
  <c r="AG87" i="1"/>
  <c r="AE87" i="1"/>
  <c r="Q87" i="1"/>
  <c r="N87" i="1"/>
  <c r="I87" i="1"/>
  <c r="FY86" i="1"/>
  <c r="FX86" i="1"/>
  <c r="FT86" i="1"/>
  <c r="FJ86" i="1"/>
  <c r="EV86" i="1"/>
  <c r="EN86" i="1"/>
  <c r="EK86" i="1"/>
  <c r="EI86" i="1"/>
  <c r="EH86" i="1"/>
  <c r="EG86" i="1"/>
  <c r="EF86" i="1"/>
  <c r="ED86" i="1"/>
  <c r="EA86" i="1"/>
  <c r="DY86" i="1"/>
  <c r="DP86" i="1"/>
  <c r="DN86" i="1"/>
  <c r="DG86" i="1"/>
  <c r="DF86" i="1"/>
  <c r="DE86" i="1"/>
  <c r="DD86" i="1"/>
  <c r="CY86" i="1"/>
  <c r="CV86" i="1"/>
  <c r="CQ86" i="1"/>
  <c r="CP86" i="1"/>
  <c r="BU86" i="1"/>
  <c r="BT86" i="1"/>
  <c r="BD86" i="1"/>
  <c r="BB86" i="1"/>
  <c r="AZ86" i="1"/>
  <c r="AY86" i="1"/>
  <c r="AX86" i="1"/>
  <c r="AW86" i="1"/>
  <c r="AU86" i="1"/>
  <c r="AR86" i="1"/>
  <c r="AP86" i="1"/>
  <c r="AG86" i="1"/>
  <c r="AE86" i="1"/>
  <c r="Y86" i="1"/>
  <c r="X86" i="1"/>
  <c r="W86" i="1"/>
  <c r="V86" i="1"/>
  <c r="Q86" i="1"/>
  <c r="N86" i="1"/>
  <c r="I86" i="1"/>
  <c r="FY85" i="1"/>
  <c r="FX85" i="1"/>
  <c r="FT85" i="1"/>
  <c r="FJ85" i="1"/>
  <c r="FF85" i="1"/>
  <c r="EP85" i="1"/>
  <c r="EN85" i="1"/>
  <c r="EK85" i="1"/>
  <c r="EI85" i="1"/>
  <c r="EH85" i="1"/>
  <c r="EF85" i="1"/>
  <c r="EE85" i="1"/>
  <c r="ED85" i="1"/>
  <c r="CY85" i="1"/>
  <c r="CV85" i="1"/>
  <c r="CQ85" i="1"/>
  <c r="CP85" i="1"/>
  <c r="CA85" i="1"/>
  <c r="BU85" i="1"/>
  <c r="BT85" i="1"/>
  <c r="BS85" i="1"/>
  <c r="BF85" i="1"/>
  <c r="BD85" i="1"/>
  <c r="BB85" i="1"/>
  <c r="AZ85" i="1"/>
  <c r="AY85" i="1"/>
  <c r="AW85" i="1"/>
  <c r="AV85" i="1"/>
  <c r="AU85" i="1"/>
  <c r="Q85" i="1"/>
  <c r="N85" i="1"/>
  <c r="I85" i="1"/>
  <c r="FY84" i="1"/>
  <c r="FT84" i="1"/>
  <c r="FJ84" i="1"/>
  <c r="FF84" i="1"/>
  <c r="FD84" i="1"/>
  <c r="EV84" i="1"/>
  <c r="ER84" i="1"/>
  <c r="EN84" i="1"/>
  <c r="EI84" i="1"/>
  <c r="EH84" i="1"/>
  <c r="EG84" i="1"/>
  <c r="EF84" i="1"/>
  <c r="ED84" i="1"/>
  <c r="EA84" i="1"/>
  <c r="DY84" i="1"/>
  <c r="DP84" i="1"/>
  <c r="DN84" i="1"/>
  <c r="DG84" i="1"/>
  <c r="DF84" i="1"/>
  <c r="DE84" i="1"/>
  <c r="DD84" i="1"/>
  <c r="CY84" i="1"/>
  <c r="CV84" i="1"/>
  <c r="CQ84" i="1"/>
  <c r="BY84" i="1"/>
  <c r="BW84" i="1"/>
  <c r="BU84" i="1"/>
  <c r="BS84" i="1"/>
  <c r="BQ84" i="1"/>
  <c r="BD84" i="1"/>
  <c r="AZ84" i="1"/>
  <c r="AY84" i="1"/>
  <c r="AX84" i="1"/>
  <c r="AW84" i="1"/>
  <c r="AU84" i="1"/>
  <c r="AR84" i="1"/>
  <c r="AP84" i="1"/>
  <c r="AG84" i="1"/>
  <c r="AE84" i="1"/>
  <c r="Y84" i="1"/>
  <c r="X84" i="1"/>
  <c r="W84" i="1"/>
  <c r="V84" i="1"/>
  <c r="Q84" i="1"/>
  <c r="N84" i="1"/>
  <c r="I84" i="1"/>
  <c r="FY83" i="1"/>
  <c r="FV83" i="1"/>
  <c r="FN83" i="1"/>
  <c r="FJ83" i="1"/>
  <c r="FG83" i="1"/>
  <c r="DM83" i="1"/>
  <c r="DL83" i="1"/>
  <c r="DK83" i="1"/>
  <c r="CR83" i="1"/>
  <c r="CQ83" i="1"/>
  <c r="CN83" i="1"/>
  <c r="CI83" i="1"/>
  <c r="CH83" i="1"/>
  <c r="BW83" i="1"/>
  <c r="BC83" i="1"/>
  <c r="AD83" i="1"/>
  <c r="AC83" i="1"/>
  <c r="AB83" i="1"/>
  <c r="J83" i="1"/>
  <c r="I83" i="1"/>
  <c r="H83" i="1"/>
  <c r="FY82" i="1"/>
  <c r="FX82" i="1"/>
  <c r="FV82" i="1"/>
  <c r="FS82" i="1"/>
  <c r="FO82" i="1"/>
  <c r="FN82" i="1"/>
  <c r="CS82" i="1"/>
  <c r="CR82" i="1"/>
  <c r="CQ82" i="1"/>
  <c r="CP82" i="1"/>
  <c r="CN82" i="1"/>
  <c r="CL82" i="1"/>
  <c r="CI82" i="1"/>
  <c r="CH82" i="1"/>
  <c r="K82" i="1"/>
  <c r="J82" i="1"/>
  <c r="I82" i="1"/>
  <c r="H82" i="1"/>
  <c r="FY81" i="1"/>
  <c r="FT81" i="1"/>
  <c r="FJ81" i="1"/>
  <c r="FE81" i="1"/>
  <c r="FD81" i="1"/>
  <c r="EO81" i="1"/>
  <c r="EN81" i="1"/>
  <c r="EI81" i="1"/>
  <c r="EH81" i="1"/>
  <c r="EF81" i="1"/>
  <c r="ED81" i="1"/>
  <c r="EA81" i="1"/>
  <c r="DY81" i="1"/>
  <c r="DP81" i="1"/>
  <c r="DN81" i="1"/>
  <c r="CY81" i="1"/>
  <c r="CV81" i="1"/>
  <c r="CQ81" i="1"/>
  <c r="BR81" i="1"/>
  <c r="BQ81" i="1"/>
  <c r="BE81" i="1"/>
  <c r="BD81" i="1"/>
  <c r="AZ81" i="1"/>
  <c r="AY81" i="1"/>
  <c r="AW81" i="1"/>
  <c r="AU81" i="1"/>
  <c r="AR81" i="1"/>
  <c r="AP81" i="1"/>
  <c r="AG81" i="1"/>
  <c r="AE81" i="1"/>
  <c r="Q81" i="1"/>
  <c r="N81" i="1"/>
  <c r="I81" i="1"/>
  <c r="FY80" i="1"/>
  <c r="EP80" i="1"/>
  <c r="EN80" i="1"/>
  <c r="CY80" i="1"/>
  <c r="CV80" i="1"/>
  <c r="CQ80" i="1"/>
  <c r="BT80" i="1"/>
  <c r="BF80" i="1"/>
  <c r="BD80" i="1"/>
  <c r="Q80" i="1"/>
  <c r="N80" i="1"/>
  <c r="I80" i="1"/>
  <c r="FY79" i="1"/>
  <c r="FT79" i="1"/>
  <c r="FJ79" i="1"/>
  <c r="EO79" i="1"/>
  <c r="EN79" i="1"/>
  <c r="EK79" i="1"/>
  <c r="EH79" i="1"/>
  <c r="EF79" i="1"/>
  <c r="ED79" i="1"/>
  <c r="DN79" i="1"/>
  <c r="CV79" i="1"/>
  <c r="CQ79" i="1"/>
  <c r="CA79" i="1"/>
  <c r="BY79" i="1"/>
  <c r="BS79" i="1"/>
  <c r="BE79" i="1"/>
  <c r="BD79" i="1"/>
  <c r="BB79" i="1"/>
  <c r="AY79" i="1"/>
  <c r="AW79" i="1"/>
  <c r="AU79" i="1"/>
  <c r="AE79" i="1"/>
  <c r="N79" i="1"/>
  <c r="I79" i="1"/>
  <c r="FY78" i="1"/>
  <c r="FX78" i="1"/>
  <c r="EG78" i="1"/>
  <c r="EF78" i="1"/>
  <c r="ED78" i="1"/>
  <c r="DY78" i="1"/>
  <c r="DP78" i="1"/>
  <c r="DN78" i="1"/>
  <c r="CY78" i="1"/>
  <c r="CV78" i="1"/>
  <c r="CQ78" i="1"/>
  <c r="CP78" i="1"/>
  <c r="CA78" i="1"/>
  <c r="BZ78" i="1"/>
  <c r="BY78" i="1"/>
  <c r="BU78" i="1"/>
  <c r="BT78" i="1"/>
  <c r="BS78" i="1"/>
  <c r="AX78" i="1"/>
  <c r="AW78" i="1"/>
  <c r="AU78" i="1"/>
  <c r="AP78" i="1"/>
  <c r="AG78" i="1"/>
  <c r="AE78" i="1"/>
  <c r="Q78" i="1"/>
  <c r="N78" i="1"/>
  <c r="I78" i="1"/>
  <c r="FY77" i="1"/>
  <c r="FT77" i="1"/>
  <c r="FJ77" i="1"/>
  <c r="FC77" i="1"/>
  <c r="FB77" i="1"/>
  <c r="EN77" i="1"/>
  <c r="EK77" i="1"/>
  <c r="EH77" i="1"/>
  <c r="EG77" i="1"/>
  <c r="EF77" i="1"/>
  <c r="ED77" i="1"/>
  <c r="DY77" i="1"/>
  <c r="DP77" i="1"/>
  <c r="DN77" i="1"/>
  <c r="DF77" i="1"/>
  <c r="CY77" i="1"/>
  <c r="CV77" i="1"/>
  <c r="CQ77" i="1"/>
  <c r="CA77" i="1"/>
  <c r="BT77" i="1"/>
  <c r="BP77" i="1"/>
  <c r="BO77" i="1"/>
  <c r="BD77" i="1"/>
  <c r="BB77" i="1"/>
  <c r="AY77" i="1"/>
  <c r="AX77" i="1"/>
  <c r="AW77" i="1"/>
  <c r="AU77" i="1"/>
  <c r="AP77" i="1"/>
  <c r="AG77" i="1"/>
  <c r="AE77" i="1"/>
  <c r="X77" i="1"/>
  <c r="Q77" i="1"/>
  <c r="N77" i="1"/>
  <c r="I77" i="1"/>
  <c r="FY76" i="1"/>
  <c r="FX76" i="1"/>
  <c r="FT76" i="1"/>
  <c r="FJ76" i="1"/>
  <c r="EH76" i="1"/>
  <c r="ED76" i="1"/>
  <c r="DP76" i="1"/>
  <c r="DN76" i="1"/>
  <c r="CQ76" i="1"/>
  <c r="CP76" i="1"/>
  <c r="CC76" i="1"/>
  <c r="CA76" i="1"/>
  <c r="BY76" i="1"/>
  <c r="BW76" i="1"/>
  <c r="AY76" i="1"/>
  <c r="AU76" i="1"/>
  <c r="AG76" i="1"/>
  <c r="AE76" i="1"/>
  <c r="I76" i="1"/>
  <c r="FY75" i="1"/>
  <c r="FX75" i="1"/>
  <c r="FT75" i="1"/>
  <c r="FJ75" i="1"/>
  <c r="FB75" i="1"/>
  <c r="EX75" i="1"/>
  <c r="EV75" i="1"/>
  <c r="EP75" i="1"/>
  <c r="EN75" i="1"/>
  <c r="EI75" i="1"/>
  <c r="EH75" i="1"/>
  <c r="EG75" i="1"/>
  <c r="EF75" i="1"/>
  <c r="EE75" i="1"/>
  <c r="ED75" i="1"/>
  <c r="EA75" i="1"/>
  <c r="DY75" i="1"/>
  <c r="DN75" i="1"/>
  <c r="DF75" i="1"/>
  <c r="DE75" i="1"/>
  <c r="DD75" i="1"/>
  <c r="CY75" i="1"/>
  <c r="CV75" i="1"/>
  <c r="CQ75" i="1"/>
  <c r="CP75" i="1"/>
  <c r="CB75" i="1"/>
  <c r="BO75" i="1"/>
  <c r="BK75" i="1"/>
  <c r="BF75" i="1"/>
  <c r="BD75" i="1"/>
  <c r="AZ75" i="1"/>
  <c r="AY75" i="1"/>
  <c r="AX75" i="1"/>
  <c r="AW75" i="1"/>
  <c r="AV75" i="1"/>
  <c r="AU75" i="1"/>
  <c r="AR75" i="1"/>
  <c r="AP75" i="1"/>
  <c r="AE75" i="1"/>
  <c r="X75" i="1"/>
  <c r="W75" i="1"/>
  <c r="V75" i="1"/>
  <c r="Q75" i="1"/>
  <c r="N75" i="1"/>
  <c r="I75" i="1"/>
  <c r="FY74" i="1"/>
  <c r="FV74" i="1"/>
  <c r="FQ74" i="1"/>
  <c r="FP74" i="1"/>
  <c r="FO74" i="1"/>
  <c r="FN74" i="1"/>
  <c r="FJ74" i="1"/>
  <c r="FG74" i="1"/>
  <c r="EW74" i="1"/>
  <c r="CS74" i="1"/>
  <c r="CR74" i="1"/>
  <c r="CQ74" i="1"/>
  <c r="CN74" i="1"/>
  <c r="CK74" i="1"/>
  <c r="CJ74" i="1"/>
  <c r="CI74" i="1"/>
  <c r="CH74" i="1"/>
  <c r="BW74" i="1"/>
  <c r="K74" i="1"/>
  <c r="J74" i="1"/>
  <c r="I74" i="1"/>
  <c r="H74" i="1"/>
  <c r="FY73" i="1"/>
  <c r="FX73" i="1"/>
  <c r="FT73" i="1"/>
  <c r="FJ73" i="1"/>
  <c r="EP73" i="1"/>
  <c r="EN73" i="1"/>
  <c r="EE73" i="1"/>
  <c r="ED73" i="1"/>
  <c r="DN73" i="1"/>
  <c r="CV73" i="1"/>
  <c r="CQ73" i="1"/>
  <c r="CP73" i="1"/>
  <c r="BT73" i="1"/>
  <c r="BF73" i="1"/>
  <c r="BD73" i="1"/>
  <c r="AV73" i="1"/>
  <c r="AU73" i="1"/>
  <c r="AE73" i="1"/>
  <c r="N73" i="1"/>
  <c r="I73" i="1"/>
  <c r="FY72" i="1"/>
  <c r="FX72" i="1"/>
  <c r="FV72" i="1"/>
  <c r="FO72" i="1"/>
  <c r="FN72" i="1"/>
  <c r="FJ72" i="1"/>
  <c r="FG72" i="1"/>
  <c r="ER72" i="1"/>
  <c r="EB72" i="1"/>
  <c r="CR72" i="1"/>
  <c r="CQ72" i="1"/>
  <c r="CP72" i="1"/>
  <c r="CN72" i="1"/>
  <c r="CI72" i="1"/>
  <c r="CH72" i="1"/>
  <c r="CG72" i="1"/>
  <c r="BW72" i="1"/>
  <c r="BC72" i="1"/>
  <c r="AS72" i="1"/>
  <c r="J72" i="1"/>
  <c r="I72" i="1"/>
  <c r="H72" i="1"/>
  <c r="FY71" i="1"/>
  <c r="CR71" i="1"/>
  <c r="CQ71" i="1"/>
  <c r="J71" i="1"/>
  <c r="I71" i="1"/>
  <c r="H71" i="1"/>
  <c r="FY70" i="1"/>
  <c r="FT70" i="1"/>
  <c r="FJ70" i="1"/>
  <c r="FF70" i="1"/>
  <c r="FD70" i="1"/>
  <c r="EN70" i="1"/>
  <c r="EK70" i="1"/>
  <c r="EI70" i="1"/>
  <c r="EH70" i="1"/>
  <c r="EG70" i="1"/>
  <c r="EF70" i="1"/>
  <c r="ED70" i="1"/>
  <c r="EA70" i="1"/>
  <c r="DY70" i="1"/>
  <c r="DP70" i="1"/>
  <c r="DN70" i="1"/>
  <c r="CY70" i="1"/>
  <c r="CV70" i="1"/>
  <c r="CQ70" i="1"/>
  <c r="CA70" i="1"/>
  <c r="BY70" i="1"/>
  <c r="BX70" i="1"/>
  <c r="BW70" i="1"/>
  <c r="BV70" i="1"/>
  <c r="BU70" i="1"/>
  <c r="BT70" i="1"/>
  <c r="BQ70" i="1"/>
  <c r="BD70" i="1"/>
  <c r="BB70" i="1"/>
  <c r="AZ70" i="1"/>
  <c r="AY70" i="1"/>
  <c r="AX70" i="1"/>
  <c r="AW70" i="1"/>
  <c r="AU70" i="1"/>
  <c r="AR70" i="1"/>
  <c r="AP70" i="1"/>
  <c r="AG70" i="1"/>
  <c r="AE70" i="1"/>
  <c r="Q70" i="1"/>
  <c r="N70" i="1"/>
  <c r="I70" i="1"/>
  <c r="FY69" i="1"/>
  <c r="FX69" i="1"/>
  <c r="FT69" i="1"/>
  <c r="FJ69" i="1"/>
  <c r="FB69" i="1"/>
  <c r="EV69" i="1"/>
  <c r="EO69" i="1"/>
  <c r="EN69" i="1"/>
  <c r="EK69" i="1"/>
  <c r="EI69" i="1"/>
  <c r="EH69" i="1"/>
  <c r="EG69" i="1"/>
  <c r="EF69" i="1"/>
  <c r="ED69" i="1"/>
  <c r="EA69" i="1"/>
  <c r="DY69" i="1"/>
  <c r="DP69" i="1"/>
  <c r="DN69" i="1"/>
  <c r="DD69" i="1"/>
  <c r="CY69" i="1"/>
  <c r="CV69" i="1"/>
  <c r="CQ69" i="1"/>
  <c r="CP69" i="1"/>
  <c r="BY69" i="1"/>
  <c r="BT69" i="1"/>
  <c r="BO69" i="1"/>
  <c r="BE69" i="1"/>
  <c r="BD69" i="1"/>
  <c r="BB69" i="1"/>
  <c r="AZ69" i="1"/>
  <c r="AY69" i="1"/>
  <c r="AX69" i="1"/>
  <c r="AW69" i="1"/>
  <c r="AU69" i="1"/>
  <c r="AR69" i="1"/>
  <c r="AP69" i="1"/>
  <c r="AG69" i="1"/>
  <c r="AE69" i="1"/>
  <c r="V69" i="1"/>
  <c r="Q69" i="1"/>
  <c r="N69" i="1"/>
  <c r="I69" i="1"/>
  <c r="FY68" i="1"/>
  <c r="FT68" i="1"/>
  <c r="FJ68" i="1"/>
  <c r="FD68" i="1"/>
  <c r="FB68" i="1"/>
  <c r="EN68" i="1"/>
  <c r="EK68" i="1"/>
  <c r="EI68" i="1"/>
  <c r="EH68" i="1"/>
  <c r="EF68" i="1"/>
  <c r="ED68" i="1"/>
  <c r="EA68" i="1"/>
  <c r="DY68" i="1"/>
  <c r="DP68" i="1"/>
  <c r="DN68" i="1"/>
  <c r="DE68" i="1"/>
  <c r="DD68" i="1"/>
  <c r="CY68" i="1"/>
  <c r="CV68" i="1"/>
  <c r="CQ68" i="1"/>
  <c r="CA68" i="1"/>
  <c r="BY68" i="1"/>
  <c r="BW68" i="1"/>
  <c r="BT68" i="1"/>
  <c r="BS68" i="1"/>
  <c r="BQ68" i="1"/>
  <c r="BO68" i="1"/>
  <c r="BD68" i="1"/>
  <c r="BB68" i="1"/>
  <c r="AZ68" i="1"/>
  <c r="AY68" i="1"/>
  <c r="AW68" i="1"/>
  <c r="AU68" i="1"/>
  <c r="AR68" i="1"/>
  <c r="AP68" i="1"/>
  <c r="AG68" i="1"/>
  <c r="AE68" i="1"/>
  <c r="W68" i="1"/>
  <c r="V68" i="1"/>
  <c r="Q68" i="1"/>
  <c r="N68" i="1"/>
  <c r="I68" i="1"/>
  <c r="FY67" i="1"/>
  <c r="FT67" i="1"/>
  <c r="FJ67" i="1"/>
  <c r="FD67" i="1"/>
  <c r="FB67" i="1"/>
  <c r="EN67" i="1"/>
  <c r="EK67" i="1"/>
  <c r="EH67" i="1"/>
  <c r="EF67" i="1"/>
  <c r="ED67" i="1"/>
  <c r="EA67" i="1"/>
  <c r="DY67" i="1"/>
  <c r="DP67" i="1"/>
  <c r="DN67" i="1"/>
  <c r="DD67" i="1"/>
  <c r="CY67" i="1"/>
  <c r="CV67" i="1"/>
  <c r="CQ67" i="1"/>
  <c r="CC67" i="1"/>
  <c r="CA67" i="1"/>
  <c r="BY67" i="1"/>
  <c r="BW67" i="1"/>
  <c r="BT67" i="1"/>
  <c r="BS67" i="1"/>
  <c r="BQ67" i="1"/>
  <c r="BO67" i="1"/>
  <c r="BD67" i="1"/>
  <c r="BB67" i="1"/>
  <c r="AY67" i="1"/>
  <c r="AW67" i="1"/>
  <c r="AU67" i="1"/>
  <c r="AR67" i="1"/>
  <c r="AP67" i="1"/>
  <c r="AG67" i="1"/>
  <c r="AE67" i="1"/>
  <c r="V67" i="1"/>
  <c r="Q67" i="1"/>
  <c r="N67" i="1"/>
  <c r="I67" i="1"/>
  <c r="FY66" i="1"/>
  <c r="CR66" i="1"/>
  <c r="CQ66" i="1"/>
  <c r="CN66" i="1"/>
  <c r="CI66" i="1"/>
  <c r="CH66" i="1"/>
  <c r="I66" i="1"/>
  <c r="H66" i="1"/>
  <c r="FY65" i="1"/>
  <c r="FV65" i="1"/>
  <c r="FN65" i="1"/>
  <c r="FM65" i="1"/>
  <c r="FJ65" i="1"/>
  <c r="ER65" i="1"/>
  <c r="DV65" i="1"/>
  <c r="CR65" i="1"/>
  <c r="CQ65" i="1"/>
  <c r="CN65" i="1"/>
  <c r="CI65" i="1"/>
  <c r="CH65" i="1"/>
  <c r="CG65" i="1"/>
  <c r="CF65" i="1"/>
  <c r="BW65" i="1"/>
  <c r="BC65" i="1"/>
  <c r="AM65" i="1"/>
  <c r="J65" i="1"/>
  <c r="I65" i="1"/>
  <c r="H65" i="1"/>
  <c r="FY64" i="1"/>
  <c r="FT64" i="1"/>
  <c r="FJ64" i="1"/>
  <c r="FB64" i="1"/>
  <c r="EN64" i="1"/>
  <c r="EK64" i="1"/>
  <c r="EH64" i="1"/>
  <c r="EF64" i="1"/>
  <c r="ED64" i="1"/>
  <c r="DY64" i="1"/>
  <c r="DF64" i="1"/>
  <c r="CV64" i="1"/>
  <c r="CQ64" i="1"/>
  <c r="BY64" i="1"/>
  <c r="BT64" i="1"/>
  <c r="BO64" i="1"/>
  <c r="BD64" i="1"/>
  <c r="BB64" i="1"/>
  <c r="AY64" i="1"/>
  <c r="AW64" i="1"/>
  <c r="AU64" i="1"/>
  <c r="AP64" i="1"/>
  <c r="X64" i="1"/>
  <c r="N64" i="1"/>
  <c r="I64" i="1"/>
  <c r="FY63" i="1"/>
  <c r="FX63" i="1"/>
  <c r="FT63" i="1"/>
  <c r="FJ63" i="1"/>
  <c r="FD63" i="1"/>
  <c r="FB63" i="1"/>
  <c r="EN63" i="1"/>
  <c r="EG63" i="1"/>
  <c r="EF63" i="1"/>
  <c r="ED63" i="1"/>
  <c r="EA63" i="1"/>
  <c r="DY63" i="1"/>
  <c r="DP63" i="1"/>
  <c r="DN63" i="1"/>
  <c r="DF63" i="1"/>
  <c r="DD63" i="1"/>
  <c r="CY63" i="1"/>
  <c r="CV63" i="1"/>
  <c r="CQ63" i="1"/>
  <c r="CP63" i="1"/>
  <c r="BQ63" i="1"/>
  <c r="BO63" i="1"/>
  <c r="BD63" i="1"/>
  <c r="AX63" i="1"/>
  <c r="AW63" i="1"/>
  <c r="AU63" i="1"/>
  <c r="AR63" i="1"/>
  <c r="AP63" i="1"/>
  <c r="AG63" i="1"/>
  <c r="AE63" i="1"/>
  <c r="X63" i="1"/>
  <c r="V63" i="1"/>
  <c r="Q63" i="1"/>
  <c r="N63" i="1"/>
  <c r="I63" i="1"/>
  <c r="FY62" i="1"/>
  <c r="FX62" i="1"/>
  <c r="FV62" i="1"/>
  <c r="FO62" i="1"/>
  <c r="FN62" i="1"/>
  <c r="FM62" i="1"/>
  <c r="FJ62" i="1"/>
  <c r="DU62" i="1"/>
  <c r="CR62" i="1"/>
  <c r="CQ62" i="1"/>
  <c r="CP62" i="1"/>
  <c r="CN62" i="1"/>
  <c r="CI62" i="1"/>
  <c r="CH62" i="1"/>
  <c r="CG62" i="1"/>
  <c r="BW62" i="1"/>
  <c r="BC62" i="1"/>
  <c r="AL62" i="1"/>
  <c r="J62" i="1"/>
  <c r="I62" i="1"/>
  <c r="H62" i="1"/>
  <c r="FY61" i="1"/>
  <c r="FT61" i="1"/>
  <c r="FJ61" i="1"/>
  <c r="EI61" i="1"/>
  <c r="EH61" i="1"/>
  <c r="EG61" i="1"/>
  <c r="EF61" i="1"/>
  <c r="ED61" i="1"/>
  <c r="CU61" i="1"/>
  <c r="CT61" i="1"/>
  <c r="CQ61" i="1"/>
  <c r="AZ61" i="1"/>
  <c r="AY61" i="1"/>
  <c r="AX61" i="1"/>
  <c r="AW61" i="1"/>
  <c r="AU61" i="1"/>
  <c r="M61" i="1"/>
  <c r="L61" i="1"/>
  <c r="I61" i="1"/>
  <c r="FY60" i="1"/>
  <c r="FT60" i="1"/>
  <c r="FJ60" i="1"/>
  <c r="FD60" i="1"/>
  <c r="FB60" i="1"/>
  <c r="EO60" i="1"/>
  <c r="EN60" i="1"/>
  <c r="EK60" i="1"/>
  <c r="EI60" i="1"/>
  <c r="EH60" i="1"/>
  <c r="EG60" i="1"/>
  <c r="EF60" i="1"/>
  <c r="ED60" i="1"/>
  <c r="EA60" i="1"/>
  <c r="DY60" i="1"/>
  <c r="DP60" i="1"/>
  <c r="DN60" i="1"/>
  <c r="DE60" i="1"/>
  <c r="DD60" i="1"/>
  <c r="CY60" i="1"/>
  <c r="CV60" i="1"/>
  <c r="CQ60" i="1"/>
  <c r="CA60" i="1"/>
  <c r="BZ60" i="1"/>
  <c r="BY60" i="1"/>
  <c r="BX60" i="1"/>
  <c r="BW60" i="1"/>
  <c r="BS60" i="1"/>
  <c r="BQ60" i="1"/>
  <c r="BO60" i="1"/>
  <c r="BE60" i="1"/>
  <c r="BD60" i="1"/>
  <c r="BB60" i="1"/>
  <c r="AZ60" i="1"/>
  <c r="AY60" i="1"/>
  <c r="AX60" i="1"/>
  <c r="AW60" i="1"/>
  <c r="AU60" i="1"/>
  <c r="AR60" i="1"/>
  <c r="AP60" i="1"/>
  <c r="AG60" i="1"/>
  <c r="AE60" i="1"/>
  <c r="W60" i="1"/>
  <c r="V60" i="1"/>
  <c r="Q60" i="1"/>
  <c r="N60" i="1"/>
  <c r="I60" i="1"/>
  <c r="FY59" i="1"/>
  <c r="CR59" i="1"/>
  <c r="CQ59" i="1"/>
  <c r="CN59" i="1"/>
  <c r="CI59" i="1"/>
  <c r="CH59" i="1"/>
  <c r="CG59" i="1"/>
  <c r="BW59" i="1"/>
  <c r="BC59" i="1"/>
  <c r="J59" i="1"/>
  <c r="I59" i="1"/>
  <c r="H59" i="1"/>
  <c r="FY58" i="1"/>
  <c r="FX58" i="1"/>
  <c r="FR58" i="1"/>
  <c r="EH58" i="1"/>
  <c r="EF58" i="1"/>
  <c r="ED58" i="1"/>
  <c r="DA58" i="1"/>
  <c r="CZ58" i="1"/>
  <c r="CQ58" i="1"/>
  <c r="CP58" i="1"/>
  <c r="BY58" i="1"/>
  <c r="BS58" i="1"/>
  <c r="AY58" i="1"/>
  <c r="AW58" i="1"/>
  <c r="AU58" i="1"/>
  <c r="S58" i="1"/>
  <c r="R58" i="1"/>
  <c r="I58" i="1"/>
  <c r="FY57" i="1"/>
  <c r="FJ57" i="1"/>
  <c r="CR57" i="1"/>
  <c r="CQ57" i="1"/>
  <c r="J57" i="1"/>
  <c r="I57" i="1"/>
  <c r="H57" i="1"/>
  <c r="FY56" i="1"/>
  <c r="FX56" i="1"/>
  <c r="FT56" i="1"/>
  <c r="FJ56" i="1"/>
  <c r="FE56" i="1"/>
  <c r="FD56" i="1"/>
  <c r="FB56" i="1"/>
  <c r="EV56" i="1"/>
  <c r="EP56" i="1"/>
  <c r="EO56" i="1"/>
  <c r="EN56" i="1"/>
  <c r="EK56" i="1"/>
  <c r="EH56" i="1"/>
  <c r="EG56" i="1"/>
  <c r="EF56" i="1"/>
  <c r="EE56" i="1"/>
  <c r="ED56" i="1"/>
  <c r="EA56" i="1"/>
  <c r="DY56" i="1"/>
  <c r="DP56" i="1"/>
  <c r="DN56" i="1"/>
  <c r="DF56" i="1"/>
  <c r="DE56" i="1"/>
  <c r="CY56" i="1"/>
  <c r="CV56" i="1"/>
  <c r="CQ56" i="1"/>
  <c r="CP56" i="1"/>
  <c r="CA56" i="1"/>
  <c r="BX56" i="1"/>
  <c r="BS56" i="1"/>
  <c r="BR56" i="1"/>
  <c r="BQ56" i="1"/>
  <c r="BO56" i="1"/>
  <c r="BF56" i="1"/>
  <c r="BE56" i="1"/>
  <c r="BD56" i="1"/>
  <c r="BB56" i="1"/>
  <c r="AY56" i="1"/>
  <c r="AX56" i="1"/>
  <c r="AW56" i="1"/>
  <c r="AV56" i="1"/>
  <c r="AU56" i="1"/>
  <c r="AR56" i="1"/>
  <c r="AP56" i="1"/>
  <c r="AG56" i="1"/>
  <c r="AE56" i="1"/>
  <c r="X56" i="1"/>
  <c r="W56" i="1"/>
  <c r="Q56" i="1"/>
  <c r="N56" i="1"/>
  <c r="I56" i="1"/>
  <c r="FY55" i="1"/>
  <c r="FV55" i="1"/>
  <c r="FS55" i="1"/>
  <c r="FN55" i="1"/>
  <c r="FM55" i="1"/>
  <c r="EL55" i="1"/>
  <c r="DT55" i="1"/>
  <c r="CR55" i="1"/>
  <c r="CQ55" i="1"/>
  <c r="CN55" i="1"/>
  <c r="CL55" i="1"/>
  <c r="CI55" i="1"/>
  <c r="CH55" i="1"/>
  <c r="CG55" i="1"/>
  <c r="BW55" i="1"/>
  <c r="BC55" i="1"/>
  <c r="AK55" i="1"/>
  <c r="J55" i="1"/>
  <c r="I55" i="1"/>
  <c r="H55" i="1"/>
  <c r="FY54" i="1"/>
  <c r="FN54" i="1"/>
  <c r="FM54" i="1"/>
  <c r="FJ54" i="1"/>
  <c r="CS54" i="1"/>
  <c r="CR54" i="1"/>
  <c r="CQ54" i="1"/>
  <c r="CH54" i="1"/>
  <c r="CG54" i="1"/>
  <c r="K54" i="1"/>
  <c r="J54" i="1"/>
  <c r="I54" i="1"/>
  <c r="H54" i="1"/>
  <c r="FY53" i="1"/>
  <c r="FX53" i="1"/>
  <c r="FJ53" i="1"/>
  <c r="DM53" i="1"/>
  <c r="CR53" i="1"/>
  <c r="CQ53" i="1"/>
  <c r="CP53" i="1"/>
  <c r="CI53" i="1"/>
  <c r="CH53" i="1"/>
  <c r="BC53" i="1"/>
  <c r="AD53" i="1"/>
  <c r="J53" i="1"/>
  <c r="I53" i="1"/>
  <c r="H53" i="1"/>
  <c r="FY52" i="1"/>
  <c r="FV52" i="1"/>
  <c r="FN52" i="1"/>
  <c r="FM52" i="1"/>
  <c r="FJ52" i="1"/>
  <c r="CS52" i="1"/>
  <c r="CR52" i="1"/>
  <c r="CQ52" i="1"/>
  <c r="CN52" i="1"/>
  <c r="CH52" i="1"/>
  <c r="CG52" i="1"/>
  <c r="K52" i="1"/>
  <c r="J52" i="1"/>
  <c r="I52" i="1"/>
  <c r="H52" i="1"/>
  <c r="FY51" i="1"/>
  <c r="FT51" i="1"/>
  <c r="FJ51" i="1"/>
  <c r="FE51" i="1"/>
  <c r="FD51" i="1"/>
  <c r="FC51" i="1"/>
  <c r="EV51" i="1"/>
  <c r="EN51" i="1"/>
  <c r="EK51" i="1"/>
  <c r="EH51" i="1"/>
  <c r="EG51" i="1"/>
  <c r="EF51" i="1"/>
  <c r="EE51" i="1"/>
  <c r="ED51" i="1"/>
  <c r="EA51" i="1"/>
  <c r="DY51" i="1"/>
  <c r="DP51" i="1"/>
  <c r="DN51" i="1"/>
  <c r="DG51" i="1"/>
  <c r="DF51" i="1"/>
  <c r="CY51" i="1"/>
  <c r="CV51" i="1"/>
  <c r="CQ51" i="1"/>
  <c r="CA51" i="1"/>
  <c r="BT51" i="1"/>
  <c r="BS51" i="1"/>
  <c r="BR51" i="1"/>
  <c r="BQ51" i="1"/>
  <c r="BP51" i="1"/>
  <c r="BD51" i="1"/>
  <c r="BB51" i="1"/>
  <c r="AY51" i="1"/>
  <c r="AX51" i="1"/>
  <c r="AW51" i="1"/>
  <c r="AV51" i="1"/>
  <c r="AU51" i="1"/>
  <c r="AR51" i="1"/>
  <c r="AP51" i="1"/>
  <c r="AG51" i="1"/>
  <c r="AE51" i="1"/>
  <c r="Y51" i="1"/>
  <c r="X51" i="1"/>
  <c r="Q51" i="1"/>
  <c r="N51" i="1"/>
  <c r="I51" i="1"/>
  <c r="FY50" i="1"/>
  <c r="FV50" i="1"/>
  <c r="FN50" i="1"/>
  <c r="FM50" i="1"/>
  <c r="FJ50" i="1"/>
  <c r="ER50" i="1"/>
  <c r="DW50" i="1"/>
  <c r="CR50" i="1"/>
  <c r="CQ50" i="1"/>
  <c r="CN50" i="1"/>
  <c r="CI50" i="1"/>
  <c r="CH50" i="1"/>
  <c r="CG50" i="1"/>
  <c r="BW50" i="1"/>
  <c r="AN50" i="1"/>
  <c r="J50" i="1"/>
  <c r="I50" i="1"/>
  <c r="H50" i="1"/>
  <c r="FY49" i="1"/>
  <c r="FT49" i="1"/>
  <c r="FJ49" i="1"/>
  <c r="FD49" i="1"/>
  <c r="FB49" i="1"/>
  <c r="EN49" i="1"/>
  <c r="EK49" i="1"/>
  <c r="EI49" i="1"/>
  <c r="EH49" i="1"/>
  <c r="EG49" i="1"/>
  <c r="EF49" i="1"/>
  <c r="ED49" i="1"/>
  <c r="EA49" i="1"/>
  <c r="DY49" i="1"/>
  <c r="DP49" i="1"/>
  <c r="DN49" i="1"/>
  <c r="DD49" i="1"/>
  <c r="CY49" i="1"/>
  <c r="CV49" i="1"/>
  <c r="CQ49" i="1"/>
  <c r="BY49" i="1"/>
  <c r="BQ49" i="1"/>
  <c r="BO49" i="1"/>
  <c r="BD49" i="1"/>
  <c r="BB49" i="1"/>
  <c r="AZ49" i="1"/>
  <c r="AY49" i="1"/>
  <c r="AX49" i="1"/>
  <c r="AW49" i="1"/>
  <c r="AU49" i="1"/>
  <c r="AR49" i="1"/>
  <c r="AP49" i="1"/>
  <c r="AG49" i="1"/>
  <c r="AE49" i="1"/>
  <c r="V49" i="1"/>
  <c r="Q49" i="1"/>
  <c r="N49" i="1"/>
  <c r="I49" i="1"/>
  <c r="FY48" i="1"/>
  <c r="EN48" i="1"/>
  <c r="CQ48" i="1"/>
  <c r="CA48" i="1"/>
  <c r="BD48" i="1"/>
  <c r="I48" i="1"/>
  <c r="FY47" i="1"/>
  <c r="FR47" i="1"/>
  <c r="EN47" i="1"/>
  <c r="EK47" i="1"/>
  <c r="EH47" i="1"/>
  <c r="EG47" i="1"/>
  <c r="EF47" i="1"/>
  <c r="ED47" i="1"/>
  <c r="CY47" i="1"/>
  <c r="CV47" i="1"/>
  <c r="CQ47" i="1"/>
  <c r="BW47" i="1"/>
  <c r="BS47" i="1"/>
  <c r="BD47" i="1"/>
  <c r="BB47" i="1"/>
  <c r="AY47" i="1"/>
  <c r="AX47" i="1"/>
  <c r="AW47" i="1"/>
  <c r="AU47" i="1"/>
  <c r="Q47" i="1"/>
  <c r="N47" i="1"/>
  <c r="I47" i="1"/>
  <c r="FY46" i="1"/>
  <c r="FX46" i="1"/>
  <c r="FV46" i="1"/>
  <c r="FN46" i="1"/>
  <c r="FM46" i="1"/>
  <c r="FJ46" i="1"/>
  <c r="DL46" i="1"/>
  <c r="DK46" i="1"/>
  <c r="CR46" i="1"/>
  <c r="CQ46" i="1"/>
  <c r="CP46" i="1"/>
  <c r="CO46" i="1"/>
  <c r="CN46" i="1"/>
  <c r="CI46" i="1"/>
  <c r="CH46" i="1"/>
  <c r="CG46" i="1"/>
  <c r="BW46" i="1"/>
  <c r="AC46" i="1"/>
  <c r="AB46" i="1"/>
  <c r="J46" i="1"/>
  <c r="I46" i="1"/>
  <c r="H46" i="1"/>
  <c r="FY45" i="1"/>
  <c r="FV45" i="1"/>
  <c r="FM45" i="1"/>
  <c r="FG45" i="1"/>
  <c r="CS45" i="1"/>
  <c r="CR45" i="1"/>
  <c r="CQ45" i="1"/>
  <c r="CN45" i="1"/>
  <c r="CG45" i="1"/>
  <c r="BW45" i="1"/>
  <c r="K45" i="1"/>
  <c r="J45" i="1"/>
  <c r="I45" i="1"/>
  <c r="H45" i="1"/>
  <c r="FY44" i="1"/>
  <c r="FX44" i="1"/>
  <c r="FT44" i="1"/>
  <c r="FJ44" i="1"/>
  <c r="FE44" i="1"/>
  <c r="FD44" i="1"/>
  <c r="EV44" i="1"/>
  <c r="EO44" i="1"/>
  <c r="EN44" i="1"/>
  <c r="EK44" i="1"/>
  <c r="EI44" i="1"/>
  <c r="EF44" i="1"/>
  <c r="ED44" i="1"/>
  <c r="EA44" i="1"/>
  <c r="DY44" i="1"/>
  <c r="DP44" i="1"/>
  <c r="DN44" i="1"/>
  <c r="CY44" i="1"/>
  <c r="CV44" i="1"/>
  <c r="CQ44" i="1"/>
  <c r="CP44" i="1"/>
  <c r="CA44" i="1"/>
  <c r="BY44" i="1"/>
  <c r="BW44" i="1"/>
  <c r="BU44" i="1"/>
  <c r="BT44" i="1"/>
  <c r="BS44" i="1"/>
  <c r="BR44" i="1"/>
  <c r="BQ44" i="1"/>
  <c r="BE44" i="1"/>
  <c r="BD44" i="1"/>
  <c r="BB44" i="1"/>
  <c r="AZ44" i="1"/>
  <c r="AW44" i="1"/>
  <c r="AU44" i="1"/>
  <c r="AR44" i="1"/>
  <c r="AP44" i="1"/>
  <c r="AG44" i="1"/>
  <c r="AE44" i="1"/>
  <c r="Q44" i="1"/>
  <c r="N44" i="1"/>
  <c r="I44" i="1"/>
  <c r="FY43" i="1"/>
  <c r="FV43" i="1"/>
  <c r="FS43" i="1"/>
  <c r="FO43" i="1"/>
  <c r="FN43" i="1"/>
  <c r="FM43" i="1"/>
  <c r="FJ43" i="1"/>
  <c r="FG43" i="1"/>
  <c r="EW43" i="1"/>
  <c r="CS43" i="1"/>
  <c r="CR43" i="1"/>
  <c r="CQ43" i="1"/>
  <c r="CN43" i="1"/>
  <c r="CL43" i="1"/>
  <c r="CI43" i="1"/>
  <c r="CH43" i="1"/>
  <c r="CG43" i="1"/>
  <c r="BW43" i="1"/>
  <c r="K43" i="1"/>
  <c r="J43" i="1"/>
  <c r="I43" i="1"/>
  <c r="H43" i="1"/>
  <c r="FY42" i="1"/>
  <c r="FX42" i="1"/>
  <c r="FV42" i="1"/>
  <c r="FO42" i="1"/>
  <c r="FN42" i="1"/>
  <c r="FJ42" i="1"/>
  <c r="FG42" i="1"/>
  <c r="EM42" i="1"/>
  <c r="DU42" i="1"/>
  <c r="CR42" i="1"/>
  <c r="CQ42" i="1"/>
  <c r="CP42" i="1"/>
  <c r="CN42" i="1"/>
  <c r="CI42" i="1"/>
  <c r="CH42" i="1"/>
  <c r="CG42" i="1"/>
  <c r="BW42" i="1"/>
  <c r="AL42" i="1"/>
  <c r="J42" i="1"/>
  <c r="I42" i="1"/>
  <c r="H42" i="1"/>
  <c r="FY41" i="1"/>
  <c r="FX41" i="1"/>
  <c r="FT41" i="1"/>
  <c r="FJ41" i="1"/>
  <c r="EO41" i="1"/>
  <c r="EN41" i="1"/>
  <c r="EK41" i="1"/>
  <c r="EI41" i="1"/>
  <c r="EH41" i="1"/>
  <c r="EG41" i="1"/>
  <c r="EF41" i="1"/>
  <c r="ED41" i="1"/>
  <c r="EA41" i="1"/>
  <c r="DP41" i="1"/>
  <c r="DN41" i="1"/>
  <c r="DF41" i="1"/>
  <c r="CY41" i="1"/>
  <c r="CV41" i="1"/>
  <c r="CQ41" i="1"/>
  <c r="CP41" i="1"/>
  <c r="BZ41" i="1"/>
  <c r="BX41" i="1"/>
  <c r="BW41" i="1"/>
  <c r="BT41" i="1"/>
  <c r="BE41" i="1"/>
  <c r="BD41" i="1"/>
  <c r="BB41" i="1"/>
  <c r="AZ41" i="1"/>
  <c r="AY41" i="1"/>
  <c r="AX41" i="1"/>
  <c r="AW41" i="1"/>
  <c r="AU41" i="1"/>
  <c r="AR41" i="1"/>
  <c r="AG41" i="1"/>
  <c r="AE41" i="1"/>
  <c r="X41" i="1"/>
  <c r="Q41" i="1"/>
  <c r="N41" i="1"/>
  <c r="I41" i="1"/>
  <c r="FY40" i="1"/>
  <c r="FT40" i="1"/>
  <c r="FJ40" i="1"/>
  <c r="EU40" i="1"/>
  <c r="ET40" i="1"/>
  <c r="EP40" i="1"/>
  <c r="EN40" i="1"/>
  <c r="ED40" i="1"/>
  <c r="DY40" i="1"/>
  <c r="DN40" i="1"/>
  <c r="CV40" i="1"/>
  <c r="CQ40" i="1"/>
  <c r="BJ40" i="1"/>
  <c r="BI40" i="1"/>
  <c r="BF40" i="1"/>
  <c r="BD40" i="1"/>
  <c r="AU40" i="1"/>
  <c r="AP40" i="1"/>
  <c r="AE40" i="1"/>
  <c r="N40" i="1"/>
  <c r="I40" i="1"/>
  <c r="FY39" i="1"/>
  <c r="FT39" i="1"/>
  <c r="FJ39" i="1"/>
  <c r="EN39" i="1"/>
  <c r="EK39" i="1"/>
  <c r="EI39" i="1"/>
  <c r="EH39" i="1"/>
  <c r="EF39" i="1"/>
  <c r="ED39" i="1"/>
  <c r="DY39" i="1"/>
  <c r="DP39" i="1"/>
  <c r="DN39" i="1"/>
  <c r="CY39" i="1"/>
  <c r="CV39" i="1"/>
  <c r="CQ39" i="1"/>
  <c r="CA39" i="1"/>
  <c r="BX39" i="1"/>
  <c r="BW39" i="1"/>
  <c r="BT39" i="1"/>
  <c r="BS39" i="1"/>
  <c r="BD39" i="1"/>
  <c r="BB39" i="1"/>
  <c r="AZ39" i="1"/>
  <c r="AY39" i="1"/>
  <c r="AW39" i="1"/>
  <c r="AU39" i="1"/>
  <c r="AP39" i="1"/>
  <c r="AG39" i="1"/>
  <c r="AE39" i="1"/>
  <c r="Q39" i="1"/>
  <c r="N39" i="1"/>
  <c r="I39" i="1"/>
  <c r="FY38" i="1"/>
  <c r="FT38" i="1"/>
  <c r="FJ38" i="1"/>
  <c r="EN38" i="1"/>
  <c r="EK38" i="1"/>
  <c r="EI38" i="1"/>
  <c r="EH38" i="1"/>
  <c r="EF38" i="1"/>
  <c r="EE38" i="1"/>
  <c r="ED38" i="1"/>
  <c r="CY38" i="1"/>
  <c r="CV38" i="1"/>
  <c r="CQ38" i="1"/>
  <c r="BS38" i="1"/>
  <c r="BD38" i="1"/>
  <c r="BB38" i="1"/>
  <c r="AZ38" i="1"/>
  <c r="AY38" i="1"/>
  <c r="AW38" i="1"/>
  <c r="AV38" i="1"/>
  <c r="AU38" i="1"/>
  <c r="Q38" i="1"/>
  <c r="N38" i="1"/>
  <c r="I38" i="1"/>
  <c r="FY37" i="1"/>
  <c r="FV37" i="1"/>
  <c r="FN37" i="1"/>
  <c r="FJ37" i="1"/>
  <c r="EC37" i="1"/>
  <c r="CR37" i="1"/>
  <c r="CQ37" i="1"/>
  <c r="CN37" i="1"/>
  <c r="CI37" i="1"/>
  <c r="CH37" i="1"/>
  <c r="BW37" i="1"/>
  <c r="AT37" i="1"/>
  <c r="J37" i="1"/>
  <c r="I37" i="1"/>
  <c r="H37" i="1"/>
  <c r="FY36" i="1"/>
  <c r="FX36" i="1"/>
  <c r="FT36" i="1"/>
  <c r="FJ36" i="1"/>
  <c r="FB36" i="1"/>
  <c r="EU36" i="1"/>
  <c r="ET36" i="1"/>
  <c r="EP36" i="1"/>
  <c r="EN36" i="1"/>
  <c r="EG36" i="1"/>
  <c r="EF36" i="1"/>
  <c r="ED36" i="1"/>
  <c r="DY36" i="1"/>
  <c r="DF36" i="1"/>
  <c r="CY36" i="1"/>
  <c r="CV36" i="1"/>
  <c r="CQ36" i="1"/>
  <c r="CP36" i="1"/>
  <c r="BS36" i="1"/>
  <c r="BO36" i="1"/>
  <c r="BJ36" i="1"/>
  <c r="BI36" i="1"/>
  <c r="BF36" i="1"/>
  <c r="BD36" i="1"/>
  <c r="AX36" i="1"/>
  <c r="AW36" i="1"/>
  <c r="AU36" i="1"/>
  <c r="AP36" i="1"/>
  <c r="X36" i="1"/>
  <c r="Q36" i="1"/>
  <c r="N36" i="1"/>
  <c r="I36" i="1"/>
  <c r="FY35" i="1"/>
  <c r="FX35" i="1"/>
  <c r="FV35" i="1"/>
  <c r="FN35" i="1"/>
  <c r="CR35" i="1"/>
  <c r="CQ35" i="1"/>
  <c r="CP35" i="1"/>
  <c r="CN35" i="1"/>
  <c r="CH35" i="1"/>
  <c r="J35" i="1"/>
  <c r="I35" i="1"/>
  <c r="H35" i="1"/>
  <c r="FY34" i="1"/>
  <c r="FX34" i="1"/>
  <c r="FT34" i="1"/>
  <c r="FJ34" i="1"/>
  <c r="FD34" i="1"/>
  <c r="FB34" i="1"/>
  <c r="EV34" i="1"/>
  <c r="EO34" i="1"/>
  <c r="EN34" i="1"/>
  <c r="EI34" i="1"/>
  <c r="EH34" i="1"/>
  <c r="EG34" i="1"/>
  <c r="EF34" i="1"/>
  <c r="EE34" i="1"/>
  <c r="ED34" i="1"/>
  <c r="EA34" i="1"/>
  <c r="DY34" i="1"/>
  <c r="DP34" i="1"/>
  <c r="DN34" i="1"/>
  <c r="DG34" i="1"/>
  <c r="DF34" i="1"/>
  <c r="DE34" i="1"/>
  <c r="DD34" i="1"/>
  <c r="CY34" i="1"/>
  <c r="CV34" i="1"/>
  <c r="CQ34" i="1"/>
  <c r="CP34" i="1"/>
  <c r="CA34" i="1"/>
  <c r="BT34" i="1"/>
  <c r="BQ34" i="1"/>
  <c r="BO34" i="1"/>
  <c r="BE34" i="1"/>
  <c r="BD34" i="1"/>
  <c r="AZ34" i="1"/>
  <c r="AY34" i="1"/>
  <c r="AX34" i="1"/>
  <c r="AW34" i="1"/>
  <c r="AV34" i="1"/>
  <c r="AU34" i="1"/>
  <c r="AR34" i="1"/>
  <c r="AP34" i="1"/>
  <c r="AG34" i="1"/>
  <c r="AE34" i="1"/>
  <c r="Y34" i="1"/>
  <c r="X34" i="1"/>
  <c r="W34" i="1"/>
  <c r="V34" i="1"/>
  <c r="Q34" i="1"/>
  <c r="N34" i="1"/>
  <c r="I34" i="1"/>
  <c r="FY33" i="1"/>
  <c r="FW33" i="1"/>
  <c r="FV33" i="1"/>
  <c r="FS33" i="1"/>
  <c r="FP33" i="1"/>
  <c r="FO33" i="1"/>
  <c r="FN33" i="1"/>
  <c r="FM33" i="1"/>
  <c r="FJ33" i="1"/>
  <c r="FG33" i="1"/>
  <c r="EW33" i="1"/>
  <c r="CS33" i="1"/>
  <c r="CR33" i="1"/>
  <c r="CQ33" i="1"/>
  <c r="CO33" i="1"/>
  <c r="CN33" i="1"/>
  <c r="CL33" i="1"/>
  <c r="CJ33" i="1"/>
  <c r="CI33" i="1"/>
  <c r="CH33" i="1"/>
  <c r="CG33" i="1"/>
  <c r="BW33" i="1"/>
  <c r="K33" i="1"/>
  <c r="J33" i="1"/>
  <c r="I33" i="1"/>
  <c r="H33" i="1"/>
  <c r="FY32" i="1"/>
  <c r="FX32" i="1"/>
  <c r="FT32" i="1"/>
  <c r="FJ32" i="1"/>
  <c r="EN32" i="1"/>
  <c r="EI32" i="1"/>
  <c r="EH32" i="1"/>
  <c r="EG32" i="1"/>
  <c r="EF32" i="1"/>
  <c r="EE32" i="1"/>
  <c r="ED32" i="1"/>
  <c r="CY32" i="1"/>
  <c r="CV32" i="1"/>
  <c r="CQ32" i="1"/>
  <c r="CP32" i="1"/>
  <c r="BY32" i="1"/>
  <c r="BD32" i="1"/>
  <c r="AZ32" i="1"/>
  <c r="AY32" i="1"/>
  <c r="AX32" i="1"/>
  <c r="AW32" i="1"/>
  <c r="AV32" i="1"/>
  <c r="AU32" i="1"/>
  <c r="Q32" i="1"/>
  <c r="N32" i="1"/>
  <c r="I32" i="1"/>
  <c r="FY31" i="1"/>
  <c r="FJ31" i="1"/>
  <c r="FD31" i="1"/>
  <c r="FB31" i="1"/>
  <c r="EN31" i="1"/>
  <c r="EH31" i="1"/>
  <c r="EF31" i="1"/>
  <c r="ED31" i="1"/>
  <c r="DY31" i="1"/>
  <c r="DN31" i="1"/>
  <c r="DF31" i="1"/>
  <c r="CY31" i="1"/>
  <c r="CV31" i="1"/>
  <c r="CQ31" i="1"/>
  <c r="CA31" i="1"/>
  <c r="BY31" i="1"/>
  <c r="BT31" i="1"/>
  <c r="BQ31" i="1"/>
  <c r="BO31" i="1"/>
  <c r="BD31" i="1"/>
  <c r="AY31" i="1"/>
  <c r="AW31" i="1"/>
  <c r="AU31" i="1"/>
  <c r="AP31" i="1"/>
  <c r="AE31" i="1"/>
  <c r="X31" i="1"/>
  <c r="Q31" i="1"/>
  <c r="N31" i="1"/>
  <c r="I31" i="1"/>
  <c r="FY30" i="1"/>
  <c r="FV30" i="1"/>
  <c r="FO30" i="1"/>
  <c r="FN30" i="1"/>
  <c r="FM30" i="1"/>
  <c r="FJ30" i="1"/>
  <c r="DS30" i="1"/>
  <c r="DR30" i="1"/>
  <c r="CR30" i="1"/>
  <c r="CQ30" i="1"/>
  <c r="CN30" i="1"/>
  <c r="CI30" i="1"/>
  <c r="CH30" i="1"/>
  <c r="CG30" i="1"/>
  <c r="BW30" i="1"/>
  <c r="AJ30" i="1"/>
  <c r="AI30" i="1"/>
  <c r="J30" i="1"/>
  <c r="I30" i="1"/>
  <c r="H30" i="1"/>
  <c r="FY29" i="1"/>
  <c r="FX29" i="1"/>
  <c r="FT29" i="1"/>
  <c r="FJ29" i="1"/>
  <c r="FB29" i="1"/>
  <c r="EN29" i="1"/>
  <c r="EK29" i="1"/>
  <c r="EH29" i="1"/>
  <c r="EF29" i="1"/>
  <c r="EE29" i="1"/>
  <c r="ED29" i="1"/>
  <c r="EA29" i="1"/>
  <c r="DY29" i="1"/>
  <c r="DP29" i="1"/>
  <c r="DN29" i="1"/>
  <c r="DF29" i="1"/>
  <c r="DD29" i="1"/>
  <c r="CY29" i="1"/>
  <c r="CV29" i="1"/>
  <c r="CQ29" i="1"/>
  <c r="CP29" i="1"/>
  <c r="BW29" i="1"/>
  <c r="BO29" i="1"/>
  <c r="BD29" i="1"/>
  <c r="BB29" i="1"/>
  <c r="AY29" i="1"/>
  <c r="AW29" i="1"/>
  <c r="AV29" i="1"/>
  <c r="AU29" i="1"/>
  <c r="AR29" i="1"/>
  <c r="AP29" i="1"/>
  <c r="AG29" i="1"/>
  <c r="AE29" i="1"/>
  <c r="X29" i="1"/>
  <c r="V29" i="1"/>
  <c r="Q29" i="1"/>
  <c r="N29" i="1"/>
  <c r="I29" i="1"/>
  <c r="FY28" i="1"/>
  <c r="FM28" i="1"/>
  <c r="FG28" i="1"/>
  <c r="CR28" i="1"/>
  <c r="CQ28" i="1"/>
  <c r="CG28" i="1"/>
  <c r="BW28" i="1"/>
  <c r="J28" i="1"/>
  <c r="I28" i="1"/>
  <c r="H28" i="1"/>
  <c r="FY27" i="1"/>
  <c r="FT27" i="1"/>
  <c r="FJ27" i="1"/>
  <c r="FH27" i="1"/>
  <c r="FF27" i="1"/>
  <c r="EY27" i="1"/>
  <c r="EX27" i="1"/>
  <c r="EN27" i="1"/>
  <c r="EK27" i="1"/>
  <c r="EH27" i="1"/>
  <c r="EF27" i="1"/>
  <c r="EE27" i="1"/>
  <c r="ED27" i="1"/>
  <c r="DF27" i="1"/>
  <c r="CY27" i="1"/>
  <c r="CV27" i="1"/>
  <c r="CQ27" i="1"/>
  <c r="CB27" i="1"/>
  <c r="BU27" i="1"/>
  <c r="BL27" i="1"/>
  <c r="BK27" i="1"/>
  <c r="BD27" i="1"/>
  <c r="BB27" i="1"/>
  <c r="AY27" i="1"/>
  <c r="AW27" i="1"/>
  <c r="AV27" i="1"/>
  <c r="AU27" i="1"/>
  <c r="X27" i="1"/>
  <c r="Q27" i="1"/>
  <c r="N27" i="1"/>
  <c r="I27" i="1"/>
  <c r="FY26" i="1"/>
  <c r="FX26" i="1"/>
  <c r="FT26" i="1"/>
  <c r="FJ26" i="1"/>
  <c r="EV26" i="1"/>
  <c r="EO26" i="1"/>
  <c r="EN26" i="1"/>
  <c r="EK26" i="1"/>
  <c r="EI26" i="1"/>
  <c r="EH26" i="1"/>
  <c r="EF26" i="1"/>
  <c r="ED26" i="1"/>
  <c r="DY26" i="1"/>
  <c r="DP26" i="1"/>
  <c r="DN26" i="1"/>
  <c r="CV26" i="1"/>
  <c r="CQ26" i="1"/>
  <c r="CP26" i="1"/>
  <c r="CA26" i="1"/>
  <c r="BS26" i="1"/>
  <c r="BE26" i="1"/>
  <c r="BD26" i="1"/>
  <c r="BB26" i="1"/>
  <c r="AZ26" i="1"/>
  <c r="AY26" i="1"/>
  <c r="AW26" i="1"/>
  <c r="AU26" i="1"/>
  <c r="AP26" i="1"/>
  <c r="AG26" i="1"/>
  <c r="AE26" i="1"/>
  <c r="N26" i="1"/>
  <c r="I26" i="1"/>
  <c r="FY25" i="1"/>
  <c r="FT25" i="1"/>
  <c r="FJ25" i="1"/>
  <c r="EY25" i="1"/>
  <c r="EI25" i="1"/>
  <c r="EH25" i="1"/>
  <c r="EF25" i="1"/>
  <c r="ED25" i="1"/>
  <c r="CU25" i="1"/>
  <c r="CT25" i="1"/>
  <c r="CQ25" i="1"/>
  <c r="CB25" i="1"/>
  <c r="BL25" i="1"/>
  <c r="AZ25" i="1"/>
  <c r="AY25" i="1"/>
  <c r="AW25" i="1"/>
  <c r="AU25" i="1"/>
  <c r="M25" i="1"/>
  <c r="L25" i="1"/>
  <c r="I25" i="1"/>
  <c r="FY24" i="1"/>
  <c r="FX24" i="1"/>
  <c r="FT24" i="1"/>
  <c r="FJ24" i="1"/>
  <c r="FF24" i="1"/>
  <c r="FD24" i="1"/>
  <c r="FB24" i="1"/>
  <c r="EN24" i="1"/>
  <c r="EK24" i="1"/>
  <c r="EI24" i="1"/>
  <c r="EH24" i="1"/>
  <c r="EG24" i="1"/>
  <c r="EF24" i="1"/>
  <c r="EE24" i="1"/>
  <c r="ED24" i="1"/>
  <c r="EA24" i="1"/>
  <c r="DY24" i="1"/>
  <c r="DP24" i="1"/>
  <c r="DN24" i="1"/>
  <c r="CY24" i="1"/>
  <c r="CV24" i="1"/>
  <c r="CQ24" i="1"/>
  <c r="CP24" i="1"/>
  <c r="BY24" i="1"/>
  <c r="BU24" i="1"/>
  <c r="BQ24" i="1"/>
  <c r="BO24" i="1"/>
  <c r="BD24" i="1"/>
  <c r="BB24" i="1"/>
  <c r="AZ24" i="1"/>
  <c r="AY24" i="1"/>
  <c r="AX24" i="1"/>
  <c r="AW24" i="1"/>
  <c r="AV24" i="1"/>
  <c r="AU24" i="1"/>
  <c r="AR24" i="1"/>
  <c r="AP24" i="1"/>
  <c r="AG24" i="1"/>
  <c r="AE24" i="1"/>
  <c r="Q24" i="1"/>
  <c r="N24" i="1"/>
  <c r="I24" i="1"/>
  <c r="FY23" i="1"/>
  <c r="FT23" i="1"/>
  <c r="FJ23" i="1"/>
  <c r="EN23" i="1"/>
  <c r="EK23" i="1"/>
  <c r="EI23" i="1"/>
  <c r="EH23" i="1"/>
  <c r="EG23" i="1"/>
  <c r="EF23" i="1"/>
  <c r="EE23" i="1"/>
  <c r="ED23" i="1"/>
  <c r="DY23" i="1"/>
  <c r="DP23" i="1"/>
  <c r="DN23" i="1"/>
  <c r="CY23" i="1"/>
  <c r="CV23" i="1"/>
  <c r="CQ23" i="1"/>
  <c r="CA23" i="1"/>
  <c r="BZ23" i="1"/>
  <c r="BU23" i="1"/>
  <c r="BT23" i="1"/>
  <c r="BS23" i="1"/>
  <c r="BD23" i="1"/>
  <c r="BB23" i="1"/>
  <c r="AZ23" i="1"/>
  <c r="AY23" i="1"/>
  <c r="AX23" i="1"/>
  <c r="AW23" i="1"/>
  <c r="AV23" i="1"/>
  <c r="AU23" i="1"/>
  <c r="AP23" i="1"/>
  <c r="AG23" i="1"/>
  <c r="AE23" i="1"/>
  <c r="Q23" i="1"/>
  <c r="N23" i="1"/>
  <c r="I23" i="1"/>
  <c r="FY22" i="1"/>
  <c r="FX22" i="1"/>
  <c r="FT22" i="1"/>
  <c r="FJ22" i="1"/>
  <c r="EN22" i="1"/>
  <c r="EI22" i="1"/>
  <c r="EH22" i="1"/>
  <c r="EG22" i="1"/>
  <c r="EF22" i="1"/>
  <c r="EE22" i="1"/>
  <c r="ED22" i="1"/>
  <c r="CY22" i="1"/>
  <c r="CV22" i="1"/>
  <c r="CQ22" i="1"/>
  <c r="CP22" i="1"/>
  <c r="CA22" i="1"/>
  <c r="BY22" i="1"/>
  <c r="BD22" i="1"/>
  <c r="AZ22" i="1"/>
  <c r="AY22" i="1"/>
  <c r="AX22" i="1"/>
  <c r="AW22" i="1"/>
  <c r="AV22" i="1"/>
  <c r="AU22" i="1"/>
  <c r="Q22" i="1"/>
  <c r="N22" i="1"/>
  <c r="I22" i="1"/>
  <c r="FY21" i="1"/>
  <c r="FT21" i="1"/>
  <c r="FJ21" i="1"/>
  <c r="FF21" i="1"/>
  <c r="FD21" i="1"/>
  <c r="FB21" i="1"/>
  <c r="EN21" i="1"/>
  <c r="EK21" i="1"/>
  <c r="EI21" i="1"/>
  <c r="EH21" i="1"/>
  <c r="EF21" i="1"/>
  <c r="EE21" i="1"/>
  <c r="ED21" i="1"/>
  <c r="DY21" i="1"/>
  <c r="DP21" i="1"/>
  <c r="DN21" i="1"/>
  <c r="CY21" i="1"/>
  <c r="CV21" i="1"/>
  <c r="CQ21" i="1"/>
  <c r="CA21" i="1"/>
  <c r="BW21" i="1"/>
  <c r="BU21" i="1"/>
  <c r="BT21" i="1"/>
  <c r="BQ21" i="1"/>
  <c r="BO21" i="1"/>
  <c r="BD21" i="1"/>
  <c r="BB21" i="1"/>
  <c r="AZ21" i="1"/>
  <c r="AY21" i="1"/>
  <c r="AW21" i="1"/>
  <c r="AV21" i="1"/>
  <c r="AU21" i="1"/>
  <c r="AP21" i="1"/>
  <c r="AG21" i="1"/>
  <c r="AE21" i="1"/>
  <c r="Q21" i="1"/>
  <c r="N21" i="1"/>
  <c r="I21" i="1"/>
  <c r="FY20" i="1"/>
  <c r="FN20" i="1"/>
  <c r="CR20" i="1"/>
  <c r="CQ20" i="1"/>
  <c r="CH20" i="1"/>
  <c r="J20" i="1"/>
  <c r="I20" i="1"/>
  <c r="H20" i="1"/>
  <c r="FY19" i="1"/>
  <c r="FT19" i="1"/>
  <c r="FJ19" i="1"/>
  <c r="FD19" i="1"/>
  <c r="EQ19" i="1"/>
  <c r="EN19" i="1"/>
  <c r="EH19" i="1"/>
  <c r="EF19" i="1"/>
  <c r="ED19" i="1"/>
  <c r="CQ19" i="1"/>
  <c r="BQ19" i="1"/>
  <c r="BG19" i="1"/>
  <c r="BD19" i="1"/>
  <c r="AY19" i="1"/>
  <c r="AW19" i="1"/>
  <c r="AU19" i="1"/>
  <c r="I19" i="1"/>
  <c r="FY18" i="1"/>
  <c r="FX18" i="1"/>
  <c r="FT18" i="1"/>
  <c r="FJ18" i="1"/>
  <c r="FE18" i="1"/>
  <c r="FD18" i="1"/>
  <c r="FB18" i="1"/>
  <c r="ES18" i="1"/>
  <c r="EN18" i="1"/>
  <c r="EH18" i="1"/>
  <c r="EF18" i="1"/>
  <c r="ED18" i="1"/>
  <c r="EA18" i="1"/>
  <c r="DY18" i="1"/>
  <c r="DP18" i="1"/>
  <c r="DN18" i="1"/>
  <c r="DH18" i="1"/>
  <c r="DG18" i="1"/>
  <c r="DF18" i="1"/>
  <c r="DE18" i="1"/>
  <c r="DD18" i="1"/>
  <c r="CY18" i="1"/>
  <c r="CV18" i="1"/>
  <c r="CQ18" i="1"/>
  <c r="CP18" i="1"/>
  <c r="BR18" i="1"/>
  <c r="BQ18" i="1"/>
  <c r="BO18" i="1"/>
  <c r="BH18" i="1"/>
  <c r="BD18" i="1"/>
  <c r="AY18" i="1"/>
  <c r="AW18" i="1"/>
  <c r="AU18" i="1"/>
  <c r="AR18" i="1"/>
  <c r="AP18" i="1"/>
  <c r="AG18" i="1"/>
  <c r="AE18" i="1"/>
  <c r="Z18" i="1"/>
  <c r="Y18" i="1"/>
  <c r="X18" i="1"/>
  <c r="W18" i="1"/>
  <c r="V18" i="1"/>
  <c r="Q18" i="1"/>
  <c r="N18" i="1"/>
  <c r="I18" i="1"/>
  <c r="FY17" i="1"/>
  <c r="FX17" i="1"/>
  <c r="FT17" i="1"/>
  <c r="FJ17" i="1"/>
  <c r="FD17" i="1"/>
  <c r="FB17" i="1"/>
  <c r="EQ17" i="1"/>
  <c r="EN17" i="1"/>
  <c r="EK17" i="1"/>
  <c r="EH17" i="1"/>
  <c r="EG17" i="1"/>
  <c r="EF17" i="1"/>
  <c r="EE17" i="1"/>
  <c r="ED17" i="1"/>
  <c r="DY17" i="1"/>
  <c r="DP17" i="1"/>
  <c r="DN17" i="1"/>
  <c r="DH17" i="1"/>
  <c r="CY17" i="1"/>
  <c r="CV17" i="1"/>
  <c r="CQ17" i="1"/>
  <c r="CP17" i="1"/>
  <c r="CC17" i="1"/>
  <c r="CA17" i="1"/>
  <c r="BY17" i="1"/>
  <c r="BW17" i="1"/>
  <c r="BS17" i="1"/>
  <c r="BQ17" i="1"/>
  <c r="BO17" i="1"/>
  <c r="BG17" i="1"/>
  <c r="BD17" i="1"/>
  <c r="BB17" i="1"/>
  <c r="AY17" i="1"/>
  <c r="AX17" i="1"/>
  <c r="AW17" i="1"/>
  <c r="AV17" i="1"/>
  <c r="AU17" i="1"/>
  <c r="AP17" i="1"/>
  <c r="AG17" i="1"/>
  <c r="AE17" i="1"/>
  <c r="Z17" i="1"/>
  <c r="Q17" i="1"/>
  <c r="N17" i="1"/>
  <c r="I17" i="1"/>
  <c r="FY16" i="1"/>
  <c r="FT16" i="1"/>
  <c r="FJ16" i="1"/>
  <c r="EN16" i="1"/>
  <c r="EK16" i="1"/>
  <c r="EI16" i="1"/>
  <c r="EH16" i="1"/>
  <c r="EG16" i="1"/>
  <c r="EF16" i="1"/>
  <c r="ED16" i="1"/>
  <c r="EA16" i="1"/>
  <c r="DY16" i="1"/>
  <c r="DH16" i="1"/>
  <c r="DG16" i="1"/>
  <c r="DF16" i="1"/>
  <c r="DE16" i="1"/>
  <c r="DD16" i="1"/>
  <c r="DC16" i="1"/>
  <c r="CY16" i="1"/>
  <c r="CV16" i="1"/>
  <c r="CQ16" i="1"/>
  <c r="CA16" i="1"/>
  <c r="BT16" i="1"/>
  <c r="BD16" i="1"/>
  <c r="BB16" i="1"/>
  <c r="AZ16" i="1"/>
  <c r="AY16" i="1"/>
  <c r="AX16" i="1"/>
  <c r="AW16" i="1"/>
  <c r="AU16" i="1"/>
  <c r="AR16" i="1"/>
  <c r="AP16" i="1"/>
  <c r="Z16" i="1"/>
  <c r="Y16" i="1"/>
  <c r="X16" i="1"/>
  <c r="W16" i="1"/>
  <c r="V16" i="1"/>
  <c r="U16" i="1"/>
  <c r="Q16" i="1"/>
  <c r="N16" i="1"/>
  <c r="I16" i="1"/>
  <c r="FY15" i="1"/>
  <c r="FT15" i="1"/>
  <c r="FJ15" i="1"/>
  <c r="FF15" i="1"/>
  <c r="EO15" i="1"/>
  <c r="EN15" i="1"/>
  <c r="EK15" i="1"/>
  <c r="EI15" i="1"/>
  <c r="EH15" i="1"/>
  <c r="EF15" i="1"/>
  <c r="ED15" i="1"/>
  <c r="CY15" i="1"/>
  <c r="CV15" i="1"/>
  <c r="CQ15" i="1"/>
  <c r="CA15" i="1"/>
  <c r="BY15" i="1"/>
  <c r="BX15" i="1"/>
  <c r="BW15" i="1"/>
  <c r="BU15" i="1"/>
  <c r="BT15" i="1"/>
  <c r="BS15" i="1"/>
  <c r="BE15" i="1"/>
  <c r="BD15" i="1"/>
  <c r="BB15" i="1"/>
  <c r="AZ15" i="1"/>
  <c r="AY15" i="1"/>
  <c r="AW15" i="1"/>
  <c r="AU15" i="1"/>
  <c r="Q15" i="1"/>
  <c r="N15" i="1"/>
  <c r="I15" i="1"/>
  <c r="FY14" i="1"/>
  <c r="FX14" i="1"/>
  <c r="FJ14" i="1"/>
  <c r="EO14" i="1"/>
  <c r="EN14" i="1"/>
  <c r="EK14" i="1"/>
  <c r="EH14" i="1"/>
  <c r="EF14" i="1"/>
  <c r="EE14" i="1"/>
  <c r="ED14" i="1"/>
  <c r="DY14" i="1"/>
  <c r="DP14" i="1"/>
  <c r="DN14" i="1"/>
  <c r="DE14" i="1"/>
  <c r="DD14" i="1"/>
  <c r="CY14" i="1"/>
  <c r="CV14" i="1"/>
  <c r="CQ14" i="1"/>
  <c r="CP14" i="1"/>
  <c r="CA14" i="1"/>
  <c r="BZ14" i="1"/>
  <c r="BX14" i="1"/>
  <c r="BT14" i="1"/>
  <c r="BE14" i="1"/>
  <c r="BD14" i="1"/>
  <c r="BB14" i="1"/>
  <c r="AY14" i="1"/>
  <c r="AW14" i="1"/>
  <c r="AV14" i="1"/>
  <c r="AU14" i="1"/>
  <c r="AP14" i="1"/>
  <c r="AG14" i="1"/>
  <c r="AE14" i="1"/>
  <c r="W14" i="1"/>
  <c r="V14" i="1"/>
  <c r="Q14" i="1"/>
  <c r="N14" i="1"/>
  <c r="I14" i="1"/>
  <c r="FY13" i="1"/>
  <c r="FT13" i="1"/>
  <c r="FJ13" i="1"/>
  <c r="EO13" i="1"/>
  <c r="EN13" i="1"/>
  <c r="EK13" i="1"/>
  <c r="EI13" i="1"/>
  <c r="EH13" i="1"/>
  <c r="EG13" i="1"/>
  <c r="EF13" i="1"/>
  <c r="EE13" i="1"/>
  <c r="ED13" i="1"/>
  <c r="DY13" i="1"/>
  <c r="DP13" i="1"/>
  <c r="DN13" i="1"/>
  <c r="DH13" i="1"/>
  <c r="CY13" i="1"/>
  <c r="CV13" i="1"/>
  <c r="CQ13" i="1"/>
  <c r="CA13" i="1"/>
  <c r="BZ13" i="1"/>
  <c r="BY13" i="1"/>
  <c r="BT13" i="1"/>
  <c r="BS13" i="1"/>
  <c r="BE13" i="1"/>
  <c r="BD13" i="1"/>
  <c r="BB13" i="1"/>
  <c r="AZ13" i="1"/>
  <c r="AY13" i="1"/>
  <c r="AX13" i="1"/>
  <c r="AW13" i="1"/>
  <c r="AV13" i="1"/>
  <c r="AU13" i="1"/>
  <c r="AP13" i="1"/>
  <c r="AG13" i="1"/>
  <c r="AE13" i="1"/>
  <c r="Z13" i="1"/>
  <c r="Q13" i="1"/>
  <c r="N13" i="1"/>
  <c r="I13" i="1"/>
  <c r="FY12" i="1"/>
  <c r="FX12" i="1"/>
  <c r="FT12" i="1"/>
  <c r="FJ12" i="1"/>
  <c r="FD12" i="1"/>
  <c r="FB12" i="1"/>
  <c r="EV12" i="1"/>
  <c r="EQ12" i="1"/>
  <c r="EP12" i="1"/>
  <c r="EO12" i="1"/>
  <c r="EN12" i="1"/>
  <c r="EK12" i="1"/>
  <c r="EI12" i="1"/>
  <c r="EH12" i="1"/>
  <c r="EG12" i="1"/>
  <c r="EF12" i="1"/>
  <c r="EE12" i="1"/>
  <c r="ED12" i="1"/>
  <c r="EA12" i="1"/>
  <c r="DY12" i="1"/>
  <c r="DP12" i="1"/>
  <c r="DN12" i="1"/>
  <c r="DG12" i="1"/>
  <c r="DF12" i="1"/>
  <c r="DE12" i="1"/>
  <c r="CY12" i="1"/>
  <c r="CV12" i="1"/>
  <c r="CQ12" i="1"/>
  <c r="CP12" i="1"/>
  <c r="CA12" i="1"/>
  <c r="BY12" i="1"/>
  <c r="BT12" i="1"/>
  <c r="BQ12" i="1"/>
  <c r="BO12" i="1"/>
  <c r="BG12" i="1"/>
  <c r="BF12" i="1"/>
  <c r="BE12" i="1"/>
  <c r="BD12" i="1"/>
  <c r="BB12" i="1"/>
  <c r="AZ12" i="1"/>
  <c r="AY12" i="1"/>
  <c r="AX12" i="1"/>
  <c r="AW12" i="1"/>
  <c r="AV12" i="1"/>
  <c r="AU12" i="1"/>
  <c r="AR12" i="1"/>
  <c r="AP12" i="1"/>
  <c r="AG12" i="1"/>
  <c r="AE12" i="1"/>
  <c r="Y12" i="1"/>
  <c r="X12" i="1"/>
  <c r="W12" i="1"/>
  <c r="Q12" i="1"/>
  <c r="N12" i="1"/>
  <c r="I12" i="1"/>
  <c r="FY11" i="1"/>
  <c r="FT11" i="1"/>
  <c r="FJ11" i="1"/>
  <c r="FD11" i="1"/>
  <c r="FB11" i="1"/>
  <c r="EN11" i="1"/>
  <c r="EK11" i="1"/>
  <c r="EH11" i="1"/>
  <c r="EG11" i="1"/>
  <c r="EF11" i="1"/>
  <c r="ED11" i="1"/>
  <c r="EA11" i="1"/>
  <c r="DY11" i="1"/>
  <c r="DP11" i="1"/>
  <c r="DN11" i="1"/>
  <c r="CY11" i="1"/>
  <c r="CV11" i="1"/>
  <c r="CQ11" i="1"/>
  <c r="CA11" i="1"/>
  <c r="BZ11" i="1"/>
  <c r="BY11" i="1"/>
  <c r="BT11" i="1"/>
  <c r="BQ11" i="1"/>
  <c r="BO11" i="1"/>
  <c r="BD11" i="1"/>
  <c r="BB11" i="1"/>
  <c r="AY11" i="1"/>
  <c r="AX11" i="1"/>
  <c r="AW11" i="1"/>
  <c r="AU11" i="1"/>
  <c r="AR11" i="1"/>
  <c r="AP11" i="1"/>
  <c r="AG11" i="1"/>
  <c r="AE11" i="1"/>
  <c r="Q11" i="1"/>
  <c r="N11" i="1"/>
  <c r="I11" i="1"/>
  <c r="FY10" i="1"/>
  <c r="FN10" i="1"/>
  <c r="FM10" i="1"/>
  <c r="FJ10" i="1"/>
  <c r="CS10" i="1"/>
  <c r="CR10" i="1"/>
  <c r="CQ10" i="1"/>
  <c r="CH10" i="1"/>
  <c r="CG10" i="1"/>
  <c r="K10" i="1"/>
  <c r="J10" i="1"/>
  <c r="I10" i="1"/>
  <c r="H10" i="1"/>
  <c r="FY9" i="1"/>
  <c r="FT9" i="1"/>
  <c r="FJ9" i="1"/>
  <c r="FE9" i="1"/>
  <c r="FD9" i="1"/>
  <c r="EP9" i="1"/>
  <c r="EN9" i="1"/>
  <c r="EI9" i="1"/>
  <c r="EH9" i="1"/>
  <c r="EG9" i="1"/>
  <c r="EF9" i="1"/>
  <c r="ED9" i="1"/>
  <c r="EA9" i="1"/>
  <c r="DP9" i="1"/>
  <c r="DG9" i="1"/>
  <c r="DF9" i="1"/>
  <c r="DE9" i="1"/>
  <c r="CY9" i="1"/>
  <c r="CV9" i="1"/>
  <c r="CQ9" i="1"/>
  <c r="BY9" i="1"/>
  <c r="BW9" i="1"/>
  <c r="BR9" i="1"/>
  <c r="BQ9" i="1"/>
  <c r="BF9" i="1"/>
  <c r="BD9" i="1"/>
  <c r="AZ9" i="1"/>
  <c r="AY9" i="1"/>
  <c r="AX9" i="1"/>
  <c r="AW9" i="1"/>
  <c r="AU9" i="1"/>
  <c r="AR9" i="1"/>
  <c r="AG9" i="1"/>
  <c r="Y9" i="1"/>
  <c r="X9" i="1"/>
  <c r="W9" i="1"/>
  <c r="Q9" i="1"/>
  <c r="N9" i="1"/>
  <c r="I9" i="1"/>
  <c r="FY8" i="1"/>
  <c r="FT8" i="1"/>
  <c r="FJ8" i="1"/>
  <c r="FE8" i="1"/>
  <c r="FD8" i="1"/>
  <c r="FC8" i="1"/>
  <c r="FB8" i="1"/>
  <c r="FA8" i="1"/>
  <c r="EN8" i="1"/>
  <c r="EK8" i="1"/>
  <c r="EI8" i="1"/>
  <c r="EH8" i="1"/>
  <c r="EG8" i="1"/>
  <c r="EF8" i="1"/>
  <c r="ED8" i="1"/>
  <c r="EA8" i="1"/>
  <c r="DY8" i="1"/>
  <c r="DP8" i="1"/>
  <c r="DN8" i="1"/>
  <c r="DG8" i="1"/>
  <c r="DF8" i="1"/>
  <c r="DE8" i="1"/>
  <c r="DD8" i="1"/>
  <c r="CY8" i="1"/>
  <c r="CV8" i="1"/>
  <c r="CQ8" i="1"/>
  <c r="BY8" i="1"/>
  <c r="BR8" i="1"/>
  <c r="BQ8" i="1"/>
  <c r="BP8" i="1"/>
  <c r="BO8" i="1"/>
  <c r="BN8" i="1"/>
  <c r="BD8" i="1"/>
  <c r="BB8" i="1"/>
  <c r="AZ8" i="1"/>
  <c r="AY8" i="1"/>
  <c r="AX8" i="1"/>
  <c r="AW8" i="1"/>
  <c r="AU8" i="1"/>
  <c r="AR8" i="1"/>
  <c r="AP8" i="1"/>
  <c r="AG8" i="1"/>
  <c r="AE8" i="1"/>
  <c r="Y8" i="1"/>
  <c r="X8" i="1"/>
  <c r="W8" i="1"/>
  <c r="V8" i="1"/>
  <c r="Q8" i="1"/>
  <c r="N8" i="1"/>
  <c r="I8" i="1"/>
  <c r="FY7" i="1"/>
  <c r="FT7" i="1"/>
  <c r="FJ7" i="1"/>
  <c r="EN7" i="1"/>
  <c r="EK7" i="1"/>
  <c r="EH7" i="1"/>
  <c r="EF7" i="1"/>
  <c r="ED7" i="1"/>
  <c r="DY7" i="1"/>
  <c r="DD7" i="1"/>
  <c r="CV7" i="1"/>
  <c r="CQ7" i="1"/>
  <c r="CA7" i="1"/>
  <c r="BZ7" i="1"/>
  <c r="BY7" i="1"/>
  <c r="BX7" i="1"/>
  <c r="BW7" i="1"/>
  <c r="BT7" i="1"/>
  <c r="BS7" i="1"/>
  <c r="BD7" i="1"/>
  <c r="BB7" i="1"/>
  <c r="AY7" i="1"/>
  <c r="AW7" i="1"/>
  <c r="AU7" i="1"/>
  <c r="AP7" i="1"/>
  <c r="V7" i="1"/>
  <c r="N7" i="1"/>
  <c r="I7" i="1"/>
  <c r="FY6" i="1"/>
  <c r="FX6" i="1"/>
  <c r="FT6" i="1"/>
  <c r="FJ6" i="1"/>
  <c r="EH6" i="1"/>
  <c r="EG6" i="1"/>
  <c r="EF6" i="1"/>
  <c r="ED6" i="1"/>
  <c r="CY6" i="1"/>
  <c r="CV6" i="1"/>
  <c r="CQ6" i="1"/>
  <c r="CP6" i="1"/>
  <c r="BZ6" i="1"/>
  <c r="AY6" i="1"/>
  <c r="AX6" i="1"/>
  <c r="AW6" i="1"/>
  <c r="AU6" i="1"/>
  <c r="Q6" i="1"/>
  <c r="N6" i="1"/>
  <c r="I6" i="1"/>
  <c r="FY5" i="1"/>
  <c r="FX5" i="1"/>
  <c r="FT5" i="1"/>
  <c r="FJ5" i="1"/>
  <c r="FD5" i="1"/>
  <c r="FB5" i="1"/>
  <c r="EV5" i="1"/>
  <c r="EO5" i="1"/>
  <c r="EN5" i="1"/>
  <c r="EK5" i="1"/>
  <c r="EI5" i="1"/>
  <c r="EH5" i="1"/>
  <c r="EF5" i="1"/>
  <c r="ED5" i="1"/>
  <c r="DY5" i="1"/>
  <c r="DP5" i="1"/>
  <c r="DN5" i="1"/>
  <c r="CY5" i="1"/>
  <c r="CV5" i="1"/>
  <c r="CQ5" i="1"/>
  <c r="CP5" i="1"/>
  <c r="BY5" i="1"/>
  <c r="BW5" i="1"/>
  <c r="BS5" i="1"/>
  <c r="BQ5" i="1"/>
  <c r="BO5" i="1"/>
  <c r="BE5" i="1"/>
  <c r="BD5" i="1"/>
  <c r="BB5" i="1"/>
  <c r="AZ5" i="1"/>
  <c r="AY5" i="1"/>
  <c r="AW5" i="1"/>
  <c r="AU5" i="1"/>
  <c r="AP5" i="1"/>
  <c r="AG5" i="1"/>
  <c r="AE5" i="1"/>
  <c r="Q5" i="1"/>
  <c r="N5" i="1"/>
  <c r="I5" i="1"/>
  <c r="FY4" i="1"/>
  <c r="FX4" i="1"/>
  <c r="FT4" i="1"/>
  <c r="FJ4" i="1"/>
  <c r="FD4" i="1"/>
  <c r="EN4" i="1"/>
  <c r="EK4" i="1"/>
  <c r="EI4" i="1"/>
  <c r="EH4" i="1"/>
  <c r="EG4" i="1"/>
  <c r="EF4" i="1"/>
  <c r="ED4" i="1"/>
  <c r="EA4" i="1"/>
  <c r="DY4" i="1"/>
  <c r="DP4" i="1"/>
  <c r="DN4" i="1"/>
  <c r="DH4" i="1"/>
  <c r="DF4" i="1"/>
  <c r="CY4" i="1"/>
  <c r="CV4" i="1"/>
  <c r="CQ4" i="1"/>
  <c r="CP4" i="1"/>
  <c r="CA4" i="1"/>
  <c r="BZ4" i="1"/>
  <c r="BW4" i="1"/>
  <c r="BT4" i="1"/>
  <c r="BS4" i="1"/>
  <c r="BQ4" i="1"/>
  <c r="BD4" i="1"/>
  <c r="BB4" i="1"/>
  <c r="AZ4" i="1"/>
  <c r="AY4" i="1"/>
  <c r="AX4" i="1"/>
  <c r="AW4" i="1"/>
  <c r="AU4" i="1"/>
  <c r="AR4" i="1"/>
  <c r="AP4" i="1"/>
  <c r="AG4" i="1"/>
  <c r="AE4" i="1"/>
  <c r="Z4" i="1"/>
  <c r="X4" i="1"/>
  <c r="Q4" i="1"/>
  <c r="N4" i="1"/>
  <c r="I4" i="1"/>
  <c r="FY3" i="1"/>
  <c r="FX3" i="1"/>
  <c r="FT3" i="1"/>
  <c r="FJ3" i="1"/>
  <c r="FE3" i="1"/>
  <c r="EN3" i="1"/>
  <c r="EI3" i="1"/>
  <c r="EH3" i="1"/>
  <c r="EF3" i="1"/>
  <c r="EE3" i="1"/>
  <c r="ED3" i="1"/>
  <c r="EA3" i="1"/>
  <c r="DP3" i="1"/>
  <c r="DF3" i="1"/>
  <c r="DE3" i="1"/>
  <c r="DD3" i="1"/>
  <c r="CY3" i="1"/>
  <c r="CV3" i="1"/>
  <c r="CQ3" i="1"/>
  <c r="CP3" i="1"/>
  <c r="BR3" i="1"/>
  <c r="BD3" i="1"/>
  <c r="AZ3" i="1"/>
  <c r="AY3" i="1"/>
  <c r="AW3" i="1"/>
  <c r="AV3" i="1"/>
  <c r="AU3" i="1"/>
  <c r="AR3" i="1"/>
  <c r="AG3" i="1"/>
  <c r="X3" i="1"/>
  <c r="W3" i="1"/>
  <c r="V3" i="1"/>
  <c r="Q3" i="1"/>
  <c r="N3" i="1"/>
  <c r="I3" i="1"/>
  <c r="FY2" i="1"/>
  <c r="FX2" i="1"/>
  <c r="FT2" i="1"/>
  <c r="FJ2" i="1"/>
  <c r="FD2" i="1"/>
  <c r="FB2" i="1"/>
  <c r="EN2" i="1"/>
  <c r="EH2" i="1"/>
  <c r="EG2" i="1"/>
  <c r="EF2" i="1"/>
  <c r="ED2" i="1"/>
  <c r="EA2" i="1"/>
  <c r="DY2" i="1"/>
  <c r="DP2" i="1"/>
  <c r="DN2" i="1"/>
  <c r="DD2" i="1"/>
  <c r="CY2" i="1"/>
  <c r="CV2" i="1"/>
  <c r="CQ2" i="1"/>
  <c r="CP2" i="1"/>
  <c r="BY2" i="1"/>
  <c r="BX2" i="1"/>
  <c r="BT2" i="1"/>
  <c r="BQ2" i="1"/>
  <c r="BO2" i="1"/>
  <c r="BD2" i="1"/>
  <c r="AY2" i="1"/>
  <c r="AX2" i="1"/>
  <c r="AW2" i="1"/>
  <c r="AU2" i="1"/>
  <c r="AR2" i="1"/>
  <c r="AP2" i="1"/>
  <c r="AG2" i="1"/>
  <c r="AE2" i="1"/>
  <c r="V2" i="1"/>
  <c r="Q2" i="1"/>
  <c r="N2" i="1"/>
  <c r="I2" i="1"/>
</calcChain>
</file>

<file path=xl/sharedStrings.xml><?xml version="1.0" encoding="utf-8"?>
<sst xmlns="http://schemas.openxmlformats.org/spreadsheetml/2006/main" count="9221" uniqueCount="1031">
  <si>
    <t/>
  </si>
  <si>
    <t>NAME</t>
  </si>
  <si>
    <t>HOME DEPARTMENT</t>
  </si>
  <si>
    <t>HIRE DATE</t>
  </si>
  <si>
    <t>TERMINATION DATE</t>
  </si>
  <si>
    <t>REHIRE DATE</t>
  </si>
  <si>
    <t>JOB TITLE</t>
  </si>
  <si>
    <t>GROSS PAY</t>
  </si>
  <si>
    <t>REGULAR HOURS</t>
  </si>
  <si>
    <t>OVERTIME HOURS</t>
  </si>
  <si>
    <t>ADDITIONAL HOURS  : 100-ST - MECHANIC</t>
  </si>
  <si>
    <t>ADDITIONAL HOURS  : 101-OT - MECHANIC</t>
  </si>
  <si>
    <t>ADDITIONAL HOURS  : 10-ST - LINEHAUL</t>
  </si>
  <si>
    <t>ADDITIONAL HOURS  : 110-STMMFRS</t>
  </si>
  <si>
    <t>ADDITIONAL HOURS  : 111-OTMMFRS</t>
  </si>
  <si>
    <t>ADDITIONAL HOURS  : 11-OT - LINEHAUL</t>
  </si>
  <si>
    <t>ADDITIONAL HOURS  : 120-ST - MAINT UTIL</t>
  </si>
  <si>
    <t>ADDITIONAL HOURS  : 121-OT - MAINT UTIL</t>
  </si>
  <si>
    <t>ADDITIONAL HOURS  : 124-OT - MAINT UTIL</t>
  </si>
  <si>
    <t>ADDITIONAL HOURS  : 12-DT - LINEHAUL</t>
  </si>
  <si>
    <t>ADDITIONAL HOURS  : 13-STSPSERV</t>
  </si>
  <si>
    <t>ADDITIONAL HOURS  : 14-OTSPSERV</t>
  </si>
  <si>
    <t>ADDITIONAL HOURS  : 150-ST - HOLDOVER</t>
  </si>
  <si>
    <t>ADDITIONAL HOURS  : 151-OT - HOLDOVER</t>
  </si>
  <si>
    <t>ADDITIONAL HOURS  : 152-DT - HOLDOVER</t>
  </si>
  <si>
    <t>ADDITIONAL HOURS  : 1FA-FF-FMLA</t>
  </si>
  <si>
    <t>ADDITIONAL HOURS  : 200-STOPADM</t>
  </si>
  <si>
    <t>ADDITIONAL HOURS  : 203-PDOPERADM</t>
  </si>
  <si>
    <t>ADDITIONAL HOURS  : 204-PER DIEM-OPERATIONS</t>
  </si>
  <si>
    <t>ADDITIONAL HOURS  : 20-ST - SPECTRAN</t>
  </si>
  <si>
    <t>ADDITIONAL HOURS  : 210-ST - PARATRANSI</t>
  </si>
  <si>
    <t>ADDITIONAL HOURS  : 21-OT - SPECTRAN</t>
  </si>
  <si>
    <t>ADDITIONAL HOURS  : 220-ST - FACILITIES</t>
  </si>
  <si>
    <t>ADDITIONAL HOURS  : 230-STMAINADM</t>
  </si>
  <si>
    <t>ADDITIONAL HOURS  : 233-PDMAINADM</t>
  </si>
  <si>
    <t>ADDITIONAL HOURS  : 250-STCUSTSERV</t>
  </si>
  <si>
    <t>ADDITIONAL HOURS  : 260-ST - EXECUTIVE</t>
  </si>
  <si>
    <t>ADDITIONAL HOURS  : 270-ST - FINANCE</t>
  </si>
  <si>
    <t>ADDITIONAL HOURS  : 290-ST HR</t>
  </si>
  <si>
    <t>ADDITIONAL HOURS  : 300-ST - INFORMATIO</t>
  </si>
  <si>
    <t>ADDITIONAL HOURS  : 30-ST - PROTECTION</t>
  </si>
  <si>
    <t>ADDITIONAL HOURS  : 310-ST - MARKETING</t>
  </si>
  <si>
    <t>ADDITIONAL HOURS  : 31-OT - PROTECTION</t>
  </si>
  <si>
    <t>ADDITIONAL HOURS  : 320-ST - PLANNING</t>
  </si>
  <si>
    <t>ADDITIONAL HOURS  : 330-ST PURCH</t>
  </si>
  <si>
    <t>ADDITIONAL HOURS  : 400-NATIONAL HOLIDA</t>
  </si>
  <si>
    <t>ADDITIONAL HOURS  : 401-NATIONAL HOLIDA</t>
  </si>
  <si>
    <t>ADDITIONAL HOURS  : 402-FLOATING HOLIDA</t>
  </si>
  <si>
    <t>ADDITIONAL HOURS  : 403-ATUFLHOL OT</t>
  </si>
  <si>
    <t>ADDITIONAL HOURS  : 409-ATU PAID VACATI</t>
  </si>
  <si>
    <t>ADDITIONAL HOURS  : 410-VACA1ATU</t>
  </si>
  <si>
    <t>ADDITIONAL HOURS  : 41-OT - DISPATCH</t>
  </si>
  <si>
    <t>ADDITIONAL HOURS  : 423-SICK PAID</t>
  </si>
  <si>
    <t>ADDITIONAL HOURS  : 504-SICK SALARY</t>
  </si>
  <si>
    <t>ADDITIONAL HOURS  : 50-STTROFRS</t>
  </si>
  <si>
    <t>ADDITIONAL HOURS  : 519-EXCABSATU</t>
  </si>
  <si>
    <t>ADDITIONAL HOURS  : 51-OTTROFRS</t>
  </si>
  <si>
    <t>ADDITIONAL HOURS  : 530-FUNSTATU</t>
  </si>
  <si>
    <t>ADDITIONAL HOURS  : 538-ST - JURY DUTY</t>
  </si>
  <si>
    <t>ADDITIONAL HOURS  : 53-STTROPTS</t>
  </si>
  <si>
    <t>ADDITIONAL HOURS  : 54-OTTROPTS</t>
  </si>
  <si>
    <t>ADDITIONAL HOURS  : 564-UB ST</t>
  </si>
  <si>
    <t>ADDITIONAL HOURS  : 565-UB OT</t>
  </si>
  <si>
    <t>ADDITIONAL HOURS  : 60-ST - MARKETING</t>
  </si>
  <si>
    <t>ADDITIONAL HOURS  : 61-OT - MARKETING</t>
  </si>
  <si>
    <t>ADDITIONAL HOURS  : 70-ST - DELHI</t>
  </si>
  <si>
    <t>ADDITIONAL HOURS  : 71-OT - DELHI</t>
  </si>
  <si>
    <t>ADDITIONAL HOURS  : 76-ST - MERIDIAN</t>
  </si>
  <si>
    <t>ADDITIONAL HOURS  : 77-OT - MERIDIAN</t>
  </si>
  <si>
    <t>ADDITIONAL HOURS  : 903-DRSLIPUP</t>
  </si>
  <si>
    <t>ADDITIONAL HOURS  : 906-EARLYOUTUP</t>
  </si>
  <si>
    <t>ADDITIONAL HOURS  : 912-FMLA DISABILITY</t>
  </si>
  <si>
    <t>ADDITIONAL HOURS  : 915-FUN UP</t>
  </si>
  <si>
    <t>ADDITIONAL HOURS  : 918-NATIONAL HOLIDA</t>
  </si>
  <si>
    <t>ADDITIONAL HOURS  : 936-PENALTYDAYUP</t>
  </si>
  <si>
    <t>ADDITIONAL HOURS  : 939-SICKLVUP</t>
  </si>
  <si>
    <t>ADDITIONAL HOURS  : 942-SUSPE UP</t>
  </si>
  <si>
    <t>ADDITIONAL HOURS  : 945-UNEXCABUP</t>
  </si>
  <si>
    <t>ADDITIONAL HOURS  : 948-UNION BUSINESS</t>
  </si>
  <si>
    <t>ADDITIONAL HOURS  : 954-WCUP</t>
  </si>
  <si>
    <t>ADDITIONAL HOURS  : 96-ST - TRAINING:O</t>
  </si>
  <si>
    <t>ADDITIONAL HOURS  : BPO-BENPAYOUT</t>
  </si>
  <si>
    <t>ADDITIONAL HOURS  : BRV-BEREAVEMENT</t>
  </si>
  <si>
    <t>ADDITIONAL HOURS  : EST-EARNED SICK</t>
  </si>
  <si>
    <t>ADDITIONAL HOURS  : H-HOLIDAY</t>
  </si>
  <si>
    <t>ADDITIONAL HOURS  : HOL-FLOATING HOLIDA</t>
  </si>
  <si>
    <t>ADDITIONAL HOURS  : HW-HOLIDAY WORKED</t>
  </si>
  <si>
    <t>ADDITIONAL HOURS  : JUR-JURY DUTY</t>
  </si>
  <si>
    <t>ADDITIONAL HOURS  : PER-PERSONAL</t>
  </si>
  <si>
    <t>ADDITIONAL HOURS  : STD-STD</t>
  </si>
  <si>
    <t>ADDITIONAL HOURS  : VAC-VACATION</t>
  </si>
  <si>
    <t>ADDITIONAL HOURS  : VET-VETERANS PTO</t>
  </si>
  <si>
    <t>ADDITIONAL HOURS  : VPO-VAC PAYOUT</t>
  </si>
  <si>
    <t>TOTAL HOURS</t>
  </si>
  <si>
    <t>REGULAR EARNINGS</t>
  </si>
  <si>
    <t>OVERTIME EARNINGS</t>
  </si>
  <si>
    <t>ADDITIONAL EARNINGS  : 100-ST - MECHANIC</t>
  </si>
  <si>
    <t>ADDITIONAL EARNINGS  : 101-OT - MECHANIC</t>
  </si>
  <si>
    <t>ADDITIONAL EARNINGS  : 10-ST - LINEHAUL</t>
  </si>
  <si>
    <t>ADDITIONAL EARNINGS  : 110-STMMFRS</t>
  </si>
  <si>
    <t>ADDITIONAL EARNINGS  : 111-OTMMFRS</t>
  </si>
  <si>
    <t>ADDITIONAL EARNINGS  : 11-OT - LINEHAUL</t>
  </si>
  <si>
    <t>ADDITIONAL EARNINGS  : 120-ST - MAINT UTIL</t>
  </si>
  <si>
    <t>ADDITIONAL EARNINGS  : 121-OT - MAINT UTIL</t>
  </si>
  <si>
    <t>ADDITIONAL EARNINGS  : 124-OT - MAINT UTIL</t>
  </si>
  <si>
    <t>ADDITIONAL EARNINGS  : 12-DT - LINEHAUL</t>
  </si>
  <si>
    <t>ADDITIONAL EARNINGS  : 13-STSPSERV</t>
  </si>
  <si>
    <t>ADDITIONAL EARNINGS  : 14-OTSPSERV</t>
  </si>
  <si>
    <t>ADDITIONAL EARNINGS  : 150-ST - HOLDOVER</t>
  </si>
  <si>
    <t>ADDITIONAL EARNINGS  : 151-OT - HOLDOVER</t>
  </si>
  <si>
    <t>ADDITIONAL EARNINGS  : 152-DT - HOLDOVER</t>
  </si>
  <si>
    <t>ADDITIONAL EARNINGS  : 160-DT-EXC.ABS</t>
  </si>
  <si>
    <t>ADDITIONAL EARNINGS  : 1FA-FF-FMLA</t>
  </si>
  <si>
    <t>ADDITIONAL EARNINGS  : 200-STOPADM</t>
  </si>
  <si>
    <t>ADDITIONAL EARNINGS  : 203-PDOPERADM</t>
  </si>
  <si>
    <t>ADDITIONAL EARNINGS  : 204-PER DIEM-OPERATIONS</t>
  </si>
  <si>
    <t>ADDITIONAL EARNINGS  : 20-ST - SPECTRAN</t>
  </si>
  <si>
    <t>ADDITIONAL EARNINGS  : 210-ST - PARATRANSI</t>
  </si>
  <si>
    <t>ADDITIONAL EARNINGS  : 21-OT - SPECTRAN</t>
  </si>
  <si>
    <t>ADDITIONAL EARNINGS  : 220-ST - FACILITIES</t>
  </si>
  <si>
    <t>ADDITIONAL EARNINGS  : 230-STMAINADM</t>
  </si>
  <si>
    <t>ADDITIONAL EARNINGS  : 233-PDMAINADM</t>
  </si>
  <si>
    <t>ADDITIONAL EARNINGS  : 250-STCUSTSERV</t>
  </si>
  <si>
    <t>ADDITIONAL EARNINGS  : 260-ST - EXECUTIVE</t>
  </si>
  <si>
    <t>ADDITIONAL EARNINGS  : 270-ST - FINANCE</t>
  </si>
  <si>
    <t>ADDITIONAL EARNINGS  : 290-ST HR</t>
  </si>
  <si>
    <t>ADDITIONAL EARNINGS  : 300-ST - INFORMATIO</t>
  </si>
  <si>
    <t>ADDITIONAL EARNINGS  : 30-ST - PROTECTION</t>
  </si>
  <si>
    <t>ADDITIONAL EARNINGS  : 310-ST - MARKETING</t>
  </si>
  <si>
    <t>ADDITIONAL EARNINGS  : 31-OT - PROTECTION</t>
  </si>
  <si>
    <t>ADDITIONAL EARNINGS  : 320-ST - PLANNING</t>
  </si>
  <si>
    <t>ADDITIONAL EARNINGS  : 330-ST PURCH</t>
  </si>
  <si>
    <t>ADDITIONAL EARNINGS  : 400-NATIONAL HOLIDA</t>
  </si>
  <si>
    <t>ADDITIONAL EARNINGS  : 401-NATIONAL HOLIDA</t>
  </si>
  <si>
    <t>ADDITIONAL EARNINGS  : 402-FLOATING HOLIDA</t>
  </si>
  <si>
    <t>ADDITIONAL EARNINGS  : 403-ATUFLHOL OT</t>
  </si>
  <si>
    <t>ADDITIONAL EARNINGS  : 409-ATU PAID VACATI</t>
  </si>
  <si>
    <t>ADDITIONAL EARNINGS  : 410-VACA1ATU</t>
  </si>
  <si>
    <t>ADDITIONAL EARNINGS  : 41-OT - DISPATCH</t>
  </si>
  <si>
    <t>ADDITIONAL EARNINGS  : 423-SICK PAID</t>
  </si>
  <si>
    <t>ADDITIONAL EARNINGS  : 504-SICK SALARY</t>
  </si>
  <si>
    <t>ADDITIONAL EARNINGS  : 506-AUTO ALLOWANCE</t>
  </si>
  <si>
    <t>ADDITIONAL EARNINGS  : 50-STTROFRS</t>
  </si>
  <si>
    <t>ADDITIONAL EARNINGS  : 519-EXCABSATU</t>
  </si>
  <si>
    <t>ADDITIONAL EARNINGS  : 51-OTTROFRS</t>
  </si>
  <si>
    <t>ADDITIONAL EARNINGS  : 530-FUNSTATU</t>
  </si>
  <si>
    <t>ADDITIONAL EARNINGS  : 535-HEALTH FACILITY</t>
  </si>
  <si>
    <t>ADDITIONAL EARNINGS  : 538-ST - JURY DUTY</t>
  </si>
  <si>
    <t>ADDITIONAL EARNINGS  : 53-STTROPTS</t>
  </si>
  <si>
    <t>ADDITIONAL EARNINGS  : 54-OTTROPTS</t>
  </si>
  <si>
    <t>ADDITIONAL EARNINGS  : 551-OPTOUTATU</t>
  </si>
  <si>
    <t>ADDITIONAL EARNINGS  : 552-OPTOUTADM</t>
  </si>
  <si>
    <t>ADDITIONAL EARNINGS  : 564-UB ST</t>
  </si>
  <si>
    <t>ADDITIONAL EARNINGS  : 565-UB OT</t>
  </si>
  <si>
    <t>ADDITIONAL EARNINGS  : 60-ST - MARKETING</t>
  </si>
  <si>
    <t>ADDITIONAL EARNINGS  : 61-OT - MARKETING</t>
  </si>
  <si>
    <t>ADDITIONAL EARNINGS  : 70-ST - DELHI</t>
  </si>
  <si>
    <t>ADDITIONAL EARNINGS  : 71-OT - DELHI</t>
  </si>
  <si>
    <t>ADDITIONAL EARNINGS  : 76-ST - MERIDIAN</t>
  </si>
  <si>
    <t>ADDITIONAL EARNINGS  : 77-OT - MERIDIAN</t>
  </si>
  <si>
    <t>ADDITIONAL EARNINGS  : 912-FMLA DISABILITY</t>
  </si>
  <si>
    <t>ADDITIONAL EARNINGS  : 918-NATIONAL HOLIDA</t>
  </si>
  <si>
    <t>ADDITIONAL EARNINGS  : 948-UNION BUSINESS</t>
  </si>
  <si>
    <t>ADDITIONAL EARNINGS  : 96-ST - TRAINING:O</t>
  </si>
  <si>
    <t>ADDITIONAL EARNINGS  : BON-INCENTIVE PAY</t>
  </si>
  <si>
    <t>ADDITIONAL EARNINGS  : BPO-BENPAYOUT</t>
  </si>
  <si>
    <t>ADDITIONAL EARNINGS  : BRV-BEREAVEMENT</t>
  </si>
  <si>
    <t>ADDITIONAL EARNINGS  : EST-EARNED SICK</t>
  </si>
  <si>
    <t>ADDITIONAL EARNINGS  : H-HOLIDAY</t>
  </si>
  <si>
    <t>ADDITIONAL EARNINGS  : HOL-FLOATING HOLIDA</t>
  </si>
  <si>
    <t>ADDITIONAL EARNINGS  : HW-HOLIDAY WORKED</t>
  </si>
  <si>
    <t>ADDITIONAL EARNINGS  : JUR-JURY DUTY</t>
  </si>
  <si>
    <t>ADDITIONAL EARNINGS  : NET-PERFECT ATTENDA</t>
  </si>
  <si>
    <t>ADDITIONAL EARNINGS  : PER-PERSONAL</t>
  </si>
  <si>
    <t>ADDITIONAL EARNINGS  : SIG-SIGN-ON BO</t>
  </si>
  <si>
    <t>ADDITIONAL EARNINGS  : STD-STD</t>
  </si>
  <si>
    <t>ADDITIONAL EARNINGS  : VAC-VACATION</t>
  </si>
  <si>
    <t>ADDITIONAL EARNINGS  : VET-VETERANS PTO</t>
  </si>
  <si>
    <t>ADDITIONAL EARNINGS  : VPO-VAC PAYOUT</t>
  </si>
  <si>
    <t>TOTAL EARNINGS</t>
  </si>
  <si>
    <t>Abraham, Frank</t>
  </si>
  <si>
    <t>OPRTNS - Operations</t>
  </si>
  <si>
    <t>05/20/2024</t>
  </si>
  <si>
    <t>DR-Operator</t>
  </si>
  <si>
    <t>Aikman, Aaron A</t>
  </si>
  <si>
    <t>09/17/1999</t>
  </si>
  <si>
    <t>03/28/2017</t>
  </si>
  <si>
    <t>Alexander, Tanina Shameka</t>
  </si>
  <si>
    <t>07/11/2022</t>
  </si>
  <si>
    <t>Allen, Cris D.</t>
  </si>
  <si>
    <t>06/01/2009</t>
  </si>
  <si>
    <t>Allen, Shellie D</t>
  </si>
  <si>
    <t>11/08/2021</t>
  </si>
  <si>
    <t>Allen, Toylisa</t>
  </si>
  <si>
    <t>07/15/2019</t>
  </si>
  <si>
    <t>Allison, Jasmine Denise</t>
  </si>
  <si>
    <t>09/13/2021</t>
  </si>
  <si>
    <t>Anderson, Cleophus</t>
  </si>
  <si>
    <t>07/19/2002</t>
  </si>
  <si>
    <t>06/24/2026</t>
  </si>
  <si>
    <t>Anderson, Priscilla</t>
  </si>
  <si>
    <t>CSTEXP - Customer Experience</t>
  </si>
  <si>
    <t>09/08/2025</t>
  </si>
  <si>
    <t>CUSTINFO-Customer Experience Rep</t>
  </si>
  <si>
    <t>Anderson, Trenell Devon</t>
  </si>
  <si>
    <t>Anthony, Andrel L</t>
  </si>
  <si>
    <t>02/03/2014</t>
  </si>
  <si>
    <t>Arnett, Jon</t>
  </si>
  <si>
    <t>Artis, Cheryl</t>
  </si>
  <si>
    <t>02/14/2022</t>
  </si>
  <si>
    <t>11/21/2025</t>
  </si>
  <si>
    <t>Austin, Clint Allen</t>
  </si>
  <si>
    <t>07/25/2012</t>
  </si>
  <si>
    <t>07/26/2026</t>
  </si>
  <si>
    <t>Austin, Henry Aaron</t>
  </si>
  <si>
    <t>08/08/2016</t>
  </si>
  <si>
    <t>Baird, Kirk W</t>
  </si>
  <si>
    <t>05/29/2012</t>
  </si>
  <si>
    <t>Baker, Gregory John</t>
  </si>
  <si>
    <t>09/12/2022</t>
  </si>
  <si>
    <t>Baragar, Jeremy S</t>
  </si>
  <si>
    <t>10/22/1999</t>
  </si>
  <si>
    <t>Barlow, Sonya M</t>
  </si>
  <si>
    <t>MRKTNG - Marketing</t>
  </si>
  <si>
    <t>08/19/2024</t>
  </si>
  <si>
    <t>08/22/2025</t>
  </si>
  <si>
    <t>DMI-Digital Marketing Intern</t>
  </si>
  <si>
    <t>Barnes, Brian Dean</t>
  </si>
  <si>
    <t>Barrera, Richard</t>
  </si>
  <si>
    <t>10/14/2000</t>
  </si>
  <si>
    <t>02/15/2026</t>
  </si>
  <si>
    <t>Barrientoz, Alberto G</t>
  </si>
  <si>
    <t>08/10/2009</t>
  </si>
  <si>
    <t>Baumgartner, David C</t>
  </si>
  <si>
    <t>06/12/2013</t>
  </si>
  <si>
    <t>Bean, Donald L</t>
  </si>
  <si>
    <t>MNTNCE - Maintenance</t>
  </si>
  <si>
    <t>04/08/1996</t>
  </si>
  <si>
    <t>MECH I-Mechanic First Class</t>
  </si>
  <si>
    <t>Beavers, Heidi H.</t>
  </si>
  <si>
    <t>07/29/2005</t>
  </si>
  <si>
    <t>Beech, James M</t>
  </si>
  <si>
    <t>04/12/1993</t>
  </si>
  <si>
    <t>Bell, Myra C</t>
  </si>
  <si>
    <t>PARATR - Paratransit</t>
  </si>
  <si>
    <t>06/23/2025</t>
  </si>
  <si>
    <t>09/12/2025</t>
  </si>
  <si>
    <t>PARREP-Paratransit Service Representative</t>
  </si>
  <si>
    <t>Bennett, Henry Ray</t>
  </si>
  <si>
    <t>11/12/2018</t>
  </si>
  <si>
    <t>Benton, Craig</t>
  </si>
  <si>
    <t>01/03/2018</t>
  </si>
  <si>
    <t>MATLADM-Maintenance Materials Administrator</t>
  </si>
  <si>
    <t>Berry, Matthew Scott</t>
  </si>
  <si>
    <t>09/30/2024</t>
  </si>
  <si>
    <t>10/15/2025</t>
  </si>
  <si>
    <t>Blocker, Quentin E</t>
  </si>
  <si>
    <t>11/05/2005</t>
  </si>
  <si>
    <t>Bolin, Natalie Elizabeth</t>
  </si>
  <si>
    <t>03/28/2022</t>
  </si>
  <si>
    <t>Booher, John W</t>
  </si>
  <si>
    <t>02/27/2012</t>
  </si>
  <si>
    <t>Boone, Kewauna</t>
  </si>
  <si>
    <t>08/24/2022</t>
  </si>
  <si>
    <t>01/24/2025</t>
  </si>
  <si>
    <t>AMBUSADO-Ambussador</t>
  </si>
  <si>
    <t>Bosom-Oakes, Elliott Lance</t>
  </si>
  <si>
    <t>01/15/2024</t>
  </si>
  <si>
    <t>06/02/2025</t>
  </si>
  <si>
    <t>Boss, Ashlee A</t>
  </si>
  <si>
    <t>PURCHA - Purchasing</t>
  </si>
  <si>
    <t>05/29/2018</t>
  </si>
  <si>
    <t>PURCHASI-Purchasing Supervisor</t>
  </si>
  <si>
    <t>Bracy De Cordova, Janel M.</t>
  </si>
  <si>
    <t>08/25/2008</t>
  </si>
  <si>
    <t>Bradley, Michael T</t>
  </si>
  <si>
    <t>07/19/2021</t>
  </si>
  <si>
    <t>Bradley, Troy Steven</t>
  </si>
  <si>
    <t>07/28/2025</t>
  </si>
  <si>
    <t>Braggs, Edwin L.</t>
  </si>
  <si>
    <t>Brieschke, Gary Andrew</t>
  </si>
  <si>
    <t>EXECTV - Executive Department</t>
  </si>
  <si>
    <t>04/28/2008</t>
  </si>
  <si>
    <t>DCEO-Deputy Chief Executive Officer</t>
  </si>
  <si>
    <t>Briles, Jennifer L</t>
  </si>
  <si>
    <t>FINANC - Finance</t>
  </si>
  <si>
    <t>01/05/2016</t>
  </si>
  <si>
    <t>ACCT I-Accountant I</t>
  </si>
  <si>
    <t>Brock, Brenda Irene</t>
  </si>
  <si>
    <t>11/14/2022</t>
  </si>
  <si>
    <t>Brock, Christopher Jerome</t>
  </si>
  <si>
    <t>10/21/2024</t>
  </si>
  <si>
    <t>05/21/2025</t>
  </si>
  <si>
    <t>Brooks, Todd R.</t>
  </si>
  <si>
    <t>OPLEAD - Operations Leadership</t>
  </si>
  <si>
    <t>05/24/2010</t>
  </si>
  <si>
    <t>DIR OPR-Director of Operations</t>
  </si>
  <si>
    <t>Brown, Bradley O.</t>
  </si>
  <si>
    <t>07/08/2006</t>
  </si>
  <si>
    <t>05/23/2025</t>
  </si>
  <si>
    <t>Brown, Cheryl J</t>
  </si>
  <si>
    <t>04/21/2025</t>
  </si>
  <si>
    <t>Brown, Joe D</t>
  </si>
  <si>
    <t>10/30/2023</t>
  </si>
  <si>
    <t>Brown, Marshea</t>
  </si>
  <si>
    <t>HUMRES - Human Resources</t>
  </si>
  <si>
    <t>03/09/2020</t>
  </si>
  <si>
    <t>HRDIR-Director of HR</t>
  </si>
  <si>
    <t>Brown, Monique E</t>
  </si>
  <si>
    <t>09/23/2019</t>
  </si>
  <si>
    <t>Brown, Morgan Valeriana</t>
  </si>
  <si>
    <t>FACGRD - Facilities and Grounds</t>
  </si>
  <si>
    <t>FACIL FT-Facilities and Grounds Maintenance</t>
  </si>
  <si>
    <t>Brown, Peter Alan</t>
  </si>
  <si>
    <t>08/01/2025</t>
  </si>
  <si>
    <t>OPSPV-O-Operations Supv - Ops Center</t>
  </si>
  <si>
    <t>Brown, Robert C</t>
  </si>
  <si>
    <t>08/04/2025</t>
  </si>
  <si>
    <t>SIGNSHLT-Sign &amp; Shelter Technician</t>
  </si>
  <si>
    <t>Brown, Schuyler M</t>
  </si>
  <si>
    <t>CXLEAD - Customer Experience Leadership</t>
  </si>
  <si>
    <t>06/18/2019</t>
  </si>
  <si>
    <t>CXSUP-Customer Experience Supervisor</t>
  </si>
  <si>
    <t>Brown, Shawn P</t>
  </si>
  <si>
    <t>08/07/2017</t>
  </si>
  <si>
    <t>Brown, Tonia Lynn</t>
  </si>
  <si>
    <t>11/04/2025</t>
  </si>
  <si>
    <t>Bunton, Darius C</t>
  </si>
  <si>
    <t>07/22/2024</t>
  </si>
  <si>
    <t>05/16/2025</t>
  </si>
  <si>
    <t>UTILITY-Utility</t>
  </si>
  <si>
    <t>Burgess, Jennifer A</t>
  </si>
  <si>
    <t>10/01/2012</t>
  </si>
  <si>
    <t>OPMGR-Operations Manager</t>
  </si>
  <si>
    <t>Butler, Victoria</t>
  </si>
  <si>
    <t>05/08/2023</t>
  </si>
  <si>
    <t>Buzzard, Bradley G</t>
  </si>
  <si>
    <t>08/06/2018</t>
  </si>
  <si>
    <t>Campbell, Valerie M.</t>
  </si>
  <si>
    <t>04/29/2005</t>
  </si>
  <si>
    <t>EXECSEC-Executive Assistant</t>
  </si>
  <si>
    <t>Carlisle, Christopher K</t>
  </si>
  <si>
    <t>02/03/2020</t>
  </si>
  <si>
    <t>Carlisle, Christopher M.</t>
  </si>
  <si>
    <t>03/27/2023</t>
  </si>
  <si>
    <t>Castilla, Anita</t>
  </si>
  <si>
    <t>12/19/2016</t>
  </si>
  <si>
    <t>FIN MGR-Finance Manager</t>
  </si>
  <si>
    <t>Chambers, Taiari C</t>
  </si>
  <si>
    <t>11/30/2015</t>
  </si>
  <si>
    <t>02/21/2025</t>
  </si>
  <si>
    <t>TRNG-Training Supervisor</t>
  </si>
  <si>
    <t>Chandler, Bridget</t>
  </si>
  <si>
    <t>Chappell, Myra L</t>
  </si>
  <si>
    <t>06/24/2024</t>
  </si>
  <si>
    <t>Chavez, Juan Julian</t>
  </si>
  <si>
    <t>Christian, LaRhonda D</t>
  </si>
  <si>
    <t>Christiansen, Henrik G.</t>
  </si>
  <si>
    <t>05/10/1999</t>
  </si>
  <si>
    <t>Christiansen, Kai Robert Guldager</t>
  </si>
  <si>
    <t>PLANNG - Planning</t>
  </si>
  <si>
    <t>04/16/2012</t>
  </si>
  <si>
    <t>SRVMGR-Service Planning/Sched Mgr</t>
  </si>
  <si>
    <t>Clark, Delbert</t>
  </si>
  <si>
    <t>Clay, Corey Shawnt'a</t>
  </si>
  <si>
    <t>03/05/2024</t>
  </si>
  <si>
    <t>PARASCH1-Paratransit Scheduler 1</t>
  </si>
  <si>
    <t>Clem, Steven M</t>
  </si>
  <si>
    <t>11/16/2011</t>
  </si>
  <si>
    <t>Clough, Carla A</t>
  </si>
  <si>
    <t>07/06/2011</t>
  </si>
  <si>
    <t>Coble, Richard M</t>
  </si>
  <si>
    <t>07/13/2015</t>
  </si>
  <si>
    <t>Coker, Lynell McKinley</t>
  </si>
  <si>
    <t>04/25/2025</t>
  </si>
  <si>
    <t>Combs, Ronda Ann</t>
  </si>
  <si>
    <t>Contreras, Richard</t>
  </si>
  <si>
    <t>09/15/2025</t>
  </si>
  <si>
    <t>11/25/2025</t>
  </si>
  <si>
    <t>Coomes, Patrick Louis</t>
  </si>
  <si>
    <t>Cosand, Mackenzie</t>
  </si>
  <si>
    <t>02/21/2022</t>
  </si>
  <si>
    <t>02/28/2025</t>
  </si>
  <si>
    <t>Cotton, Tara L</t>
  </si>
  <si>
    <t>02/06/2023</t>
  </si>
  <si>
    <t>Cox, Andrew</t>
  </si>
  <si>
    <t>Crawford, James R.</t>
  </si>
  <si>
    <t>07/26/2004</t>
  </si>
  <si>
    <t>Cronkright, Casey Cameron</t>
  </si>
  <si>
    <t>Cruz, Alexandra Sumiyo</t>
  </si>
  <si>
    <t>07/10/2023</t>
  </si>
  <si>
    <t>Cruz, Jesse O.</t>
  </si>
  <si>
    <t>01/06/1986</t>
  </si>
  <si>
    <t>Davis, Craig M</t>
  </si>
  <si>
    <t>INFTEC - Information Technology</t>
  </si>
  <si>
    <t>11/13/2017</t>
  </si>
  <si>
    <t>IT TECH-IT Services Technician</t>
  </si>
  <si>
    <t>Davis, Ellan Ayles</t>
  </si>
  <si>
    <t>08/10/2015</t>
  </si>
  <si>
    <t>Davis, Gene C.</t>
  </si>
  <si>
    <t>06/17/2005</t>
  </si>
  <si>
    <t>Davis, Rachel Mae</t>
  </si>
  <si>
    <t>Davisson, Dixie Dee</t>
  </si>
  <si>
    <t>12/21/2020</t>
  </si>
  <si>
    <t>10/07/2025</t>
  </si>
  <si>
    <t>DeLeon, Ronald M.</t>
  </si>
  <si>
    <t>07/07/1998</t>
  </si>
  <si>
    <t>04/28/2025</t>
  </si>
  <si>
    <t>Demey, Christopher G</t>
  </si>
  <si>
    <t>Devlin, Taylor C</t>
  </si>
  <si>
    <t>07/21/2025</t>
  </si>
  <si>
    <t>04/30/2026</t>
  </si>
  <si>
    <t>Dewey, Diana M</t>
  </si>
  <si>
    <t>01/09/2017</t>
  </si>
  <si>
    <t>Dhannoon, Ahmed Mal-Allah</t>
  </si>
  <si>
    <t>01/23/2023</t>
  </si>
  <si>
    <t>Diaz, Dinah Y</t>
  </si>
  <si>
    <t>07/21/2003</t>
  </si>
  <si>
    <t>02/01/2025</t>
  </si>
  <si>
    <t>Dickinson, Matthew T</t>
  </si>
  <si>
    <t>06/14/2021</t>
  </si>
  <si>
    <t>Dismuke, Darin</t>
  </si>
  <si>
    <t>07/29/2024</t>
  </si>
  <si>
    <t>Dittenber, John</t>
  </si>
  <si>
    <t>03/18/2024</t>
  </si>
  <si>
    <t>Dodd, Corvonte A</t>
  </si>
  <si>
    <t>10/16/2023</t>
  </si>
  <si>
    <t>Dodson, Alysia</t>
  </si>
  <si>
    <t>07/14/2025</t>
  </si>
  <si>
    <t>10/08/2025</t>
  </si>
  <si>
    <t>Doerr , Walter L.</t>
  </si>
  <si>
    <t>11/01/2000</t>
  </si>
  <si>
    <t>Doerr III, Walter L</t>
  </si>
  <si>
    <t>10/02/2017</t>
  </si>
  <si>
    <t>Doerr, Anna M</t>
  </si>
  <si>
    <t>04/10/2017</t>
  </si>
  <si>
    <t>Donley, Roger</t>
  </si>
  <si>
    <t>09/09/2000</t>
  </si>
  <si>
    <t>Draher, Jennifer L</t>
  </si>
  <si>
    <t>07/22/2005</t>
  </si>
  <si>
    <t>Drew-Gietzel, Charles David</t>
  </si>
  <si>
    <t>10/09/2023</t>
  </si>
  <si>
    <t>Dubay, Norvel A.</t>
  </si>
  <si>
    <t>02/18/2009</t>
  </si>
  <si>
    <t>11/01/2024</t>
  </si>
  <si>
    <t>Duncan, Carmela Yvette</t>
  </si>
  <si>
    <t>06/02/2000</t>
  </si>
  <si>
    <t>Dunn, Evelyn</t>
  </si>
  <si>
    <t>Dunn, Michael A.</t>
  </si>
  <si>
    <t>01/13/2009</t>
  </si>
  <si>
    <t>Duong, Nelson Truong</t>
  </si>
  <si>
    <t>07/13/2020</t>
  </si>
  <si>
    <t>ACCT CLK-Accounting Clerk</t>
  </si>
  <si>
    <t>Durling, Jason</t>
  </si>
  <si>
    <t>Earegood, Capi M.</t>
  </si>
  <si>
    <t>08/13/1999</t>
  </si>
  <si>
    <t>Earegood, Sadie Lee</t>
  </si>
  <si>
    <t>08/13/2024</t>
  </si>
  <si>
    <t>Edmunds, Malinda L</t>
  </si>
  <si>
    <t>10/23/2019</t>
  </si>
  <si>
    <t>Ellis, Julia L</t>
  </si>
  <si>
    <t>07/23/2018</t>
  </si>
  <si>
    <t>Ellison, Andrew William</t>
  </si>
  <si>
    <t>10/14/2024</t>
  </si>
  <si>
    <t>Ellison, Monique Elizabeth</t>
  </si>
  <si>
    <t>01/30/2023</t>
  </si>
  <si>
    <t>TAS-Talent Acquisition Specialist</t>
  </si>
  <si>
    <t>Ennes, Julie A</t>
  </si>
  <si>
    <t>06/28/2010</t>
  </si>
  <si>
    <t>Erdelean, Goran</t>
  </si>
  <si>
    <t>Ewing, Jeffrey D</t>
  </si>
  <si>
    <t>01/27/2025</t>
  </si>
  <si>
    <t>Faulkner, Nicholas</t>
  </si>
  <si>
    <t>07/03/2025</t>
  </si>
  <si>
    <t>OPSPV-S-Operations Supv - Street</t>
  </si>
  <si>
    <t>Fedewa, Michael</t>
  </si>
  <si>
    <t>MTLEAD - Maintenance Leadership</t>
  </si>
  <si>
    <t>07/14/2016</t>
  </si>
  <si>
    <t>MAINSPV-Maintenance Supervisor</t>
  </si>
  <si>
    <t>Fernald, Chelsey C</t>
  </si>
  <si>
    <t>Fickies, Eric D</t>
  </si>
  <si>
    <t>Fickies, Jennette Elizabeth</t>
  </si>
  <si>
    <t>Figueroa, Alex L</t>
  </si>
  <si>
    <t>Fisher, Andrea J</t>
  </si>
  <si>
    <t>11/23/2020</t>
  </si>
  <si>
    <t>PROSPEC-Procurement Specialist</t>
  </si>
  <si>
    <t>Flinn, Erik D</t>
  </si>
  <si>
    <t>PLNALST-Planning Analyst</t>
  </si>
  <si>
    <t>Flores, Jose Alejandro</t>
  </si>
  <si>
    <t>08/21/2023</t>
  </si>
  <si>
    <t>Flourry-Idhe, Layla</t>
  </si>
  <si>
    <t>02/10/2025</t>
  </si>
  <si>
    <t>Forte, Kevin Robin</t>
  </si>
  <si>
    <t>Fox, Eric J</t>
  </si>
  <si>
    <t>Franklin Jr, Calvin</t>
  </si>
  <si>
    <t>Frarey, William P.</t>
  </si>
  <si>
    <t>10/07/2002</t>
  </si>
  <si>
    <t>SUPERINT-Maintenance Superintendent</t>
  </si>
  <si>
    <t>Frayre, Ashly L.</t>
  </si>
  <si>
    <t>03/12/2005</t>
  </si>
  <si>
    <t>Frazier, Craig R</t>
  </si>
  <si>
    <t>05/11/2015</t>
  </si>
  <si>
    <t>OPMGRPAR-Operations Manager Paratransit</t>
  </si>
  <si>
    <t>Frendt, James C</t>
  </si>
  <si>
    <t>11/02/2020</t>
  </si>
  <si>
    <t>DIR FIN-Director of Finance</t>
  </si>
  <si>
    <t>Fronckel, Roxey J</t>
  </si>
  <si>
    <t>05/09/2005</t>
  </si>
  <si>
    <t>MMECH-Master Mechanic</t>
  </si>
  <si>
    <t>Frost, Timothy Jay</t>
  </si>
  <si>
    <t>07/26/2010</t>
  </si>
  <si>
    <t>Funkhouser, Bradley T</t>
  </si>
  <si>
    <t>10/31/2016</t>
  </si>
  <si>
    <t>CEO-Chief Executive Officer</t>
  </si>
  <si>
    <t>Furr, Paul D.</t>
  </si>
  <si>
    <t>03/11/1996</t>
  </si>
  <si>
    <t>Gardner, Caitlin Anne</t>
  </si>
  <si>
    <t>08/07/2008</t>
  </si>
  <si>
    <t>Gardner, Tammy L.</t>
  </si>
  <si>
    <t>06/14/2002</t>
  </si>
  <si>
    <t>Gatica, Rena Lizette</t>
  </si>
  <si>
    <t>George, Willie B.</t>
  </si>
  <si>
    <t>02/23/2006</t>
  </si>
  <si>
    <t>Giese, Edgar Richard Bernard</t>
  </si>
  <si>
    <t>Gleason, Michael</t>
  </si>
  <si>
    <t>Gonzalez, Bridget Ann</t>
  </si>
  <si>
    <t>Gonzalez, Jesse A.</t>
  </si>
  <si>
    <t>11/24/2008</t>
  </si>
  <si>
    <t>05/04/2026</t>
  </si>
  <si>
    <t>Goodemoot, Daniel S</t>
  </si>
  <si>
    <t>01/13/2020</t>
  </si>
  <si>
    <t>DIR IT-Director of Information Technology</t>
  </si>
  <si>
    <t>Goodman, Eric D</t>
  </si>
  <si>
    <t>Goodwin, Rodreica Marie</t>
  </si>
  <si>
    <t>03/24/2025</t>
  </si>
  <si>
    <t>02/09/2026</t>
  </si>
  <si>
    <t>Gray, Zakiyyah</t>
  </si>
  <si>
    <t>04/18/2016</t>
  </si>
  <si>
    <t>Grayson, Kevin Terrel</t>
  </si>
  <si>
    <t>Green-Hill, Veronica</t>
  </si>
  <si>
    <t>Gregus, James Patrick</t>
  </si>
  <si>
    <t>07/29/2019</t>
  </si>
  <si>
    <t>12/27/2024</t>
  </si>
  <si>
    <t>MAINTSUP-Maintenance Supervisor Utility</t>
  </si>
  <si>
    <t>Griffin, Ruth A</t>
  </si>
  <si>
    <t>02/05/2018</t>
  </si>
  <si>
    <t>Griffin, Terrozza</t>
  </si>
  <si>
    <t>06/06/2011</t>
  </si>
  <si>
    <t>Guggemos, Mark Joseph</t>
  </si>
  <si>
    <t>Gutkowski, Jill R</t>
  </si>
  <si>
    <t>08/25/2014</t>
  </si>
  <si>
    <t>Guy, Jendayi Fela</t>
  </si>
  <si>
    <t>08/23/2022</t>
  </si>
  <si>
    <t>Habtemariam, SeAre K.</t>
  </si>
  <si>
    <t>11/11/2024</t>
  </si>
  <si>
    <t>Haddad, Salim</t>
  </si>
  <si>
    <t>12/04/2024</t>
  </si>
  <si>
    <t>06/04/2025</t>
  </si>
  <si>
    <t>Hagfors, Dustin James</t>
  </si>
  <si>
    <t>07/18/2022</t>
  </si>
  <si>
    <t>DIRPLAN-Director Planning and Development</t>
  </si>
  <si>
    <t>Halick, Joseph T</t>
  </si>
  <si>
    <t>10/01/2025</t>
  </si>
  <si>
    <t>Hall, Anthony F.</t>
  </si>
  <si>
    <t>Hansen, James Ronald</t>
  </si>
  <si>
    <t>10/03/2022</t>
  </si>
  <si>
    <t>07/18/2025</t>
  </si>
  <si>
    <t>Hardy, William B.</t>
  </si>
  <si>
    <t>Harris, Christopher L</t>
  </si>
  <si>
    <t>12/12/2022</t>
  </si>
  <si>
    <t>09/25/2025</t>
  </si>
  <si>
    <t>Harris-Fields, Shenel Deyon</t>
  </si>
  <si>
    <t>01/14/2025</t>
  </si>
  <si>
    <t>Harrison, Jeremy</t>
  </si>
  <si>
    <t>Hartigan, Ericka Linn</t>
  </si>
  <si>
    <t>GRANTS - Grants</t>
  </si>
  <si>
    <t>11/28/2016</t>
  </si>
  <si>
    <t>GNTSMNGR-Grants Manager</t>
  </si>
  <si>
    <t>Harvey, Jayelo</t>
  </si>
  <si>
    <t>04/29/2024</t>
  </si>
  <si>
    <t>10/13/2025</t>
  </si>
  <si>
    <t>HRGEN-HR Generalist</t>
  </si>
  <si>
    <t>Hatfield, Jeffry L</t>
  </si>
  <si>
    <t>Havens, Kerrisha Lee</t>
  </si>
  <si>
    <t>Hayes, Jawan</t>
  </si>
  <si>
    <t>Heise, Teresa A.</t>
  </si>
  <si>
    <t>06/03/2025</t>
  </si>
  <si>
    <t>Heistand, Shane M</t>
  </si>
  <si>
    <t>02/10/2014</t>
  </si>
  <si>
    <t>Herman, Richard A.</t>
  </si>
  <si>
    <t>07/06/2009</t>
  </si>
  <si>
    <t>Herron, Carnetta Teyonne</t>
  </si>
  <si>
    <t>Hester, Marilyn</t>
  </si>
  <si>
    <t>Hicks, Robert L.</t>
  </si>
  <si>
    <t>Hill, Coral D</t>
  </si>
  <si>
    <t>12/02/2025</t>
  </si>
  <si>
    <t>Hill, Timirra D</t>
  </si>
  <si>
    <t>09/09/2024</t>
  </si>
  <si>
    <t>06/24/2025</t>
  </si>
  <si>
    <t>Hoard, Nickolas D</t>
  </si>
  <si>
    <t>Hoblet, Jessica Leigh</t>
  </si>
  <si>
    <t>Hodges, Daniel G</t>
  </si>
  <si>
    <t>06/25/2018</t>
  </si>
  <si>
    <t>DIR MAIN-Director of Maintenance</t>
  </si>
  <si>
    <t>Hodges, Ralishia</t>
  </si>
  <si>
    <t>07/08/2026</t>
  </si>
  <si>
    <t>Hoenig, Elsa S</t>
  </si>
  <si>
    <t>Holder, Alyssa Jean</t>
  </si>
  <si>
    <t>Hollingsworth Sr., Yolyn E</t>
  </si>
  <si>
    <t>09/03/2024</t>
  </si>
  <si>
    <t>01/16/2025</t>
  </si>
  <si>
    <t>Horn, Darren Anthony</t>
  </si>
  <si>
    <t>PARSPV-O-Operations Supervisor-Paratransit</t>
  </si>
  <si>
    <t>House, Tinisha</t>
  </si>
  <si>
    <t>04/14/2026</t>
  </si>
  <si>
    <t>Howard, Daniel L</t>
  </si>
  <si>
    <t>Humes, Brian D.</t>
  </si>
  <si>
    <t>Igielski, Deanna J</t>
  </si>
  <si>
    <t>Isham, Eric Randal</t>
  </si>
  <si>
    <t>Jandron, Christopher</t>
  </si>
  <si>
    <t>Jasper, Deverett Heath</t>
  </si>
  <si>
    <t>07/05/2022</t>
  </si>
  <si>
    <t>HR MGR-Human Resources Mgr</t>
  </si>
  <si>
    <t>Jensen, Scott A</t>
  </si>
  <si>
    <t>09/30/2019</t>
  </si>
  <si>
    <t>SVRADM-Server &amp; Network Administrator</t>
  </si>
  <si>
    <t>Johanson, Courtney</t>
  </si>
  <si>
    <t>10/14/2006</t>
  </si>
  <si>
    <t>Johns, Christopher Paul</t>
  </si>
  <si>
    <t>Johnson, Dematrus C</t>
  </si>
  <si>
    <t>Johnson, Donald Ray</t>
  </si>
  <si>
    <t>Johnson, Latisha Annquanette</t>
  </si>
  <si>
    <t>03/28/2023</t>
  </si>
  <si>
    <t>HUMAN RE-Human Resources Administrative Assistant</t>
  </si>
  <si>
    <t>Johnson, Shanda</t>
  </si>
  <si>
    <t>Johnston, Helen Frances</t>
  </si>
  <si>
    <t>Jones, Angela Marie</t>
  </si>
  <si>
    <t>03/16/2026</t>
  </si>
  <si>
    <t>Jones, Jasmine J</t>
  </si>
  <si>
    <t>02/11/2019</t>
  </si>
  <si>
    <t>Jones, John Desmond</t>
  </si>
  <si>
    <t>OPSPV-M-Operations Supv - MSU</t>
  </si>
  <si>
    <t>Jones-Minor, Darlene</t>
  </si>
  <si>
    <t>08/19/2000</t>
  </si>
  <si>
    <t>Joseph, Victoria</t>
  </si>
  <si>
    <t>03/04/2024</t>
  </si>
  <si>
    <t>OPS ADMI-Operations Administrative Assistant</t>
  </si>
  <si>
    <t>Kaminski, Nicholas Alexander</t>
  </si>
  <si>
    <t>05/23/2022</t>
  </si>
  <si>
    <t>MECHHEL-Mechanic Helper</t>
  </si>
  <si>
    <t>Kent, Jason Paul</t>
  </si>
  <si>
    <t>VT COORD-Vehicle Technology Coordinator</t>
  </si>
  <si>
    <t>Kimball, Cory</t>
  </si>
  <si>
    <t>11/27/2017</t>
  </si>
  <si>
    <t>Kindree, Hannah R</t>
  </si>
  <si>
    <t>01/06/2025</t>
  </si>
  <si>
    <t>MKT-Digital Accessibility Specialist</t>
  </si>
  <si>
    <t>Krey, Sam</t>
  </si>
  <si>
    <t>02/04/2013</t>
  </si>
  <si>
    <t>Kuch, Toni M</t>
  </si>
  <si>
    <t>01/09/2023</t>
  </si>
  <si>
    <t>Kuhl, Brett A.</t>
  </si>
  <si>
    <t>Kurtz, Zakaria M</t>
  </si>
  <si>
    <t>04/07/2025</t>
  </si>
  <si>
    <t>12/26/2025</t>
  </si>
  <si>
    <t>LaLonde, Samuel Thomas</t>
  </si>
  <si>
    <t>Lachapelle, Macy Elaine</t>
  </si>
  <si>
    <t>12/08/2025</t>
  </si>
  <si>
    <t>04/10/2026</t>
  </si>
  <si>
    <t>Lachapelle, Ronald N</t>
  </si>
  <si>
    <t>03/26/2018</t>
  </si>
  <si>
    <t>Larsen, Ryan Michael</t>
  </si>
  <si>
    <t>06/26/2013</t>
  </si>
  <si>
    <t>ITMGR-Information Tech Services Mgr</t>
  </si>
  <si>
    <t>Latka, Pamela A</t>
  </si>
  <si>
    <t>10/16/1996</t>
  </si>
  <si>
    <t>02/07/2022</t>
  </si>
  <si>
    <t>TEM-Temp Marketing Manager</t>
  </si>
  <si>
    <t>Laviolette, Scott T</t>
  </si>
  <si>
    <t>Leap, Brian Patrick</t>
  </si>
  <si>
    <t>Lee, Darryl B</t>
  </si>
  <si>
    <t>Lee, Jacques</t>
  </si>
  <si>
    <t>Leffew, Oryon</t>
  </si>
  <si>
    <t>03/11/2024</t>
  </si>
  <si>
    <t>Lewis, Chioma Lavern</t>
  </si>
  <si>
    <t>07/31/2023</t>
  </si>
  <si>
    <t>MKTMGRSE-Marketing Manager - Service Information</t>
  </si>
  <si>
    <t>Lienhart, William Leburn-Lyle</t>
  </si>
  <si>
    <t>02/10/2026</t>
  </si>
  <si>
    <t>Liggett, Haywood A.</t>
  </si>
  <si>
    <t>07/16/1999</t>
  </si>
  <si>
    <t>OPTRSP-Training Specialist</t>
  </si>
  <si>
    <t>Lightfoot, Patricia L</t>
  </si>
  <si>
    <t>06/05/2025</t>
  </si>
  <si>
    <t>Lipp, Alyson M</t>
  </si>
  <si>
    <t>Littlejohn, Stasha S</t>
  </si>
  <si>
    <t>Loredo, Enedelia S.</t>
  </si>
  <si>
    <t>06/23/2007</t>
  </si>
  <si>
    <t>Lorenz, Veronica Camille</t>
  </si>
  <si>
    <t>Loudenbeck, Kyle M</t>
  </si>
  <si>
    <t>04/15/2024</t>
  </si>
  <si>
    <t>FACTECH-Facilities Technician</t>
  </si>
  <si>
    <t>Lownsbery, Brian R</t>
  </si>
  <si>
    <t>Lugo, Manuel L.</t>
  </si>
  <si>
    <t>06/01/1993</t>
  </si>
  <si>
    <t>Magee, Christopher D</t>
  </si>
  <si>
    <t>Maier, Jason Andrew</t>
  </si>
  <si>
    <t>Manning, Melvin E</t>
  </si>
  <si>
    <t>Manns, Margaret M</t>
  </si>
  <si>
    <t>Markoff, Chris G</t>
  </si>
  <si>
    <t>03/30/2026</t>
  </si>
  <si>
    <t>Martin, Catherine A</t>
  </si>
  <si>
    <t>10/25/2012</t>
  </si>
  <si>
    <t>06/10/2025</t>
  </si>
  <si>
    <t>Martin, David P</t>
  </si>
  <si>
    <t>Martin, Jake Reece</t>
  </si>
  <si>
    <t>Martin, Quentin Shaun</t>
  </si>
  <si>
    <t>10/25/2021</t>
  </si>
  <si>
    <t>Martinez, Christian A.</t>
  </si>
  <si>
    <t>Marvin, Belinda D.</t>
  </si>
  <si>
    <t>05/01/2025</t>
  </si>
  <si>
    <t>Mason, Latasha</t>
  </si>
  <si>
    <t>Mataya, John</t>
  </si>
  <si>
    <t>02/23/2026</t>
  </si>
  <si>
    <t>Matthes, Rebecca S</t>
  </si>
  <si>
    <t>10/06/2014</t>
  </si>
  <si>
    <t>05/01/2026</t>
  </si>
  <si>
    <t>Mayes, Gregory A.</t>
  </si>
  <si>
    <t>Mazuca, Julie A</t>
  </si>
  <si>
    <t>McCutcheon, Gary C</t>
  </si>
  <si>
    <t>McElroy, Kenneth C</t>
  </si>
  <si>
    <t>SAFETY - Safety</t>
  </si>
  <si>
    <t>SFTYMGR-Safety Manager</t>
  </si>
  <si>
    <t>McGhee, William H</t>
  </si>
  <si>
    <t>01/04/1999</t>
  </si>
  <si>
    <t>02/12/2026</t>
  </si>
  <si>
    <t>McGill, Rachel A</t>
  </si>
  <si>
    <t>02/04/2021</t>
  </si>
  <si>
    <t>McIntosh II, Phillip Dale</t>
  </si>
  <si>
    <t>07/20/2020</t>
  </si>
  <si>
    <t>McKibben, Diana Lynn</t>
  </si>
  <si>
    <t>07/06/2016</t>
  </si>
  <si>
    <t>PARSCHD-Paratransit Scheduler</t>
  </si>
  <si>
    <t>McKinney, LaQuesha S</t>
  </si>
  <si>
    <t>06/17/2019</t>
  </si>
  <si>
    <t>McKinney, Lashaunte Marie</t>
  </si>
  <si>
    <t>02/05/2026</t>
  </si>
  <si>
    <t>Metzer, Joshua Stephen</t>
  </si>
  <si>
    <t>Milekovich, George</t>
  </si>
  <si>
    <t>Miller, Jeffrey Douglas</t>
  </si>
  <si>
    <t>Miller, Mark A</t>
  </si>
  <si>
    <t>06/09/2026</t>
  </si>
  <si>
    <t>Miller, Teresa L</t>
  </si>
  <si>
    <t>10/22/2024</t>
  </si>
  <si>
    <t>MMRS-Marketing and Media Relations Strategist</t>
  </si>
  <si>
    <t>Millington, Judith M</t>
  </si>
  <si>
    <t>12/16/2019</t>
  </si>
  <si>
    <t>GRTS ADM-Grants Administrator</t>
  </si>
  <si>
    <t>Minor, Deshon</t>
  </si>
  <si>
    <t>Mireles-Lickert, Catherine L</t>
  </si>
  <si>
    <t>Misjak, Spencer J</t>
  </si>
  <si>
    <t>Montry, Jessica R</t>
  </si>
  <si>
    <t>Mora, Heriberto Ruiz</t>
  </si>
  <si>
    <t>Morgan, Kechia R</t>
  </si>
  <si>
    <t>Morris, Marissa</t>
  </si>
  <si>
    <t>03/14/2022</t>
  </si>
  <si>
    <t>OPAPADM-Operations Apps Admin</t>
  </si>
  <si>
    <t>Mosier, Kim Cinderella</t>
  </si>
  <si>
    <t>09/04/2018</t>
  </si>
  <si>
    <t>Murphy, Ronald</t>
  </si>
  <si>
    <t>02/26/2024</t>
  </si>
  <si>
    <t>Muzillo, Kimberly</t>
  </si>
  <si>
    <t>05/22/2023</t>
  </si>
  <si>
    <t>Nicholson, Damyon Lamarr</t>
  </si>
  <si>
    <t>01/10/2025</t>
  </si>
  <si>
    <t>Nick-Hodges, Kamine Emontae</t>
  </si>
  <si>
    <t>Nickson, Christina M</t>
  </si>
  <si>
    <t>08/12/2024</t>
  </si>
  <si>
    <t>10/31/2025</t>
  </si>
  <si>
    <t>Noble, Harold G</t>
  </si>
  <si>
    <t>08/16/1999</t>
  </si>
  <si>
    <t>PARTS-Parts and Inventory Specialist</t>
  </si>
  <si>
    <t>Noble, Kelly J</t>
  </si>
  <si>
    <t>Noble, Mary Lynne</t>
  </si>
  <si>
    <t>07/09/2024</t>
  </si>
  <si>
    <t>04/04/2025</t>
  </si>
  <si>
    <t>Noman, Muhammad</t>
  </si>
  <si>
    <t>Nosal, Joe</t>
  </si>
  <si>
    <t>06/30/2026</t>
  </si>
  <si>
    <t>Nsanzimfura, Rwisumbura</t>
  </si>
  <si>
    <t>Ogden, Vita M</t>
  </si>
  <si>
    <t>Oldham, Lee William</t>
  </si>
  <si>
    <t>02/08/2016</t>
  </si>
  <si>
    <t>Olger, Douglas Reese</t>
  </si>
  <si>
    <t>07/05/2016</t>
  </si>
  <si>
    <t>Olson, Andrew N</t>
  </si>
  <si>
    <t>01/14/2019</t>
  </si>
  <si>
    <t>Orlando, Tina Marie</t>
  </si>
  <si>
    <t>11/11/2019</t>
  </si>
  <si>
    <t>Oudsema, Benjamin R</t>
  </si>
  <si>
    <t>11/05/2024</t>
  </si>
  <si>
    <t>08/15/2025</t>
  </si>
  <si>
    <t>Oudsema, Matthew R.</t>
  </si>
  <si>
    <t>11/13/2006</t>
  </si>
  <si>
    <t>06/27/2025</t>
  </si>
  <si>
    <t>PLAN-SRMANAGER</t>
  </si>
  <si>
    <t>Overbeck, Karen L.</t>
  </si>
  <si>
    <t>08/12/2006</t>
  </si>
  <si>
    <t>Payne, Stephen</t>
  </si>
  <si>
    <t>Pearl, Jeffrey B.</t>
  </si>
  <si>
    <t>05/31/2004</t>
  </si>
  <si>
    <t>CSTDN-Custodian</t>
  </si>
  <si>
    <t>Pedroso Aparicio, Raudel</t>
  </si>
  <si>
    <t>Pena, Jacob</t>
  </si>
  <si>
    <t>Perez, Sergio</t>
  </si>
  <si>
    <t>Peterson, Jeffery Scott</t>
  </si>
  <si>
    <t>09/24/2018</t>
  </si>
  <si>
    <t>Petrie, Charles Eric</t>
  </si>
  <si>
    <t>11/10/2025</t>
  </si>
  <si>
    <t>Petrous, Steve T.</t>
  </si>
  <si>
    <t>Pettit, Randy Scott</t>
  </si>
  <si>
    <t>11/08/2022</t>
  </si>
  <si>
    <t>MTS-Maintenance Training Supervisor</t>
  </si>
  <si>
    <t>Pierce, Pamela K</t>
  </si>
  <si>
    <t>Pizana, Jose</t>
  </si>
  <si>
    <t>Plant, Timothy L</t>
  </si>
  <si>
    <t>12/18/2023</t>
  </si>
  <si>
    <t>Pocklington, Andrew</t>
  </si>
  <si>
    <t>04/30/2018</t>
  </si>
  <si>
    <t>05/02/2025</t>
  </si>
  <si>
    <t>Preston, Chyrie C</t>
  </si>
  <si>
    <t>07/24/2025</t>
  </si>
  <si>
    <t>Preville, Erik H</t>
  </si>
  <si>
    <t>09/05/2025</t>
  </si>
  <si>
    <t>Pryor, Eric Deonte</t>
  </si>
  <si>
    <t>Rabi, Jose Antonio</t>
  </si>
  <si>
    <t>Radke, Alexander Charles</t>
  </si>
  <si>
    <t>03/10/2025</t>
  </si>
  <si>
    <t>Reaser, Lucus James</t>
  </si>
  <si>
    <t>10/17/2022</t>
  </si>
  <si>
    <t>Reeder, Tammie S</t>
  </si>
  <si>
    <t>01/05/1993</t>
  </si>
  <si>
    <t>Reeder, Travis L</t>
  </si>
  <si>
    <t>Reu-Steffen, Cathy</t>
  </si>
  <si>
    <t>Reynolds, Thomas J</t>
  </si>
  <si>
    <t>Rheuark, Alexander N</t>
  </si>
  <si>
    <t>Rice, Douglas B.</t>
  </si>
  <si>
    <t>Richardson, Shatele L</t>
  </si>
  <si>
    <t>08/05/2025</t>
  </si>
  <si>
    <t>Riggs, Ralph</t>
  </si>
  <si>
    <t>Ritenburg, David L</t>
  </si>
  <si>
    <t>Roberts, John D.</t>
  </si>
  <si>
    <t>Robinson, Jenneffer</t>
  </si>
  <si>
    <t>Robinson, Shamarie</t>
  </si>
  <si>
    <t>01/03/2019</t>
  </si>
  <si>
    <t>Robison, Laurie Kazue</t>
  </si>
  <si>
    <t>07/11/2011</t>
  </si>
  <si>
    <t>07/11/2025</t>
  </si>
  <si>
    <t>DIR MRKT-Director of Marketing &amp; Customer Experience</t>
  </si>
  <si>
    <t>Rodgers, Leon Rosell</t>
  </si>
  <si>
    <t>Rogers, Jonathan</t>
  </si>
  <si>
    <t>07/01/2019</t>
  </si>
  <si>
    <t>Rogers, Melissa A</t>
  </si>
  <si>
    <t>08/19/2019</t>
  </si>
  <si>
    <t>CUSMGR-Customer Experience Manager</t>
  </si>
  <si>
    <t>Rowe, Corey J</t>
  </si>
  <si>
    <t>10/27/2022</t>
  </si>
  <si>
    <t>04/30/2025</t>
  </si>
  <si>
    <t>Rudolph, Ned</t>
  </si>
  <si>
    <t>09/06/1977</t>
  </si>
  <si>
    <t>Sanchez, Constancia S</t>
  </si>
  <si>
    <t>Sassman, Brandon J</t>
  </si>
  <si>
    <t>Scates, Shontae Yevette</t>
  </si>
  <si>
    <t>Schellhammer, Kyle Jordan</t>
  </si>
  <si>
    <t>Schwab, Chadwick W</t>
  </si>
  <si>
    <t>Scott, Edward E</t>
  </si>
  <si>
    <t>Search, James L.</t>
  </si>
  <si>
    <t>02/08/1999</t>
  </si>
  <si>
    <t>Sergent, Jonathan Edward</t>
  </si>
  <si>
    <t>05/07/2012</t>
  </si>
  <si>
    <t>Sharp, Nicole Michelle</t>
  </si>
  <si>
    <t>Shields, Carlos Andra</t>
  </si>
  <si>
    <t>07/10/2026</t>
  </si>
  <si>
    <t>Shirey, Chad</t>
  </si>
  <si>
    <t>02/02/2015</t>
  </si>
  <si>
    <t>Shropshire, Kelly D.</t>
  </si>
  <si>
    <t>01/15/2007</t>
  </si>
  <si>
    <t>Silaghi, Mircea P.</t>
  </si>
  <si>
    <t>Silaghi, Otilia D</t>
  </si>
  <si>
    <t>09/23/2013</t>
  </si>
  <si>
    <t>Singletary, Jeramie L.</t>
  </si>
  <si>
    <t>Sjogren, Joshua Eric</t>
  </si>
  <si>
    <t>04/08/2024</t>
  </si>
  <si>
    <t>Skiffington, Justin Hugh</t>
  </si>
  <si>
    <t>Slack, Donald C.</t>
  </si>
  <si>
    <t>Slack, Heidi M.</t>
  </si>
  <si>
    <t>08/02/1999</t>
  </si>
  <si>
    <t>Slear, Jerry A</t>
  </si>
  <si>
    <t>06/13/2026</t>
  </si>
  <si>
    <t>Smith, Lateysha Ernay</t>
  </si>
  <si>
    <t>Smith, Markethia</t>
  </si>
  <si>
    <t>08/01/2022</t>
  </si>
  <si>
    <t>Sober II, Dale William</t>
  </si>
  <si>
    <t>12/09/2024</t>
  </si>
  <si>
    <t>Sobleskey, Kevin</t>
  </si>
  <si>
    <t>01/19/2025</t>
  </si>
  <si>
    <t>Soliz, Rebecca Sue</t>
  </si>
  <si>
    <t>09/11/2018</t>
  </si>
  <si>
    <t>Soliz, Sabreena Leigh</t>
  </si>
  <si>
    <t>10/25/2023</t>
  </si>
  <si>
    <t>Soliz, Steven James</t>
  </si>
  <si>
    <t>03/19/1990</t>
  </si>
  <si>
    <t>11/06/2024</t>
  </si>
  <si>
    <t>Sproat, Jacob Ryan</t>
  </si>
  <si>
    <t>12/10/2025</t>
  </si>
  <si>
    <t>St. John, Lisa Marie</t>
  </si>
  <si>
    <t>06/20/2022</t>
  </si>
  <si>
    <t>MRKTEA-Marketing Executive Assistant</t>
  </si>
  <si>
    <t>Stahl, Michael J</t>
  </si>
  <si>
    <t>Stanfield, David H.</t>
  </si>
  <si>
    <t>01/18/2002</t>
  </si>
  <si>
    <t>Stanis, Colleen A</t>
  </si>
  <si>
    <t>Steffek, Elaine T</t>
  </si>
  <si>
    <t>Steinhauer, Angela L</t>
  </si>
  <si>
    <t>Steinhauer, Randy S.</t>
  </si>
  <si>
    <t>08/22/2003</t>
  </si>
  <si>
    <t>03/01/2025</t>
  </si>
  <si>
    <t>Stephens, Margaret E.</t>
  </si>
  <si>
    <t>05/14/2018</t>
  </si>
  <si>
    <t>12/14/2025</t>
  </si>
  <si>
    <t>Stevens, Brandon</t>
  </si>
  <si>
    <t>10/22/2004</t>
  </si>
  <si>
    <t>05/04/2025</t>
  </si>
  <si>
    <t>Stiles, Laura Kaye</t>
  </si>
  <si>
    <t>07/21/2014</t>
  </si>
  <si>
    <t>Stone, Russell W.</t>
  </si>
  <si>
    <t>Stratz, Debra K.</t>
  </si>
  <si>
    <t>11/10/1997</t>
  </si>
  <si>
    <t>Sturdivant, Susan K</t>
  </si>
  <si>
    <t>12/02/2019</t>
  </si>
  <si>
    <t>Taylor, Christopher John</t>
  </si>
  <si>
    <t>Taylor, Myshere</t>
  </si>
  <si>
    <t>Taylor, Ronald L.</t>
  </si>
  <si>
    <t>06/28/1999</t>
  </si>
  <si>
    <t>05/30/2026</t>
  </si>
  <si>
    <t>Taylor, Sarah E</t>
  </si>
  <si>
    <t>Terrell, Lawrence D</t>
  </si>
  <si>
    <t>02/13/2025</t>
  </si>
  <si>
    <t>Terry, Abraham</t>
  </si>
  <si>
    <t>Thomas, Jennifer K</t>
  </si>
  <si>
    <t>07/23/2007</t>
  </si>
  <si>
    <t>Thomas, Michael J</t>
  </si>
  <si>
    <t>Thompson, DeShawn</t>
  </si>
  <si>
    <t>05/22/2024</t>
  </si>
  <si>
    <t>Thomson, Kimberley K.</t>
  </si>
  <si>
    <t>01/08/2005</t>
  </si>
  <si>
    <t>Thorn, Tesra M</t>
  </si>
  <si>
    <t>11/23/2015</t>
  </si>
  <si>
    <t>Timmer, Brian M</t>
  </si>
  <si>
    <t>01/29/2025</t>
  </si>
  <si>
    <t>Tonche, Jesus A</t>
  </si>
  <si>
    <t>Torrez-Favreau, Jennifer A</t>
  </si>
  <si>
    <t>Treanor, Theresa L</t>
  </si>
  <si>
    <t>Trevino, Paul E.</t>
  </si>
  <si>
    <t>Turner, Gregory</t>
  </si>
  <si>
    <t>Unkefer, Daniel P</t>
  </si>
  <si>
    <t>VanAlstine, Norman K.</t>
  </si>
  <si>
    <t>08/13/2003</t>
  </si>
  <si>
    <t>FACILMGR-Facilities Manager</t>
  </si>
  <si>
    <t>Vick, Dave</t>
  </si>
  <si>
    <t>Walker Jr., Darryl L</t>
  </si>
  <si>
    <t>Walls, Frazier</t>
  </si>
  <si>
    <t>09/24/2020</t>
  </si>
  <si>
    <t>Walters, Laura Jean</t>
  </si>
  <si>
    <t>05/20/2025</t>
  </si>
  <si>
    <t>Warren, Tonya Renee</t>
  </si>
  <si>
    <t>Washington-Haigh, Michelle P Patrice</t>
  </si>
  <si>
    <t>Welch, Patrick Early</t>
  </si>
  <si>
    <t>Wells, Rashard Terrel</t>
  </si>
  <si>
    <t>Wells, Tamara J.</t>
  </si>
  <si>
    <t>Wells, Tella R</t>
  </si>
  <si>
    <t>Wemigwans, John Richard</t>
  </si>
  <si>
    <t>03/04/2026</t>
  </si>
  <si>
    <t>Werst, Daniel J</t>
  </si>
  <si>
    <t>Whalen, Colleen I.</t>
  </si>
  <si>
    <t>Whalen, Nicholas J</t>
  </si>
  <si>
    <t>01/05/2015</t>
  </si>
  <si>
    <t>Whalen, Randall J</t>
  </si>
  <si>
    <t>06/19/2000</t>
  </si>
  <si>
    <t>02/16/2026</t>
  </si>
  <si>
    <t>03/28/2018</t>
  </si>
  <si>
    <t>White, DiAndrea K</t>
  </si>
  <si>
    <t>03/17/2025</t>
  </si>
  <si>
    <t>White, Tiera A</t>
  </si>
  <si>
    <t>Whitfield, Lorenzo Tyrone</t>
  </si>
  <si>
    <t>Whitley, Allan L</t>
  </si>
  <si>
    <t>Williams, Erica</t>
  </si>
  <si>
    <t>Williams, Jamie Sharonn</t>
  </si>
  <si>
    <t>Williams, Karen L.</t>
  </si>
  <si>
    <t>Williams, Latasha N.</t>
  </si>
  <si>
    <t>Williams, Stephanie J.</t>
  </si>
  <si>
    <t>Willis, Peggy L.</t>
  </si>
  <si>
    <t>04/05/2004</t>
  </si>
  <si>
    <t>01/20/2025</t>
  </si>
  <si>
    <t>Wilson, Darlene Annette</t>
  </si>
  <si>
    <t>Wilson, Nicole</t>
  </si>
  <si>
    <t>09/05/2017</t>
  </si>
  <si>
    <t>PURCMGR-Purchasing &amp; Contracts Manager</t>
  </si>
  <si>
    <t>Wilson, Stephen J</t>
  </si>
  <si>
    <t>Wing, Patrick A</t>
  </si>
  <si>
    <t>Wireman-Lee, Amy</t>
  </si>
  <si>
    <t>Wojack, Kelly K.</t>
  </si>
  <si>
    <t>03/01/2006</t>
  </si>
  <si>
    <t>Wood, Alan</t>
  </si>
  <si>
    <t>01/15/2014</t>
  </si>
  <si>
    <t>Wood, Donna Jeane</t>
  </si>
  <si>
    <t>Wood, William A</t>
  </si>
  <si>
    <t>Woody, April Marie</t>
  </si>
  <si>
    <t>05/16/2022</t>
  </si>
  <si>
    <t>Worden, Brad L.</t>
  </si>
  <si>
    <t>01/13/2025</t>
  </si>
  <si>
    <t>Wright, Mary Ann</t>
  </si>
  <si>
    <t>Wright, Tawana Denise</t>
  </si>
  <si>
    <t>Yates, Brandie Richelle</t>
  </si>
  <si>
    <t>MAR-Director of Marketing</t>
  </si>
  <si>
    <t>Young, William L</t>
  </si>
  <si>
    <t>Yusuf, Sagal Kalif</t>
  </si>
  <si>
    <t>07/08/2024</t>
  </si>
  <si>
    <t>Union Code</t>
  </si>
  <si>
    <t>ATU</t>
  </si>
  <si>
    <t>Hourly Rate/Weekly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</si>
</sst>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;\-#,##0.00;#,##0.00"/>
    <numFmt numFmtId="165" formatCode="\$#,##0.00;\-\$#,##0.00;\$#,##0.00"/>
  </numFmts>
  <fonts count="3" x14ac:knownFonts="1">
    <font>
      <sz val="11"/>
      <color theme="1"/>
      <name val="Calibri"/>
    </font>
    <font>
      <b/>
      <sz val="9"/>
      <color rgb="FFFFFFFF"/>
      <name val="Noto Sans"/>
    </font>
    <font>
      <sz val="9"/>
      <color rgb="FF666666"/>
      <name val="Noto Sans"/>
    </font>
  </fonts>
  <fills count="4">
    <fill>
      <patternFill patternType="none"/>
    </fill>
    <fill>
      <patternFill patternType="gray125"/>
    </fill>
    <fill>
      <patternFill patternType="solid">
        <fgColor rgb="FF3EBED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5" fontId="2" fillId="3" borderId="1" xfId="0" applyNumberFormat="1" applyFont="1" applyFill="1" applyBorder="1" applyAlignment="1">
      <alignment horizontal="right" vertical="top" wrapText="1"/>
    </xf>
    <xf numFmtId="8" fontId="2" fillId="3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Y441"/>
  <sheetViews>
    <sheetView workbookViewId="0"/>
  </sheetViews>
  <sheetFormatPr defaultColWidth="9.109375" defaultRowHeight="14.4" x14ac:dyDescent="0.3"/>
  <cols>
    <col min="1" max="1" width="27.44140625" customWidth="1"/>
    <col min="2" max="2" width="20.5546875" customWidth="1"/>
    <col min="3" max="3" width="27.44140625" customWidth="1"/>
    <col min="4" max="6" width="20.5546875" customWidth="1"/>
    <col min="7" max="8" width="27.44140625" customWidth="1"/>
    <col min="9" max="9" width="20.5546875" customWidth="1"/>
    <col min="10" max="173" width="13.6640625" customWidth="1"/>
    <col min="174" max="174" width="11.44140625" bestFit="1" customWidth="1"/>
    <col min="175" max="175" width="13" bestFit="1" customWidth="1"/>
    <col min="176" max="176" width="11.44140625" bestFit="1" customWidth="1"/>
    <col min="177" max="177" width="11.33203125" bestFit="1" customWidth="1"/>
    <col min="178" max="178" width="13.5546875" bestFit="1" customWidth="1"/>
    <col min="179" max="179" width="12.6640625" bestFit="1" customWidth="1"/>
    <col min="180" max="180" width="11.33203125" bestFit="1" customWidth="1"/>
    <col min="181" max="181" width="13.6640625" customWidth="1"/>
  </cols>
  <sheetData>
    <row r="1" spans="1:181" ht="52.8" x14ac:dyDescent="0.3">
      <c r="A1" s="1" t="s">
        <v>1</v>
      </c>
      <c r="B1" s="2" t="s">
        <v>1028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1030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</row>
    <row r="2" spans="1:181" x14ac:dyDescent="0.3">
      <c r="A2" s="4" t="s">
        <v>180</v>
      </c>
      <c r="B2" s="5" t="s">
        <v>1029</v>
      </c>
      <c r="C2" s="5" t="s">
        <v>181</v>
      </c>
      <c r="D2" s="5" t="s">
        <v>182</v>
      </c>
      <c r="E2" s="5" t="s">
        <v>0</v>
      </c>
      <c r="F2" s="5" t="s">
        <v>0</v>
      </c>
      <c r="G2" s="5" t="s">
        <v>183</v>
      </c>
      <c r="H2" s="9">
        <v>31.71</v>
      </c>
      <c r="I2" s="7">
        <f>ROUND(71330.76,2)</f>
        <v>71330.759999999995</v>
      </c>
      <c r="J2" s="6"/>
      <c r="K2" s="6"/>
      <c r="L2" s="6"/>
      <c r="M2" s="6"/>
      <c r="N2" s="7">
        <f>ROUND(786.15,2)</f>
        <v>786.15</v>
      </c>
      <c r="O2" s="6"/>
      <c r="P2" s="6"/>
      <c r="Q2" s="7">
        <f>ROUND(48.58,2)</f>
        <v>48.58</v>
      </c>
      <c r="R2" s="6"/>
      <c r="S2" s="6"/>
      <c r="T2" s="6"/>
      <c r="U2" s="6"/>
      <c r="V2" s="7">
        <f>ROUND(5.55,2)</f>
        <v>5.55</v>
      </c>
      <c r="W2" s="6"/>
      <c r="X2" s="6"/>
      <c r="Y2" s="6"/>
      <c r="Z2" s="6"/>
      <c r="AA2" s="6"/>
      <c r="AB2" s="6"/>
      <c r="AC2" s="6"/>
      <c r="AD2" s="6"/>
      <c r="AE2" s="7">
        <f>ROUND(200.14,2)</f>
        <v>200.14</v>
      </c>
      <c r="AF2" s="6"/>
      <c r="AG2" s="7">
        <f>ROUND(29.2099999999999,2)</f>
        <v>29.21</v>
      </c>
      <c r="AH2" s="6"/>
      <c r="AI2" s="6"/>
      <c r="AJ2" s="6"/>
      <c r="AK2" s="6"/>
      <c r="AL2" s="6"/>
      <c r="AM2" s="6"/>
      <c r="AN2" s="6"/>
      <c r="AO2" s="6"/>
      <c r="AP2" s="7">
        <f>ROUND(842.339999999999,2)</f>
        <v>842.34</v>
      </c>
      <c r="AQ2" s="6"/>
      <c r="AR2" s="7">
        <f>ROUND(115.99,2)</f>
        <v>115.99</v>
      </c>
      <c r="AS2" s="6"/>
      <c r="AT2" s="6"/>
      <c r="AU2" s="7">
        <f>ROUND(66,2)</f>
        <v>66</v>
      </c>
      <c r="AV2" s="6"/>
      <c r="AW2" s="7">
        <f>ROUND(33,2)</f>
        <v>33</v>
      </c>
      <c r="AX2" s="7">
        <f>ROUND(6,2)</f>
        <v>6</v>
      </c>
      <c r="AY2" s="7">
        <f>ROUND(16,2)</f>
        <v>16</v>
      </c>
      <c r="AZ2" s="6"/>
      <c r="BA2" s="6"/>
      <c r="BB2" s="6"/>
      <c r="BC2" s="6"/>
      <c r="BD2" s="7">
        <f>ROUND(8,2)</f>
        <v>8</v>
      </c>
      <c r="BE2" s="6"/>
      <c r="BF2" s="6"/>
      <c r="BG2" s="6"/>
      <c r="BH2" s="6"/>
      <c r="BI2" s="6"/>
      <c r="BJ2" s="6"/>
      <c r="BK2" s="6"/>
      <c r="BL2" s="6"/>
      <c r="BM2" s="6"/>
      <c r="BN2" s="6"/>
      <c r="BO2" s="7">
        <f>ROUND(10.25,2)</f>
        <v>10.25</v>
      </c>
      <c r="BP2" s="6"/>
      <c r="BQ2" s="7">
        <f>ROUND(10,2)</f>
        <v>10</v>
      </c>
      <c r="BR2" s="6"/>
      <c r="BS2" s="6"/>
      <c r="BT2" s="7">
        <f>ROUND(1,2)</f>
        <v>1</v>
      </c>
      <c r="BU2" s="6"/>
      <c r="BV2" s="6"/>
      <c r="BW2" s="6"/>
      <c r="BX2" s="7">
        <f>ROUND(8,2)</f>
        <v>8</v>
      </c>
      <c r="BY2" s="7">
        <f>ROUND(5,2)</f>
        <v>5</v>
      </c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7">
        <f>ROUND(24,2)</f>
        <v>24</v>
      </c>
      <c r="CQ2" s="7">
        <f>ROUND(2215.21,2)</f>
        <v>2215.21</v>
      </c>
      <c r="CR2" s="6"/>
      <c r="CS2" s="6"/>
      <c r="CT2" s="6"/>
      <c r="CU2" s="6"/>
      <c r="CV2" s="7">
        <f>ROUND(22575.42,2)</f>
        <v>22575.42</v>
      </c>
      <c r="CW2" s="6"/>
      <c r="CX2" s="6"/>
      <c r="CY2" s="7">
        <f>ROUND(2170.57,2)</f>
        <v>2170.5700000000002</v>
      </c>
      <c r="CZ2" s="6"/>
      <c r="DA2" s="6"/>
      <c r="DB2" s="6"/>
      <c r="DC2" s="6"/>
      <c r="DD2" s="7">
        <f>ROUND(161.12,2)</f>
        <v>161.12</v>
      </c>
      <c r="DE2" s="6"/>
      <c r="DF2" s="6"/>
      <c r="DG2" s="6"/>
      <c r="DH2" s="6"/>
      <c r="DI2" s="6"/>
      <c r="DJ2" s="6"/>
      <c r="DK2" s="6"/>
      <c r="DL2" s="6"/>
      <c r="DM2" s="6"/>
      <c r="DN2" s="7">
        <f>ROUND(5829.08999999999,2)</f>
        <v>5829.09</v>
      </c>
      <c r="DO2" s="6"/>
      <c r="DP2" s="7">
        <f>ROUND(1307.05,2)</f>
        <v>1307.05</v>
      </c>
      <c r="DQ2" s="6"/>
      <c r="DR2" s="6"/>
      <c r="DS2" s="6"/>
      <c r="DT2" s="6"/>
      <c r="DU2" s="6"/>
      <c r="DV2" s="6"/>
      <c r="DW2" s="6"/>
      <c r="DX2" s="6"/>
      <c r="DY2" s="7">
        <f>ROUND(24602.07,2)</f>
        <v>24602.07</v>
      </c>
      <c r="DZ2" s="6"/>
      <c r="EA2" s="7">
        <f>ROUND(5205.03,2)</f>
        <v>5205.03</v>
      </c>
      <c r="EB2" s="6"/>
      <c r="EC2" s="6"/>
      <c r="ED2" s="7">
        <f>ROUND(1929.34,2)</f>
        <v>1929.34</v>
      </c>
      <c r="EE2" s="6"/>
      <c r="EF2" s="7">
        <f>ROUND(944.86,2)</f>
        <v>944.86</v>
      </c>
      <c r="EG2" s="7">
        <f>ROUND(285.39,2)</f>
        <v>285.39</v>
      </c>
      <c r="EH2" s="7">
        <f>ROUND(456.24,2)</f>
        <v>456.24</v>
      </c>
      <c r="EI2" s="6"/>
      <c r="EJ2" s="6"/>
      <c r="EK2" s="6"/>
      <c r="EL2" s="6"/>
      <c r="EM2" s="6"/>
      <c r="EN2" s="7">
        <f>ROUND(231.04,2)</f>
        <v>231.04</v>
      </c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7">
        <f>ROUND(304.94,2)</f>
        <v>304.94</v>
      </c>
      <c r="FC2" s="6"/>
      <c r="FD2" s="7">
        <f>ROUND(292.56,2)</f>
        <v>292.56</v>
      </c>
      <c r="FE2" s="6"/>
      <c r="FF2" s="6"/>
      <c r="FG2" s="6"/>
      <c r="FH2" s="6"/>
      <c r="FI2" s="6"/>
      <c r="FJ2" s="7">
        <f>ROUND(1275,2)</f>
        <v>1275</v>
      </c>
      <c r="FK2" s="6"/>
      <c r="FL2" s="6"/>
      <c r="FM2" s="6"/>
      <c r="FN2" s="6"/>
      <c r="FO2" s="6"/>
      <c r="FP2" s="6"/>
      <c r="FQ2" s="6"/>
      <c r="FR2" s="6"/>
      <c r="FS2" s="6"/>
      <c r="FT2" s="7">
        <f>ROUND(3000,2)</f>
        <v>3000</v>
      </c>
      <c r="FU2" s="6"/>
      <c r="FV2" s="6"/>
      <c r="FW2" s="6"/>
      <c r="FX2" s="7">
        <f>ROUND(761.04,2)</f>
        <v>761.04</v>
      </c>
      <c r="FY2" s="7">
        <f>ROUND(71330.76,2)</f>
        <v>71330.759999999995</v>
      </c>
    </row>
    <row r="3" spans="1:181" x14ac:dyDescent="0.3">
      <c r="A3" s="4" t="s">
        <v>184</v>
      </c>
      <c r="B3" s="5" t="s">
        <v>1029</v>
      </c>
      <c r="C3" s="5" t="s">
        <v>181</v>
      </c>
      <c r="D3" s="5" t="s">
        <v>185</v>
      </c>
      <c r="E3" s="5" t="s">
        <v>0</v>
      </c>
      <c r="F3" s="5" t="s">
        <v>186</v>
      </c>
      <c r="G3" s="5" t="s">
        <v>183</v>
      </c>
      <c r="H3" s="8">
        <v>34.04</v>
      </c>
      <c r="I3" s="7">
        <f>ROUND(130784.599999999,2)</f>
        <v>130784.6</v>
      </c>
      <c r="J3" s="6"/>
      <c r="K3" s="6"/>
      <c r="L3" s="6"/>
      <c r="M3" s="6"/>
      <c r="N3" s="7">
        <f>ROUND(1911.33,2)</f>
        <v>1911.33</v>
      </c>
      <c r="O3" s="6"/>
      <c r="P3" s="6"/>
      <c r="Q3" s="7">
        <f>ROUND(870.05,2)</f>
        <v>870.05</v>
      </c>
      <c r="R3" s="6"/>
      <c r="S3" s="6"/>
      <c r="T3" s="6"/>
      <c r="U3" s="6"/>
      <c r="V3" s="7">
        <f>ROUND(4.75,2)</f>
        <v>4.75</v>
      </c>
      <c r="W3" s="7">
        <f>ROUND(38.8399999999999,2)</f>
        <v>38.840000000000003</v>
      </c>
      <c r="X3" s="7">
        <f>ROUND(0.27,2)</f>
        <v>0.27</v>
      </c>
      <c r="Y3" s="6"/>
      <c r="Z3" s="6"/>
      <c r="AA3" s="6"/>
      <c r="AB3" s="6"/>
      <c r="AC3" s="6"/>
      <c r="AD3" s="6"/>
      <c r="AE3" s="6"/>
      <c r="AF3" s="6"/>
      <c r="AG3" s="7">
        <f>ROUND(5.25,2)</f>
        <v>5.25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7">
        <f>ROUND(127.86,2)</f>
        <v>127.86</v>
      </c>
      <c r="AS3" s="6"/>
      <c r="AT3" s="6"/>
      <c r="AU3" s="7">
        <f>ROUND(61,2)</f>
        <v>61</v>
      </c>
      <c r="AV3" s="7">
        <f>ROUND(7,2)</f>
        <v>7</v>
      </c>
      <c r="AW3" s="7">
        <f>ROUND(32,2)</f>
        <v>32</v>
      </c>
      <c r="AX3" s="6"/>
      <c r="AY3" s="7">
        <f>ROUND(120,2)</f>
        <v>120</v>
      </c>
      <c r="AZ3" s="7">
        <f>ROUND(8,2)</f>
        <v>8</v>
      </c>
      <c r="BA3" s="6"/>
      <c r="BB3" s="6"/>
      <c r="BC3" s="6"/>
      <c r="BD3" s="7">
        <f>ROUND(8,2)</f>
        <v>8</v>
      </c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7">
        <f>ROUND(9,2)</f>
        <v>9</v>
      </c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7">
        <f>ROUND(112,2)</f>
        <v>112</v>
      </c>
      <c r="CQ3" s="7">
        <f>ROUND(3315.35,2)</f>
        <v>3315.35</v>
      </c>
      <c r="CR3" s="6"/>
      <c r="CS3" s="6"/>
      <c r="CT3" s="6"/>
      <c r="CU3" s="6"/>
      <c r="CV3" s="7">
        <f>ROUND(62316.3399999999,2)</f>
        <v>62316.34</v>
      </c>
      <c r="CW3" s="6"/>
      <c r="CX3" s="6"/>
      <c r="CY3" s="7">
        <f>ROUND(42561.64,2)</f>
        <v>42561.64</v>
      </c>
      <c r="CZ3" s="6"/>
      <c r="DA3" s="6"/>
      <c r="DB3" s="6"/>
      <c r="DC3" s="6"/>
      <c r="DD3" s="7">
        <f>ROUND(164.07,2)</f>
        <v>164.07</v>
      </c>
      <c r="DE3" s="7">
        <f>ROUND(1923.37,2)</f>
        <v>1923.37</v>
      </c>
      <c r="DF3" s="7">
        <f>ROUND(9.19,2)</f>
        <v>9.19</v>
      </c>
      <c r="DG3" s="6"/>
      <c r="DH3" s="6"/>
      <c r="DI3" s="6"/>
      <c r="DJ3" s="6"/>
      <c r="DK3" s="6"/>
      <c r="DL3" s="6"/>
      <c r="DM3" s="6"/>
      <c r="DN3" s="6"/>
      <c r="DO3" s="6"/>
      <c r="DP3" s="7">
        <f>ROUND(253.89,2)</f>
        <v>253.89</v>
      </c>
      <c r="DQ3" s="6"/>
      <c r="DR3" s="6"/>
      <c r="DS3" s="6"/>
      <c r="DT3" s="6"/>
      <c r="DU3" s="6"/>
      <c r="DV3" s="6"/>
      <c r="DW3" s="6"/>
      <c r="DX3" s="6"/>
      <c r="DY3" s="6"/>
      <c r="DZ3" s="6"/>
      <c r="EA3" s="7">
        <f>ROUND(6297.01,2)</f>
        <v>6297.01</v>
      </c>
      <c r="EB3" s="6"/>
      <c r="EC3" s="6"/>
      <c r="ED3" s="7">
        <f>ROUND(1989.41,2)</f>
        <v>1989.41</v>
      </c>
      <c r="EE3" s="7">
        <f>ROUND(347.06,2)</f>
        <v>347.06</v>
      </c>
      <c r="EF3" s="7">
        <f>ROUND(1057.6,2)</f>
        <v>1057.5999999999999</v>
      </c>
      <c r="EG3" s="6"/>
      <c r="EH3" s="7">
        <f>ROUND(3966,2)</f>
        <v>3966</v>
      </c>
      <c r="EI3" s="7">
        <f>ROUND(396.6,2)</f>
        <v>396.6</v>
      </c>
      <c r="EJ3" s="6"/>
      <c r="EK3" s="6"/>
      <c r="EL3" s="6"/>
      <c r="EM3" s="6"/>
      <c r="EN3" s="7">
        <f>ROUND(256.72,2)</f>
        <v>256.72000000000003</v>
      </c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7">
        <f>ROUND(433.22,2)</f>
        <v>433.22</v>
      </c>
      <c r="FF3" s="6"/>
      <c r="FG3" s="6"/>
      <c r="FH3" s="6"/>
      <c r="FI3" s="6"/>
      <c r="FJ3" s="7">
        <f>ROUND(2000,2)</f>
        <v>2000</v>
      </c>
      <c r="FK3" s="6"/>
      <c r="FL3" s="6"/>
      <c r="FM3" s="6"/>
      <c r="FN3" s="6"/>
      <c r="FO3" s="6"/>
      <c r="FP3" s="6"/>
      <c r="FQ3" s="6"/>
      <c r="FR3" s="6"/>
      <c r="FS3" s="6"/>
      <c r="FT3" s="7">
        <f>ROUND(3000,2)</f>
        <v>3000</v>
      </c>
      <c r="FU3" s="6"/>
      <c r="FV3" s="6"/>
      <c r="FW3" s="6"/>
      <c r="FX3" s="7">
        <f>ROUND(3812.48,2)</f>
        <v>3812.48</v>
      </c>
      <c r="FY3" s="7">
        <f>ROUND(130784.599999999,2)</f>
        <v>130784.6</v>
      </c>
    </row>
    <row r="4" spans="1:181" x14ac:dyDescent="0.3">
      <c r="A4" s="4" t="s">
        <v>187</v>
      </c>
      <c r="B4" s="5" t="s">
        <v>1029</v>
      </c>
      <c r="C4" s="5" t="s">
        <v>181</v>
      </c>
      <c r="D4" s="5" t="s">
        <v>188</v>
      </c>
      <c r="E4" s="5" t="s">
        <v>0</v>
      </c>
      <c r="F4" s="5" t="s">
        <v>0</v>
      </c>
      <c r="G4" s="5" t="s">
        <v>183</v>
      </c>
      <c r="H4" s="8">
        <v>33.380000000000003</v>
      </c>
      <c r="I4" s="7">
        <f>ROUND(75289.7899999999,2)</f>
        <v>75289.789999999994</v>
      </c>
      <c r="J4" s="6"/>
      <c r="K4" s="6"/>
      <c r="L4" s="6"/>
      <c r="M4" s="6"/>
      <c r="N4" s="7">
        <f>ROUND(1418.32,2)</f>
        <v>1418.32</v>
      </c>
      <c r="O4" s="6"/>
      <c r="P4" s="6"/>
      <c r="Q4" s="7">
        <f>ROUND(227.91,2)</f>
        <v>227.91</v>
      </c>
      <c r="R4" s="6"/>
      <c r="S4" s="6"/>
      <c r="T4" s="6"/>
      <c r="U4" s="6"/>
      <c r="V4" s="6"/>
      <c r="W4" s="6"/>
      <c r="X4" s="7">
        <f>ROUND(3.42,2)</f>
        <v>3.42</v>
      </c>
      <c r="Y4" s="6"/>
      <c r="Z4" s="7">
        <f>ROUND(0.2,2)</f>
        <v>0.2</v>
      </c>
      <c r="AA4" s="6"/>
      <c r="AB4" s="6"/>
      <c r="AC4" s="6"/>
      <c r="AD4" s="6"/>
      <c r="AE4" s="7">
        <f>ROUND(72.8099999999999,2)</f>
        <v>72.81</v>
      </c>
      <c r="AF4" s="6"/>
      <c r="AG4" s="7">
        <f>ROUND(58.56,2)</f>
        <v>58.56</v>
      </c>
      <c r="AH4" s="6"/>
      <c r="AI4" s="6"/>
      <c r="AJ4" s="6"/>
      <c r="AK4" s="6"/>
      <c r="AL4" s="6"/>
      <c r="AM4" s="6"/>
      <c r="AN4" s="6"/>
      <c r="AO4" s="6"/>
      <c r="AP4" s="7">
        <f>ROUND(59.16,2)</f>
        <v>59.16</v>
      </c>
      <c r="AQ4" s="6"/>
      <c r="AR4" s="7">
        <f>ROUND(3.19999999999999,2)</f>
        <v>3.2</v>
      </c>
      <c r="AS4" s="6"/>
      <c r="AT4" s="6"/>
      <c r="AU4" s="7">
        <f>ROUND(48,2)</f>
        <v>48</v>
      </c>
      <c r="AV4" s="6"/>
      <c r="AW4" s="7">
        <f>ROUND(51.28,2)</f>
        <v>51.28</v>
      </c>
      <c r="AX4" s="7">
        <f>ROUND(4.72,2)</f>
        <v>4.72</v>
      </c>
      <c r="AY4" s="7">
        <f>ROUND(23.43,2)</f>
        <v>23.43</v>
      </c>
      <c r="AZ4" s="7">
        <f>ROUND(16.57,2)</f>
        <v>16.57</v>
      </c>
      <c r="BA4" s="6"/>
      <c r="BB4" s="7">
        <f>ROUND(32,2)</f>
        <v>32</v>
      </c>
      <c r="BC4" s="6"/>
      <c r="BD4" s="7">
        <f>ROUND(8,2)</f>
        <v>8</v>
      </c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7">
        <f>ROUND(5.42,2)</f>
        <v>5.42</v>
      </c>
      <c r="BR4" s="6"/>
      <c r="BS4" s="7">
        <f>ROUND(376,2)</f>
        <v>376</v>
      </c>
      <c r="BT4" s="7">
        <f>ROUND(12.23,2)</f>
        <v>12.23</v>
      </c>
      <c r="BU4" s="6"/>
      <c r="BV4" s="6"/>
      <c r="BW4" s="7">
        <f>ROUND(16,2)</f>
        <v>16</v>
      </c>
      <c r="BX4" s="6"/>
      <c r="BY4" s="6"/>
      <c r="BZ4" s="7">
        <f>ROUND(16,2)</f>
        <v>16</v>
      </c>
      <c r="CA4" s="7">
        <f>ROUND(56,2)</f>
        <v>56</v>
      </c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7">
        <f>ROUND(8,2)</f>
        <v>8</v>
      </c>
      <c r="CQ4" s="7">
        <f>ROUND(2517.23,2)</f>
        <v>2517.23</v>
      </c>
      <c r="CR4" s="6"/>
      <c r="CS4" s="6"/>
      <c r="CT4" s="6"/>
      <c r="CU4" s="6"/>
      <c r="CV4" s="7">
        <f>ROUND(46305.7199999999,2)</f>
        <v>46305.72</v>
      </c>
      <c r="CW4" s="6"/>
      <c r="CX4" s="6"/>
      <c r="CY4" s="7">
        <f>ROUND(11221,2)</f>
        <v>11221</v>
      </c>
      <c r="CZ4" s="6"/>
      <c r="DA4" s="6"/>
      <c r="DB4" s="6"/>
      <c r="DC4" s="6"/>
      <c r="DD4" s="6"/>
      <c r="DE4" s="6"/>
      <c r="DF4" s="7">
        <f>ROUND(111.169999999999,2)</f>
        <v>111.17</v>
      </c>
      <c r="DG4" s="6"/>
      <c r="DH4" s="7">
        <f>ROUND(13.22,2)</f>
        <v>13.22</v>
      </c>
      <c r="DI4" s="6"/>
      <c r="DJ4" s="6"/>
      <c r="DK4" s="6"/>
      <c r="DL4" s="6"/>
      <c r="DM4" s="6"/>
      <c r="DN4" s="7">
        <f>ROUND(2352.64,2)</f>
        <v>2352.64</v>
      </c>
      <c r="DO4" s="6"/>
      <c r="DP4" s="7">
        <f>ROUND(2842.33,2)</f>
        <v>2842.33</v>
      </c>
      <c r="DQ4" s="6"/>
      <c r="DR4" s="6"/>
      <c r="DS4" s="6"/>
      <c r="DT4" s="6"/>
      <c r="DU4" s="6"/>
      <c r="DV4" s="6"/>
      <c r="DW4" s="6"/>
      <c r="DX4" s="6"/>
      <c r="DY4" s="7">
        <f>ROUND(1940.80999999999,2)</f>
        <v>1940.81</v>
      </c>
      <c r="DZ4" s="6"/>
      <c r="EA4" s="7">
        <f>ROUND(158.64,2)</f>
        <v>158.63999999999999</v>
      </c>
      <c r="EB4" s="6"/>
      <c r="EC4" s="6"/>
      <c r="ED4" s="7">
        <f>ROUND(1573.68,2)</f>
        <v>1573.68</v>
      </c>
      <c r="EE4" s="6"/>
      <c r="EF4" s="7">
        <f>ROUND(1689.74,2)</f>
        <v>1689.74</v>
      </c>
      <c r="EG4" s="7">
        <f>ROUND(230.43,2)</f>
        <v>230.43</v>
      </c>
      <c r="EH4" s="7">
        <f>ROUND(769.13,2)</f>
        <v>769.13</v>
      </c>
      <c r="EI4" s="7">
        <f>ROUND(825.7,2)</f>
        <v>825.7</v>
      </c>
      <c r="EJ4" s="6"/>
      <c r="EK4" s="7">
        <f>ROUND(1026.88,2)</f>
        <v>1026.8800000000001</v>
      </c>
      <c r="EL4" s="6"/>
      <c r="EM4" s="6"/>
      <c r="EN4" s="7">
        <f>ROUND(256.72,2)</f>
        <v>256.72000000000003</v>
      </c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7">
        <f>ROUND(179.94,2)</f>
        <v>179.94</v>
      </c>
      <c r="FE4" s="6"/>
      <c r="FF4" s="6"/>
      <c r="FG4" s="6"/>
      <c r="FH4" s="6"/>
      <c r="FI4" s="6"/>
      <c r="FJ4" s="7">
        <f>ROUND(525,2)</f>
        <v>525</v>
      </c>
      <c r="FK4" s="6"/>
      <c r="FL4" s="6"/>
      <c r="FM4" s="6"/>
      <c r="FN4" s="6"/>
      <c r="FO4" s="6"/>
      <c r="FP4" s="6"/>
      <c r="FQ4" s="6"/>
      <c r="FR4" s="6"/>
      <c r="FS4" s="6"/>
      <c r="FT4" s="7">
        <f>ROUND(3000,2)</f>
        <v>3000</v>
      </c>
      <c r="FU4" s="6"/>
      <c r="FV4" s="6"/>
      <c r="FW4" s="6"/>
      <c r="FX4" s="7">
        <f>ROUND(267.04,2)</f>
        <v>267.04000000000002</v>
      </c>
      <c r="FY4" s="7">
        <f>ROUND(75289.7899999999,2)</f>
        <v>75289.789999999994</v>
      </c>
    </row>
    <row r="5" spans="1:181" x14ac:dyDescent="0.3">
      <c r="A5" s="4" t="s">
        <v>189</v>
      </c>
      <c r="B5" s="5" t="s">
        <v>1029</v>
      </c>
      <c r="C5" s="5" t="s">
        <v>181</v>
      </c>
      <c r="D5" s="5" t="s">
        <v>190</v>
      </c>
      <c r="E5" s="5" t="s">
        <v>0</v>
      </c>
      <c r="F5" s="5" t="s">
        <v>0</v>
      </c>
      <c r="G5" s="5" t="s">
        <v>183</v>
      </c>
      <c r="H5" s="8">
        <v>33.71</v>
      </c>
      <c r="I5" s="7">
        <f>ROUND(58348.4799999999,2)</f>
        <v>58348.480000000003</v>
      </c>
      <c r="J5" s="6"/>
      <c r="K5" s="6"/>
      <c r="L5" s="6"/>
      <c r="M5" s="6"/>
      <c r="N5" s="7">
        <f>ROUND(1092.05,2)</f>
        <v>1092.05</v>
      </c>
      <c r="O5" s="6"/>
      <c r="P5" s="6"/>
      <c r="Q5" s="7">
        <f>ROUND(111.36,2)</f>
        <v>111.36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>
        <f>ROUND(58.25,2)</f>
        <v>58.25</v>
      </c>
      <c r="AF5" s="6"/>
      <c r="AG5" s="7">
        <f>ROUND(49.58,2)</f>
        <v>49.58</v>
      </c>
      <c r="AH5" s="6"/>
      <c r="AI5" s="6"/>
      <c r="AJ5" s="6"/>
      <c r="AK5" s="6"/>
      <c r="AL5" s="6"/>
      <c r="AM5" s="6"/>
      <c r="AN5" s="6"/>
      <c r="AO5" s="6"/>
      <c r="AP5" s="7">
        <f>ROUND(1.25,2)</f>
        <v>1.25</v>
      </c>
      <c r="AQ5" s="6"/>
      <c r="AR5" s="6"/>
      <c r="AS5" s="6"/>
      <c r="AT5" s="6"/>
      <c r="AU5" s="7">
        <f>ROUND(44,2)</f>
        <v>44</v>
      </c>
      <c r="AV5" s="6"/>
      <c r="AW5" s="7">
        <f>ROUND(8,2)</f>
        <v>8</v>
      </c>
      <c r="AX5" s="6"/>
      <c r="AY5" s="7">
        <f>ROUND(12.1299999999999,2)</f>
        <v>12.13</v>
      </c>
      <c r="AZ5" s="7">
        <f>ROUND(3.87,2)</f>
        <v>3.87</v>
      </c>
      <c r="BA5" s="6"/>
      <c r="BB5" s="7">
        <f>ROUND(32,2)</f>
        <v>32</v>
      </c>
      <c r="BC5" s="6"/>
      <c r="BD5" s="7">
        <f>ROUND(25,2)</f>
        <v>25</v>
      </c>
      <c r="BE5" s="7">
        <f>ROUND(2.85,2)</f>
        <v>2.85</v>
      </c>
      <c r="BF5" s="6"/>
      <c r="BG5" s="6"/>
      <c r="BH5" s="6"/>
      <c r="BI5" s="6"/>
      <c r="BJ5" s="6"/>
      <c r="BK5" s="6"/>
      <c r="BL5" s="6"/>
      <c r="BM5" s="6"/>
      <c r="BN5" s="6"/>
      <c r="BO5" s="7">
        <f>ROUND(5.5,2)</f>
        <v>5.5</v>
      </c>
      <c r="BP5" s="6"/>
      <c r="BQ5" s="7">
        <f>ROUND(27.33,2)</f>
        <v>27.33</v>
      </c>
      <c r="BR5" s="6"/>
      <c r="BS5" s="7">
        <f>ROUND(232,2)</f>
        <v>232</v>
      </c>
      <c r="BT5" s="6"/>
      <c r="BU5" s="6"/>
      <c r="BV5" s="6"/>
      <c r="BW5" s="7">
        <f>ROUND(24,2)</f>
        <v>24</v>
      </c>
      <c r="BX5" s="6"/>
      <c r="BY5" s="7">
        <f>ROUND(8,2)</f>
        <v>8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7">
        <f>ROUND(112,2)</f>
        <v>112</v>
      </c>
      <c r="CQ5" s="7">
        <f>ROUND(1849.17,2)</f>
        <v>1849.17</v>
      </c>
      <c r="CR5" s="6"/>
      <c r="CS5" s="6"/>
      <c r="CT5" s="6"/>
      <c r="CU5" s="6"/>
      <c r="CV5" s="7">
        <f>ROUND(35317.22,2)</f>
        <v>35317.22</v>
      </c>
      <c r="CW5" s="6"/>
      <c r="CX5" s="6"/>
      <c r="CY5" s="7">
        <f>ROUND(5387.34999999999,2)</f>
        <v>5387.35</v>
      </c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7">
        <f>ROUND(1875.07,2)</f>
        <v>1875.07</v>
      </c>
      <c r="DO5" s="6"/>
      <c r="DP5" s="7">
        <f>ROUND(2393.04,2)</f>
        <v>2393.04</v>
      </c>
      <c r="DQ5" s="6"/>
      <c r="DR5" s="6"/>
      <c r="DS5" s="6"/>
      <c r="DT5" s="6"/>
      <c r="DU5" s="6"/>
      <c r="DV5" s="6"/>
      <c r="DW5" s="6"/>
      <c r="DX5" s="6"/>
      <c r="DY5" s="7">
        <f>ROUND(40.11,2)</f>
        <v>40.11</v>
      </c>
      <c r="DZ5" s="6"/>
      <c r="EA5" s="6"/>
      <c r="EB5" s="6"/>
      <c r="EC5" s="6"/>
      <c r="ED5" s="7">
        <f>ROUND(1419.64,2)</f>
        <v>1419.64</v>
      </c>
      <c r="EE5" s="6"/>
      <c r="EF5" s="7">
        <f>ROUND(256.72,2)</f>
        <v>256.72000000000003</v>
      </c>
      <c r="EG5" s="6"/>
      <c r="EH5" s="7">
        <f>ROUND(389.25,2)</f>
        <v>389.25</v>
      </c>
      <c r="EI5" s="7">
        <f>ROUND(186.28,2)</f>
        <v>186.28</v>
      </c>
      <c r="EJ5" s="6"/>
      <c r="EK5" s="7">
        <f>ROUND(1042.24,2)</f>
        <v>1042.24</v>
      </c>
      <c r="EL5" s="6"/>
      <c r="EM5" s="6"/>
      <c r="EN5" s="7">
        <f>ROUND(818.569999999999,2)</f>
        <v>818.57</v>
      </c>
      <c r="EO5" s="7">
        <f>ROUND(91.46,2)</f>
        <v>91.46</v>
      </c>
      <c r="EP5" s="6"/>
      <c r="EQ5" s="6"/>
      <c r="ER5" s="6"/>
      <c r="ES5" s="6"/>
      <c r="ET5" s="6"/>
      <c r="EU5" s="6"/>
      <c r="EV5" s="7">
        <f>ROUND(500,2)</f>
        <v>500</v>
      </c>
      <c r="EW5" s="6"/>
      <c r="EX5" s="6"/>
      <c r="EY5" s="6"/>
      <c r="EZ5" s="6"/>
      <c r="FA5" s="6"/>
      <c r="FB5" s="7">
        <f>ROUND(176.5,2)</f>
        <v>176.5</v>
      </c>
      <c r="FC5" s="6"/>
      <c r="FD5" s="7">
        <f>ROUND(904.51,2)</f>
        <v>904.51</v>
      </c>
      <c r="FE5" s="6"/>
      <c r="FF5" s="6"/>
      <c r="FG5" s="6"/>
      <c r="FH5" s="6"/>
      <c r="FI5" s="6"/>
      <c r="FJ5" s="7">
        <f>ROUND(775,2)</f>
        <v>775</v>
      </c>
      <c r="FK5" s="6"/>
      <c r="FL5" s="6"/>
      <c r="FM5" s="6"/>
      <c r="FN5" s="6"/>
      <c r="FO5" s="6"/>
      <c r="FP5" s="6"/>
      <c r="FQ5" s="6"/>
      <c r="FR5" s="6"/>
      <c r="FS5" s="6"/>
      <c r="FT5" s="7">
        <f>ROUND(3000,2)</f>
        <v>3000</v>
      </c>
      <c r="FU5" s="6"/>
      <c r="FV5" s="6"/>
      <c r="FW5" s="6"/>
      <c r="FX5" s="7">
        <f>ROUND(3775.52,2)</f>
        <v>3775.52</v>
      </c>
      <c r="FY5" s="7">
        <f>ROUND(58348.4799999999,2)</f>
        <v>58348.480000000003</v>
      </c>
    </row>
    <row r="6" spans="1:181" x14ac:dyDescent="0.3">
      <c r="A6" s="4" t="s">
        <v>191</v>
      </c>
      <c r="B6" s="5" t="s">
        <v>1029</v>
      </c>
      <c r="C6" s="5" t="s">
        <v>181</v>
      </c>
      <c r="D6" s="5" t="s">
        <v>192</v>
      </c>
      <c r="E6" s="5" t="s">
        <v>0</v>
      </c>
      <c r="F6" s="5" t="s">
        <v>0</v>
      </c>
      <c r="G6" s="5" t="s">
        <v>183</v>
      </c>
      <c r="H6" s="8">
        <v>33.380000000000003</v>
      </c>
      <c r="I6" s="7">
        <f>ROUND(91030.76,2)</f>
        <v>91030.76</v>
      </c>
      <c r="J6" s="6"/>
      <c r="K6" s="6"/>
      <c r="L6" s="6"/>
      <c r="M6" s="6"/>
      <c r="N6" s="7">
        <f>ROUND(1967.6,2)</f>
        <v>1967.6</v>
      </c>
      <c r="O6" s="6"/>
      <c r="P6" s="6"/>
      <c r="Q6" s="7">
        <f>ROUND(335.059999999999,2)</f>
        <v>335.06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7">
        <f>ROUND(68,2)</f>
        <v>68</v>
      </c>
      <c r="AV6" s="6"/>
      <c r="AW6" s="7">
        <f>ROUND(20.4,2)</f>
        <v>20.399999999999999</v>
      </c>
      <c r="AX6" s="7">
        <f>ROUND(11.6,2)</f>
        <v>11.6</v>
      </c>
      <c r="AY6" s="7">
        <f>ROUND(40,2)</f>
        <v>40</v>
      </c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7">
        <f>ROUND(32,2)</f>
        <v>32</v>
      </c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7">
        <f>ROUND(40,2)</f>
        <v>40</v>
      </c>
      <c r="CQ6" s="7">
        <f>ROUND(2514.66,2)</f>
        <v>2514.66</v>
      </c>
      <c r="CR6" s="6"/>
      <c r="CS6" s="6"/>
      <c r="CT6" s="6"/>
      <c r="CU6" s="6"/>
      <c r="CV6" s="7">
        <f>ROUND(64147.1099999999,2)</f>
        <v>64147.11</v>
      </c>
      <c r="CW6" s="6"/>
      <c r="CX6" s="6"/>
      <c r="CY6" s="7">
        <f>ROUND(16441.9899999999,2)</f>
        <v>16441.990000000002</v>
      </c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7">
        <f>ROUND(2215.48,2)</f>
        <v>2215.48</v>
      </c>
      <c r="EE6" s="6"/>
      <c r="EF6" s="7">
        <f>ROUND(661.95,2)</f>
        <v>661.95</v>
      </c>
      <c r="EG6" s="7">
        <f>ROUND(570.43,2)</f>
        <v>570.42999999999995</v>
      </c>
      <c r="EH6" s="7">
        <f>ROUND(1283.6,2)</f>
        <v>1283.5999999999999</v>
      </c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7">
        <f>ROUND(1375,2)</f>
        <v>1375</v>
      </c>
      <c r="FK6" s="6"/>
      <c r="FL6" s="6"/>
      <c r="FM6" s="6"/>
      <c r="FN6" s="6"/>
      <c r="FO6" s="6"/>
      <c r="FP6" s="6"/>
      <c r="FQ6" s="6"/>
      <c r="FR6" s="6"/>
      <c r="FS6" s="6"/>
      <c r="FT6" s="7">
        <f>ROUND(3000,2)</f>
        <v>3000</v>
      </c>
      <c r="FU6" s="6"/>
      <c r="FV6" s="6"/>
      <c r="FW6" s="6"/>
      <c r="FX6" s="7">
        <f>ROUND(1335.2,2)</f>
        <v>1335.2</v>
      </c>
      <c r="FY6" s="7">
        <f>ROUND(91030.76,2)</f>
        <v>91030.76</v>
      </c>
    </row>
    <row r="7" spans="1:181" x14ac:dyDescent="0.3">
      <c r="A7" s="4" t="s">
        <v>193</v>
      </c>
      <c r="B7" s="5" t="s">
        <v>1029</v>
      </c>
      <c r="C7" s="5" t="s">
        <v>181</v>
      </c>
      <c r="D7" s="5" t="s">
        <v>194</v>
      </c>
      <c r="E7" s="5" t="s">
        <v>0</v>
      </c>
      <c r="F7" s="5" t="s">
        <v>0</v>
      </c>
      <c r="G7" s="5" t="s">
        <v>183</v>
      </c>
      <c r="H7" s="8">
        <v>33.380000000000003</v>
      </c>
      <c r="I7" s="7">
        <f>ROUND(48108.1999999999,2)</f>
        <v>48108.2</v>
      </c>
      <c r="J7" s="6"/>
      <c r="K7" s="6"/>
      <c r="L7" s="6"/>
      <c r="M7" s="6"/>
      <c r="N7" s="7">
        <f>ROUND(1289.89999999999,2)</f>
        <v>1289.9000000000001</v>
      </c>
      <c r="O7" s="6"/>
      <c r="P7" s="6"/>
      <c r="Q7" s="6"/>
      <c r="R7" s="6"/>
      <c r="S7" s="6"/>
      <c r="T7" s="6"/>
      <c r="U7" s="6"/>
      <c r="V7" s="7">
        <f>ROUND(3,2)</f>
        <v>3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>
        <f>ROUND(21.75,2)</f>
        <v>21.75</v>
      </c>
      <c r="AQ7" s="6"/>
      <c r="AR7" s="6"/>
      <c r="AS7" s="6"/>
      <c r="AT7" s="6"/>
      <c r="AU7" s="7">
        <f>ROUND(35,2)</f>
        <v>35</v>
      </c>
      <c r="AV7" s="6"/>
      <c r="AW7" s="7">
        <f>ROUND(5,2)</f>
        <v>5</v>
      </c>
      <c r="AX7" s="6"/>
      <c r="AY7" s="7">
        <f>ROUND(30,2)</f>
        <v>30</v>
      </c>
      <c r="AZ7" s="6"/>
      <c r="BA7" s="6"/>
      <c r="BB7" s="7">
        <f>ROUND(20,2)</f>
        <v>20</v>
      </c>
      <c r="BC7" s="6"/>
      <c r="BD7" s="7">
        <f>ROUND(8,2)</f>
        <v>8</v>
      </c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7">
        <f>ROUND(5,2)</f>
        <v>5</v>
      </c>
      <c r="BT7" s="7">
        <f>ROUND(11.39,2)</f>
        <v>11.39</v>
      </c>
      <c r="BU7" s="6"/>
      <c r="BV7" s="6"/>
      <c r="BW7" s="7">
        <f>ROUND(5,2)</f>
        <v>5</v>
      </c>
      <c r="BX7" s="7">
        <f>ROUND(70,2)</f>
        <v>70</v>
      </c>
      <c r="BY7" s="7">
        <f>ROUND(5,2)</f>
        <v>5</v>
      </c>
      <c r="BZ7" s="7">
        <f>ROUND(10,2)</f>
        <v>10</v>
      </c>
      <c r="CA7" s="7">
        <f>ROUND(15,2)</f>
        <v>15</v>
      </c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7">
        <f>ROUND(1534.04,2)</f>
        <v>1534.04</v>
      </c>
      <c r="CR7" s="6"/>
      <c r="CS7" s="6"/>
      <c r="CT7" s="6"/>
      <c r="CU7" s="6"/>
      <c r="CV7" s="7">
        <f>ROUND(42075.72,2)</f>
        <v>42075.72</v>
      </c>
      <c r="CW7" s="6"/>
      <c r="CX7" s="6"/>
      <c r="CY7" s="6"/>
      <c r="CZ7" s="6"/>
      <c r="DA7" s="6"/>
      <c r="DB7" s="6"/>
      <c r="DC7" s="6"/>
      <c r="DD7" s="7">
        <f>ROUND(100.14,2)</f>
        <v>100.14</v>
      </c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7">
        <f>ROUND(720.819999999999,2)</f>
        <v>720.82</v>
      </c>
      <c r="DZ7" s="6"/>
      <c r="EA7" s="6"/>
      <c r="EB7" s="6"/>
      <c r="EC7" s="6"/>
      <c r="ED7" s="7">
        <f>ROUND(1144,2)</f>
        <v>1144</v>
      </c>
      <c r="EE7" s="6"/>
      <c r="EF7" s="7">
        <f>ROUND(165.25,2)</f>
        <v>165.25</v>
      </c>
      <c r="EG7" s="6"/>
      <c r="EH7" s="7">
        <f>ROUND(978.75,2)</f>
        <v>978.75</v>
      </c>
      <c r="EI7" s="6"/>
      <c r="EJ7" s="6"/>
      <c r="EK7" s="7">
        <f>ROUND(641.8,2)</f>
        <v>641.79999999999995</v>
      </c>
      <c r="EL7" s="6"/>
      <c r="EM7" s="6"/>
      <c r="EN7" s="7">
        <f>ROUND(256.72,2)</f>
        <v>256.72000000000003</v>
      </c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7">
        <f>ROUND(525,2)</f>
        <v>525</v>
      </c>
      <c r="FK7" s="6"/>
      <c r="FL7" s="6"/>
      <c r="FM7" s="6"/>
      <c r="FN7" s="6"/>
      <c r="FO7" s="6"/>
      <c r="FP7" s="6"/>
      <c r="FQ7" s="6"/>
      <c r="FR7" s="6"/>
      <c r="FS7" s="6"/>
      <c r="FT7" s="7">
        <f>ROUND(1500,2)</f>
        <v>1500</v>
      </c>
      <c r="FU7" s="6"/>
      <c r="FV7" s="6"/>
      <c r="FW7" s="6"/>
      <c r="FX7" s="6"/>
      <c r="FY7" s="7">
        <f>ROUND(48108.1999999999,2)</f>
        <v>48108.2</v>
      </c>
    </row>
    <row r="8" spans="1:181" x14ac:dyDescent="0.3">
      <c r="A8" s="4" t="s">
        <v>195</v>
      </c>
      <c r="B8" s="5" t="s">
        <v>1029</v>
      </c>
      <c r="C8" s="5" t="s">
        <v>181</v>
      </c>
      <c r="D8" s="5" t="s">
        <v>196</v>
      </c>
      <c r="E8" s="5" t="s">
        <v>0</v>
      </c>
      <c r="F8" s="5" t="s">
        <v>0</v>
      </c>
      <c r="G8" s="5" t="s">
        <v>183</v>
      </c>
      <c r="H8" s="8">
        <v>33.380000000000003</v>
      </c>
      <c r="I8" s="7">
        <f>ROUND(101530.15,2)</f>
        <v>101530.15</v>
      </c>
      <c r="J8" s="6"/>
      <c r="K8" s="6"/>
      <c r="L8" s="6"/>
      <c r="M8" s="6"/>
      <c r="N8" s="7">
        <f>ROUND(776.149999999999,2)</f>
        <v>776.15</v>
      </c>
      <c r="O8" s="6"/>
      <c r="P8" s="6"/>
      <c r="Q8" s="7">
        <f>ROUND(209.92,2)</f>
        <v>209.92</v>
      </c>
      <c r="R8" s="6"/>
      <c r="S8" s="6"/>
      <c r="T8" s="6"/>
      <c r="U8" s="6"/>
      <c r="V8" s="7">
        <f>ROUND(10.06,2)</f>
        <v>10.06</v>
      </c>
      <c r="W8" s="7">
        <f>ROUND(22.1899999999999,2)</f>
        <v>22.19</v>
      </c>
      <c r="X8" s="7">
        <f>ROUND(3.12,2)</f>
        <v>3.12</v>
      </c>
      <c r="Y8" s="7">
        <f>ROUND(3.45,2)</f>
        <v>3.45</v>
      </c>
      <c r="Z8" s="6"/>
      <c r="AA8" s="6"/>
      <c r="AB8" s="6"/>
      <c r="AC8" s="6"/>
      <c r="AD8" s="6"/>
      <c r="AE8" s="7">
        <f>ROUND(311.2,2)</f>
        <v>311.2</v>
      </c>
      <c r="AF8" s="6"/>
      <c r="AG8" s="7">
        <f>ROUND(55.9499999999999,2)</f>
        <v>55.95</v>
      </c>
      <c r="AH8" s="6"/>
      <c r="AI8" s="6"/>
      <c r="AJ8" s="6"/>
      <c r="AK8" s="6"/>
      <c r="AL8" s="6"/>
      <c r="AM8" s="6"/>
      <c r="AN8" s="6"/>
      <c r="AO8" s="6"/>
      <c r="AP8" s="7">
        <f>ROUND(778.04,2)</f>
        <v>778.04</v>
      </c>
      <c r="AQ8" s="6"/>
      <c r="AR8" s="7">
        <f>ROUND(233.19,2)</f>
        <v>233.19</v>
      </c>
      <c r="AS8" s="6"/>
      <c r="AT8" s="6"/>
      <c r="AU8" s="7">
        <f>ROUND(76,2)</f>
        <v>76</v>
      </c>
      <c r="AV8" s="6"/>
      <c r="AW8" s="7">
        <f>ROUND(35.58,2)</f>
        <v>35.58</v>
      </c>
      <c r="AX8" s="7">
        <f>ROUND(10.42,2)</f>
        <v>10.42</v>
      </c>
      <c r="AY8" s="7">
        <f>ROUND(49.42,2)</f>
        <v>49.42</v>
      </c>
      <c r="AZ8" s="7">
        <f>ROUND(14.58,2)</f>
        <v>14.58</v>
      </c>
      <c r="BA8" s="6"/>
      <c r="BB8" s="7">
        <f>ROUND(34,2)</f>
        <v>34</v>
      </c>
      <c r="BC8" s="6"/>
      <c r="BD8" s="7">
        <f>ROUND(8,2)</f>
        <v>8</v>
      </c>
      <c r="BE8" s="6"/>
      <c r="BF8" s="6"/>
      <c r="BG8" s="6"/>
      <c r="BH8" s="6"/>
      <c r="BI8" s="6"/>
      <c r="BJ8" s="6"/>
      <c r="BK8" s="6"/>
      <c r="BL8" s="6"/>
      <c r="BM8" s="6"/>
      <c r="BN8" s="7">
        <f>ROUND(5.08,2)</f>
        <v>5.08</v>
      </c>
      <c r="BO8" s="7">
        <f>ROUND(26.9,2)</f>
        <v>26.9</v>
      </c>
      <c r="BP8" s="7">
        <f>ROUND(1.6,2)</f>
        <v>1.6</v>
      </c>
      <c r="BQ8" s="7">
        <f>ROUND(28.93,2)</f>
        <v>28.93</v>
      </c>
      <c r="BR8" s="7">
        <f>ROUND(4.82,2)</f>
        <v>4.82</v>
      </c>
      <c r="BS8" s="6"/>
      <c r="BT8" s="6"/>
      <c r="BU8" s="6"/>
      <c r="BV8" s="6"/>
      <c r="BW8" s="6"/>
      <c r="BX8" s="6"/>
      <c r="BY8" s="7">
        <f>ROUND(8,2)</f>
        <v>8</v>
      </c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7">
        <f>ROUND(2706.6,2)</f>
        <v>2706.6</v>
      </c>
      <c r="CR8" s="6"/>
      <c r="CS8" s="6"/>
      <c r="CT8" s="6"/>
      <c r="CU8" s="6"/>
      <c r="CV8" s="7">
        <f>ROUND(25289.97,2)</f>
        <v>25289.97</v>
      </c>
      <c r="CW8" s="6"/>
      <c r="CX8" s="6"/>
      <c r="CY8" s="7">
        <f>ROUND(10286.76,2)</f>
        <v>10286.76</v>
      </c>
      <c r="CZ8" s="6"/>
      <c r="DA8" s="6"/>
      <c r="DB8" s="6"/>
      <c r="DC8" s="6"/>
      <c r="DD8" s="7">
        <f>ROUND(329.36,2)</f>
        <v>329.36</v>
      </c>
      <c r="DE8" s="7">
        <f>ROUND(1094.74,2)</f>
        <v>1094.74</v>
      </c>
      <c r="DF8" s="7">
        <f>ROUND(101.57,2)</f>
        <v>101.57</v>
      </c>
      <c r="DG8" s="7">
        <f>ROUND(170.68,2)</f>
        <v>170.68</v>
      </c>
      <c r="DH8" s="6"/>
      <c r="DI8" s="6"/>
      <c r="DJ8" s="6"/>
      <c r="DK8" s="6"/>
      <c r="DL8" s="6"/>
      <c r="DM8" s="6"/>
      <c r="DN8" s="7">
        <f>ROUND(10169.4499999999,2)</f>
        <v>10169.450000000001</v>
      </c>
      <c r="DO8" s="6"/>
      <c r="DP8" s="7">
        <f>ROUND(2747.83,2)</f>
        <v>2747.83</v>
      </c>
      <c r="DQ8" s="6"/>
      <c r="DR8" s="6"/>
      <c r="DS8" s="6"/>
      <c r="DT8" s="6"/>
      <c r="DU8" s="6"/>
      <c r="DV8" s="6"/>
      <c r="DW8" s="6"/>
      <c r="DX8" s="6"/>
      <c r="DY8" s="7">
        <f>ROUND(25377.91,2)</f>
        <v>25377.91</v>
      </c>
      <c r="DZ8" s="6"/>
      <c r="EA8" s="7">
        <f>ROUND(11442.05,2)</f>
        <v>11442.05</v>
      </c>
      <c r="EB8" s="6"/>
      <c r="EC8" s="6"/>
      <c r="ED8" s="7">
        <f>ROUND(2474.12,2)</f>
        <v>2474.12</v>
      </c>
      <c r="EE8" s="6"/>
      <c r="EF8" s="7">
        <f>ROUND(1170.56,2)</f>
        <v>1170.56</v>
      </c>
      <c r="EG8" s="7">
        <f>ROUND(517.05,2)</f>
        <v>517.04999999999995</v>
      </c>
      <c r="EH8" s="7">
        <f>ROUND(1595.49,2)</f>
        <v>1595.49</v>
      </c>
      <c r="EI8" s="7">
        <f>ROUND(701.81,2)</f>
        <v>701.81</v>
      </c>
      <c r="EJ8" s="6"/>
      <c r="EK8" s="7">
        <f>ROUND(1116.02,2)</f>
        <v>1116.02</v>
      </c>
      <c r="EL8" s="6"/>
      <c r="EM8" s="6"/>
      <c r="EN8" s="7">
        <f>ROUND(256.72,2)</f>
        <v>256.72000000000003</v>
      </c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7">
        <f>ROUND(254.36,2)</f>
        <v>254.36</v>
      </c>
      <c r="FB8" s="7">
        <f>ROUND(874.38,2)</f>
        <v>874.38</v>
      </c>
      <c r="FC8" s="7">
        <f>ROUND(80.11,2)</f>
        <v>80.11</v>
      </c>
      <c r="FD8" s="7">
        <f>ROUND(947.199999999999,2)</f>
        <v>947.2</v>
      </c>
      <c r="FE8" s="7">
        <f>ROUND(232.01,2)</f>
        <v>232.01</v>
      </c>
      <c r="FF8" s="6"/>
      <c r="FG8" s="6"/>
      <c r="FH8" s="6"/>
      <c r="FI8" s="6"/>
      <c r="FJ8" s="7">
        <f>ROUND(1300,2)</f>
        <v>1300</v>
      </c>
      <c r="FK8" s="6"/>
      <c r="FL8" s="6"/>
      <c r="FM8" s="6"/>
      <c r="FN8" s="6"/>
      <c r="FO8" s="6"/>
      <c r="FP8" s="6"/>
      <c r="FQ8" s="6"/>
      <c r="FR8" s="6"/>
      <c r="FS8" s="6"/>
      <c r="FT8" s="7">
        <f>ROUND(3000,2)</f>
        <v>3000</v>
      </c>
      <c r="FU8" s="6"/>
      <c r="FV8" s="6"/>
      <c r="FW8" s="6"/>
      <c r="FX8" s="6"/>
      <c r="FY8" s="7">
        <f>ROUND(101530.15,2)</f>
        <v>101530.15</v>
      </c>
    </row>
    <row r="9" spans="1:181" x14ac:dyDescent="0.3">
      <c r="A9" s="4" t="s">
        <v>197</v>
      </c>
      <c r="B9" s="5" t="s">
        <v>1029</v>
      </c>
      <c r="C9" s="5" t="s">
        <v>181</v>
      </c>
      <c r="D9" s="5" t="s">
        <v>198</v>
      </c>
      <c r="E9" s="5" t="s">
        <v>199</v>
      </c>
      <c r="F9" s="5" t="s">
        <v>0</v>
      </c>
      <c r="G9" s="5" t="s">
        <v>183</v>
      </c>
      <c r="H9" s="8">
        <v>33.880000000000003</v>
      </c>
      <c r="I9" s="7">
        <f>ROUND(103342.519999999,2)</f>
        <v>103342.52</v>
      </c>
      <c r="J9" s="6"/>
      <c r="K9" s="6"/>
      <c r="L9" s="6"/>
      <c r="M9" s="6"/>
      <c r="N9" s="7">
        <f>ROUND(1793.2,2)</f>
        <v>1793.2</v>
      </c>
      <c r="O9" s="6"/>
      <c r="P9" s="6"/>
      <c r="Q9" s="7">
        <f>ROUND(353.499999999999,2)</f>
        <v>353.5</v>
      </c>
      <c r="R9" s="6"/>
      <c r="S9" s="6"/>
      <c r="T9" s="6"/>
      <c r="U9" s="6"/>
      <c r="V9" s="6"/>
      <c r="W9" s="7">
        <f>ROUND(26.12,2)</f>
        <v>26.12</v>
      </c>
      <c r="X9" s="7">
        <f>ROUND(1.33,2)</f>
        <v>1.33</v>
      </c>
      <c r="Y9" s="7">
        <f>ROUND(0.16,2)</f>
        <v>0.16</v>
      </c>
      <c r="Z9" s="6"/>
      <c r="AA9" s="6"/>
      <c r="AB9" s="6"/>
      <c r="AC9" s="6"/>
      <c r="AD9" s="6"/>
      <c r="AE9" s="6"/>
      <c r="AF9" s="6"/>
      <c r="AG9" s="7">
        <f>ROUND(29.75,2)</f>
        <v>29.75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7">
        <f>ROUND(141.01,2)</f>
        <v>141.01</v>
      </c>
      <c r="AS9" s="6"/>
      <c r="AT9" s="6"/>
      <c r="AU9" s="7">
        <f>ROUND(57.67,2)</f>
        <v>57.67</v>
      </c>
      <c r="AV9" s="6"/>
      <c r="AW9" s="7">
        <f>ROUND(5,2)</f>
        <v>5</v>
      </c>
      <c r="AX9" s="7">
        <f>ROUND(19,2)</f>
        <v>19</v>
      </c>
      <c r="AY9" s="7">
        <f>ROUND(148.75,2)</f>
        <v>148.75</v>
      </c>
      <c r="AZ9" s="7">
        <f>ROUND(51.25,2)</f>
        <v>51.25</v>
      </c>
      <c r="BA9" s="6"/>
      <c r="BB9" s="6"/>
      <c r="BC9" s="6"/>
      <c r="BD9" s="7">
        <f>ROUND(16.55,2)</f>
        <v>16.55</v>
      </c>
      <c r="BE9" s="6"/>
      <c r="BF9" s="7">
        <f>ROUND(0.45,2)</f>
        <v>0.45</v>
      </c>
      <c r="BG9" s="6"/>
      <c r="BH9" s="6"/>
      <c r="BI9" s="6"/>
      <c r="BJ9" s="6"/>
      <c r="BK9" s="6"/>
      <c r="BL9" s="6"/>
      <c r="BM9" s="6"/>
      <c r="BN9" s="6"/>
      <c r="BO9" s="6"/>
      <c r="BP9" s="6"/>
      <c r="BQ9" s="7">
        <f>ROUND(72,2)</f>
        <v>72</v>
      </c>
      <c r="BR9" s="7">
        <f>ROUND(0.12,2)</f>
        <v>0.12</v>
      </c>
      <c r="BS9" s="6"/>
      <c r="BT9" s="6"/>
      <c r="BU9" s="6"/>
      <c r="BV9" s="6"/>
      <c r="BW9" s="7">
        <f>ROUND(8,2)</f>
        <v>8</v>
      </c>
      <c r="BX9" s="6"/>
      <c r="BY9" s="7">
        <f>ROUND(32,2)</f>
        <v>32</v>
      </c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7">
        <f>ROUND(2755.86,2)</f>
        <v>2755.86</v>
      </c>
      <c r="CR9" s="6"/>
      <c r="CS9" s="6"/>
      <c r="CT9" s="6"/>
      <c r="CU9" s="6"/>
      <c r="CV9" s="7">
        <f>ROUND(58592.0599999999,2)</f>
        <v>58592.06</v>
      </c>
      <c r="CW9" s="6"/>
      <c r="CX9" s="6"/>
      <c r="CY9" s="7">
        <f>ROUND(17320.17,2)</f>
        <v>17320.169999999998</v>
      </c>
      <c r="CZ9" s="6"/>
      <c r="DA9" s="6"/>
      <c r="DB9" s="6"/>
      <c r="DC9" s="6"/>
      <c r="DD9" s="6"/>
      <c r="DE9" s="7">
        <f>ROUND(1284.09,2)</f>
        <v>1284.0899999999999</v>
      </c>
      <c r="DF9" s="7">
        <f>ROUND(43.24,2)</f>
        <v>43.24</v>
      </c>
      <c r="DG9" s="7">
        <f>ROUND(7.7,2)</f>
        <v>7.7</v>
      </c>
      <c r="DH9" s="6"/>
      <c r="DI9" s="6"/>
      <c r="DJ9" s="6"/>
      <c r="DK9" s="6"/>
      <c r="DL9" s="6"/>
      <c r="DM9" s="6"/>
      <c r="DN9" s="6"/>
      <c r="DO9" s="6"/>
      <c r="DP9" s="7">
        <f>ROUND(1478.75,2)</f>
        <v>1478.75</v>
      </c>
      <c r="DQ9" s="6"/>
      <c r="DR9" s="6"/>
      <c r="DS9" s="6"/>
      <c r="DT9" s="6"/>
      <c r="DU9" s="6"/>
      <c r="DV9" s="6"/>
      <c r="DW9" s="6"/>
      <c r="DX9" s="6"/>
      <c r="DY9" s="6"/>
      <c r="DZ9" s="6"/>
      <c r="EA9" s="7">
        <f>ROUND(6954.69,2)</f>
        <v>6954.69</v>
      </c>
      <c r="EB9" s="6"/>
      <c r="EC9" s="6"/>
      <c r="ED9" s="7">
        <f>ROUND(1885.75,2)</f>
        <v>1885.75</v>
      </c>
      <c r="EE9" s="6"/>
      <c r="EF9" s="7">
        <f>ROUND(165.25,2)</f>
        <v>165.25</v>
      </c>
      <c r="EG9" s="7">
        <f>ROUND(941.93,2)</f>
        <v>941.93</v>
      </c>
      <c r="EH9" s="7">
        <f>ROUND(4864.59,2)</f>
        <v>4864.59</v>
      </c>
      <c r="EI9" s="7">
        <f>ROUND(2547.45,2)</f>
        <v>2547.4499999999998</v>
      </c>
      <c r="EJ9" s="6"/>
      <c r="EK9" s="6"/>
      <c r="EL9" s="6"/>
      <c r="EM9" s="6"/>
      <c r="EN9" s="7">
        <f>ROUND(539.73,2)</f>
        <v>539.73</v>
      </c>
      <c r="EO9" s="6"/>
      <c r="EP9" s="7">
        <f>ROUND(21.66,2)</f>
        <v>21.66</v>
      </c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7">
        <f>ROUND(2439.36,2)</f>
        <v>2439.36</v>
      </c>
      <c r="FE9" s="7">
        <f>ROUND(6.1,2)</f>
        <v>6.1</v>
      </c>
      <c r="FF9" s="6"/>
      <c r="FG9" s="6"/>
      <c r="FH9" s="6"/>
      <c r="FI9" s="6"/>
      <c r="FJ9" s="7">
        <f>ROUND(1250,2)</f>
        <v>1250</v>
      </c>
      <c r="FK9" s="6"/>
      <c r="FL9" s="6"/>
      <c r="FM9" s="6"/>
      <c r="FN9" s="6"/>
      <c r="FO9" s="6"/>
      <c r="FP9" s="6"/>
      <c r="FQ9" s="6"/>
      <c r="FR9" s="6"/>
      <c r="FS9" s="6"/>
      <c r="FT9" s="7">
        <f>ROUND(3000,2)</f>
        <v>3000</v>
      </c>
      <c r="FU9" s="6"/>
      <c r="FV9" s="6"/>
      <c r="FW9" s="6"/>
      <c r="FX9" s="6"/>
      <c r="FY9" s="7">
        <f>ROUND(103342.519999999,2)</f>
        <v>103342.52</v>
      </c>
    </row>
    <row r="10" spans="1:181" ht="26.4" x14ac:dyDescent="0.3">
      <c r="A10" s="4" t="s">
        <v>200</v>
      </c>
      <c r="B10" s="5"/>
      <c r="C10" s="5" t="s">
        <v>201</v>
      </c>
      <c r="D10" s="5" t="s">
        <v>202</v>
      </c>
      <c r="E10" s="5" t="s">
        <v>0</v>
      </c>
      <c r="F10" s="5" t="s">
        <v>0</v>
      </c>
      <c r="G10" s="5" t="s">
        <v>203</v>
      </c>
      <c r="H10" s="8">
        <f>ROUND(18,2)</f>
        <v>18</v>
      </c>
      <c r="I10" s="7">
        <f>ROUND(9204.75,2)</f>
        <v>9204.75</v>
      </c>
      <c r="J10" s="7">
        <f>ROUND(479.5,2)</f>
        <v>479.5</v>
      </c>
      <c r="K10" s="7">
        <f>ROUND(0.25,2)</f>
        <v>0.25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7">
        <f>ROUND(14,2)</f>
        <v>14</v>
      </c>
      <c r="CH10" s="7">
        <f>ROUND(5,2)</f>
        <v>5</v>
      </c>
      <c r="CI10" s="6"/>
      <c r="CJ10" s="6"/>
      <c r="CK10" s="6"/>
      <c r="CL10" s="6"/>
      <c r="CM10" s="6"/>
      <c r="CN10" s="6"/>
      <c r="CO10" s="6"/>
      <c r="CP10" s="6"/>
      <c r="CQ10" s="7">
        <f>ROUND(498.75,2)</f>
        <v>498.75</v>
      </c>
      <c r="CR10" s="7">
        <f>ROUND(8631,2)</f>
        <v>8631</v>
      </c>
      <c r="CS10" s="7">
        <f>ROUND(6.75,2)</f>
        <v>6.75</v>
      </c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7">
        <f>ROUND(225,2)</f>
        <v>225</v>
      </c>
      <c r="FK10" s="6"/>
      <c r="FL10" s="6"/>
      <c r="FM10" s="7">
        <f>ROUND(252,2)</f>
        <v>252</v>
      </c>
      <c r="FN10" s="7">
        <f>ROUND(90,2)</f>
        <v>90</v>
      </c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7">
        <f>ROUND(9204.75,2)</f>
        <v>9204.75</v>
      </c>
    </row>
    <row r="11" spans="1:181" x14ac:dyDescent="0.3">
      <c r="A11" s="4" t="s">
        <v>204</v>
      </c>
      <c r="B11" s="5" t="s">
        <v>1029</v>
      </c>
      <c r="C11" s="5" t="s">
        <v>181</v>
      </c>
      <c r="D11" s="5" t="s">
        <v>196</v>
      </c>
      <c r="E11" s="5" t="s">
        <v>0</v>
      </c>
      <c r="F11" s="5" t="s">
        <v>0</v>
      </c>
      <c r="G11" s="5" t="s">
        <v>183</v>
      </c>
      <c r="H11" s="8">
        <v>33.380000000000003</v>
      </c>
      <c r="I11" s="7">
        <f>ROUND(92041.88,2)</f>
        <v>92041.88</v>
      </c>
      <c r="J11" s="6"/>
      <c r="K11" s="6"/>
      <c r="L11" s="6"/>
      <c r="M11" s="6"/>
      <c r="N11" s="7">
        <f>ROUND(1691.1,2)</f>
        <v>1691.1</v>
      </c>
      <c r="O11" s="6"/>
      <c r="P11" s="6"/>
      <c r="Q11" s="7">
        <f>ROUND(185.149999999999,2)</f>
        <v>185.15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>
        <f>ROUND(134.75,2)</f>
        <v>134.75</v>
      </c>
      <c r="AF11" s="6"/>
      <c r="AG11" s="7">
        <f>ROUND(177.75,2)</f>
        <v>177.75</v>
      </c>
      <c r="AH11" s="6"/>
      <c r="AI11" s="6"/>
      <c r="AJ11" s="6"/>
      <c r="AK11" s="6"/>
      <c r="AL11" s="6"/>
      <c r="AM11" s="6"/>
      <c r="AN11" s="6"/>
      <c r="AO11" s="6"/>
      <c r="AP11" s="7">
        <f>ROUND(121.72,2)</f>
        <v>121.72</v>
      </c>
      <c r="AQ11" s="6"/>
      <c r="AR11" s="7">
        <f>ROUND(2.53,2)</f>
        <v>2.5299999999999998</v>
      </c>
      <c r="AS11" s="6"/>
      <c r="AT11" s="6"/>
      <c r="AU11" s="7">
        <f>ROUND(68,2)</f>
        <v>68</v>
      </c>
      <c r="AV11" s="6"/>
      <c r="AW11" s="7">
        <f>ROUND(12.27,2)</f>
        <v>12.27</v>
      </c>
      <c r="AX11" s="7">
        <f>ROUND(11.73,2)</f>
        <v>11.73</v>
      </c>
      <c r="AY11" s="7">
        <f>ROUND(48,2)</f>
        <v>48</v>
      </c>
      <c r="AZ11" s="6"/>
      <c r="BA11" s="6"/>
      <c r="BB11" s="7">
        <f>ROUND(32,2)</f>
        <v>32</v>
      </c>
      <c r="BC11" s="6"/>
      <c r="BD11" s="7">
        <f>ROUND(8,2)</f>
        <v>8</v>
      </c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7">
        <f>ROUND(13,2)</f>
        <v>13</v>
      </c>
      <c r="BP11" s="6"/>
      <c r="BQ11" s="7">
        <f>ROUND(8,2)</f>
        <v>8</v>
      </c>
      <c r="BR11" s="6"/>
      <c r="BS11" s="6"/>
      <c r="BT11" s="7">
        <f>ROUND(0.3,2)</f>
        <v>0.3</v>
      </c>
      <c r="BU11" s="6"/>
      <c r="BV11" s="6"/>
      <c r="BW11" s="6"/>
      <c r="BX11" s="6"/>
      <c r="BY11" s="7">
        <f>ROUND(8,2)</f>
        <v>8</v>
      </c>
      <c r="BZ11" s="7">
        <f>ROUND(16,2)</f>
        <v>16</v>
      </c>
      <c r="CA11" s="7">
        <f>ROUND(13,2)</f>
        <v>13</v>
      </c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7">
        <f>ROUND(2551.3,2)</f>
        <v>2551.3000000000002</v>
      </c>
      <c r="CR11" s="6"/>
      <c r="CS11" s="6"/>
      <c r="CT11" s="6"/>
      <c r="CU11" s="6"/>
      <c r="CV11" s="7">
        <f>ROUND(55189.5799999999,2)</f>
        <v>55189.58</v>
      </c>
      <c r="CW11" s="6"/>
      <c r="CX11" s="6"/>
      <c r="CY11" s="7">
        <f>ROUND(8998.69999999999,2)</f>
        <v>8998.7000000000007</v>
      </c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7">
        <f>ROUND(4422.19,2)</f>
        <v>4422.1899999999996</v>
      </c>
      <c r="DO11" s="6"/>
      <c r="DP11" s="7">
        <f>ROUND(8740.60999999999,2)</f>
        <v>8740.61</v>
      </c>
      <c r="DQ11" s="6"/>
      <c r="DR11" s="6"/>
      <c r="DS11" s="6"/>
      <c r="DT11" s="6"/>
      <c r="DU11" s="6"/>
      <c r="DV11" s="6"/>
      <c r="DW11" s="6"/>
      <c r="DX11" s="6"/>
      <c r="DY11" s="7">
        <f>ROUND(3912.98,2)</f>
        <v>3912.98</v>
      </c>
      <c r="DZ11" s="6"/>
      <c r="EA11" s="7">
        <f>ROUND(121.78,2)</f>
        <v>121.78</v>
      </c>
      <c r="EB11" s="6"/>
      <c r="EC11" s="6"/>
      <c r="ED11" s="7">
        <f>ROUND(2215.48,2)</f>
        <v>2215.48</v>
      </c>
      <c r="EE11" s="6"/>
      <c r="EF11" s="7">
        <f>ROUND(405.52,2)</f>
        <v>405.52</v>
      </c>
      <c r="EG11" s="7">
        <f>ROUND(581.51,2)</f>
        <v>581.51</v>
      </c>
      <c r="EH11" s="7">
        <f>ROUND(1555.67999999999,2)</f>
        <v>1555.68</v>
      </c>
      <c r="EI11" s="6"/>
      <c r="EJ11" s="6"/>
      <c r="EK11" s="7">
        <f>ROUND(1042.24,2)</f>
        <v>1042.24</v>
      </c>
      <c r="EL11" s="6"/>
      <c r="EM11" s="6"/>
      <c r="EN11" s="7">
        <f>ROUND(256.72,2)</f>
        <v>256.72000000000003</v>
      </c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7">
        <f>ROUND(417.17,2)</f>
        <v>417.17</v>
      </c>
      <c r="FC11" s="6"/>
      <c r="FD11" s="7">
        <f>ROUND(256.72,2)</f>
        <v>256.72000000000003</v>
      </c>
      <c r="FE11" s="6"/>
      <c r="FF11" s="6"/>
      <c r="FG11" s="6"/>
      <c r="FH11" s="6"/>
      <c r="FI11" s="6"/>
      <c r="FJ11" s="7">
        <f>ROUND(925,2)</f>
        <v>925</v>
      </c>
      <c r="FK11" s="6"/>
      <c r="FL11" s="6"/>
      <c r="FM11" s="6"/>
      <c r="FN11" s="6"/>
      <c r="FO11" s="6"/>
      <c r="FP11" s="6"/>
      <c r="FQ11" s="6"/>
      <c r="FR11" s="6"/>
      <c r="FS11" s="6"/>
      <c r="FT11" s="7">
        <f>ROUND(3000,2)</f>
        <v>3000</v>
      </c>
      <c r="FU11" s="6"/>
      <c r="FV11" s="6"/>
      <c r="FW11" s="6"/>
      <c r="FX11" s="6"/>
      <c r="FY11" s="7">
        <f>ROUND(92041.88,2)</f>
        <v>92041.88</v>
      </c>
    </row>
    <row r="12" spans="1:181" x14ac:dyDescent="0.3">
      <c r="A12" s="4" t="s">
        <v>205</v>
      </c>
      <c r="B12" s="5" t="s">
        <v>1029</v>
      </c>
      <c r="C12" s="5" t="s">
        <v>181</v>
      </c>
      <c r="D12" s="5" t="s">
        <v>206</v>
      </c>
      <c r="E12" s="5" t="s">
        <v>0</v>
      </c>
      <c r="F12" s="5" t="s">
        <v>0</v>
      </c>
      <c r="G12" s="5" t="s">
        <v>183</v>
      </c>
      <c r="H12" s="8">
        <v>33.380000000000003</v>
      </c>
      <c r="I12" s="7">
        <f>ROUND(96142.4999999999,2)</f>
        <v>96142.5</v>
      </c>
      <c r="J12" s="6"/>
      <c r="K12" s="6"/>
      <c r="L12" s="6"/>
      <c r="M12" s="6"/>
      <c r="N12" s="7">
        <f>ROUND(1464.4,2)</f>
        <v>1464.4</v>
      </c>
      <c r="O12" s="6"/>
      <c r="P12" s="6"/>
      <c r="Q12" s="7">
        <f>ROUND(264.86,2)</f>
        <v>264.86</v>
      </c>
      <c r="R12" s="6"/>
      <c r="S12" s="6"/>
      <c r="T12" s="6"/>
      <c r="U12" s="6"/>
      <c r="V12" s="6"/>
      <c r="W12" s="7">
        <f>ROUND(6.4,2)</f>
        <v>6.4</v>
      </c>
      <c r="X12" s="7">
        <f>ROUND(2.92999999999999,2)</f>
        <v>2.93</v>
      </c>
      <c r="Y12" s="7">
        <f>ROUND(2.34,2)</f>
        <v>2.34</v>
      </c>
      <c r="Z12" s="6"/>
      <c r="AA12" s="6"/>
      <c r="AB12" s="6"/>
      <c r="AC12" s="6"/>
      <c r="AD12" s="6"/>
      <c r="AE12" s="7">
        <f>ROUND(76.83,2)</f>
        <v>76.83</v>
      </c>
      <c r="AF12" s="6"/>
      <c r="AG12" s="7">
        <f>ROUND(2.75,2)</f>
        <v>2.75</v>
      </c>
      <c r="AH12" s="6"/>
      <c r="AI12" s="6"/>
      <c r="AJ12" s="6"/>
      <c r="AK12" s="6"/>
      <c r="AL12" s="6"/>
      <c r="AM12" s="6"/>
      <c r="AN12" s="6"/>
      <c r="AO12" s="6"/>
      <c r="AP12" s="7">
        <f>ROUND(313.869999999999,2)</f>
        <v>313.87</v>
      </c>
      <c r="AQ12" s="6"/>
      <c r="AR12" s="7">
        <f>ROUND(109.42,2)</f>
        <v>109.42</v>
      </c>
      <c r="AS12" s="6"/>
      <c r="AT12" s="6"/>
      <c r="AU12" s="7">
        <f>ROUND(68.52,2)</f>
        <v>68.52</v>
      </c>
      <c r="AV12" s="7">
        <f>ROUND(7.48,2)</f>
        <v>7.48</v>
      </c>
      <c r="AW12" s="7">
        <f>ROUND(27.35,2)</f>
        <v>27.35</v>
      </c>
      <c r="AX12" s="7">
        <f>ROUND(6.65,2)</f>
        <v>6.65</v>
      </c>
      <c r="AY12" s="7">
        <f>ROUND(78.25,2)</f>
        <v>78.25</v>
      </c>
      <c r="AZ12" s="7">
        <f>ROUND(23.75,2)</f>
        <v>23.75</v>
      </c>
      <c r="BA12" s="6"/>
      <c r="BB12" s="7">
        <f>ROUND(10,2)</f>
        <v>10</v>
      </c>
      <c r="BC12" s="6"/>
      <c r="BD12" s="7">
        <f>ROUND(12.07,2)</f>
        <v>12.07</v>
      </c>
      <c r="BE12" s="7">
        <f>ROUND(2.25,2)</f>
        <v>2.25</v>
      </c>
      <c r="BF12" s="7">
        <f>ROUND(4.93,2)</f>
        <v>4.93</v>
      </c>
      <c r="BG12" s="7">
        <f>ROUND(46.3,2)</f>
        <v>46.3</v>
      </c>
      <c r="BH12" s="6"/>
      <c r="BI12" s="6"/>
      <c r="BJ12" s="6"/>
      <c r="BK12" s="6"/>
      <c r="BL12" s="6"/>
      <c r="BM12" s="6"/>
      <c r="BN12" s="6"/>
      <c r="BO12" s="7">
        <f>ROUND(10,2)</f>
        <v>10</v>
      </c>
      <c r="BP12" s="6"/>
      <c r="BQ12" s="7">
        <f>ROUND(23.25,2)</f>
        <v>23.25</v>
      </c>
      <c r="BR12" s="6"/>
      <c r="BS12" s="6"/>
      <c r="BT12" s="7">
        <f>ROUND(0.25,2)</f>
        <v>0.25</v>
      </c>
      <c r="BU12" s="6"/>
      <c r="BV12" s="6"/>
      <c r="BW12" s="6"/>
      <c r="BX12" s="6"/>
      <c r="BY12" s="7">
        <f>ROUND(8,2)</f>
        <v>8</v>
      </c>
      <c r="BZ12" s="6"/>
      <c r="CA12" s="7">
        <f>ROUND(10,2)</f>
        <v>10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7">
        <f>ROUND(24,2)</f>
        <v>24</v>
      </c>
      <c r="CQ12" s="7">
        <f>ROUND(2606.84999999999,2)</f>
        <v>2606.85</v>
      </c>
      <c r="CR12" s="6"/>
      <c r="CS12" s="6"/>
      <c r="CT12" s="6"/>
      <c r="CU12" s="6"/>
      <c r="CV12" s="7">
        <f>ROUND(47948.2399999999,2)</f>
        <v>47948.24</v>
      </c>
      <c r="CW12" s="6"/>
      <c r="CX12" s="6"/>
      <c r="CY12" s="7">
        <f>ROUND(13063.37,2)</f>
        <v>13063.37</v>
      </c>
      <c r="CZ12" s="6"/>
      <c r="DA12" s="6"/>
      <c r="DB12" s="6"/>
      <c r="DC12" s="6"/>
      <c r="DD12" s="6"/>
      <c r="DE12" s="7">
        <f>ROUND(308.06,2)</f>
        <v>308.06</v>
      </c>
      <c r="DF12" s="7">
        <f>ROUND(96.6499999999999,2)</f>
        <v>96.65</v>
      </c>
      <c r="DG12" s="7">
        <f>ROUND(115.47,2)</f>
        <v>115.47</v>
      </c>
      <c r="DH12" s="6"/>
      <c r="DI12" s="6"/>
      <c r="DJ12" s="6"/>
      <c r="DK12" s="6"/>
      <c r="DL12" s="6"/>
      <c r="DM12" s="6"/>
      <c r="DN12" s="7">
        <f>ROUND(2505.98,2)</f>
        <v>2505.98</v>
      </c>
      <c r="DO12" s="6"/>
      <c r="DP12" s="7">
        <f>ROUND(132.37,2)</f>
        <v>132.37</v>
      </c>
      <c r="DQ12" s="6"/>
      <c r="DR12" s="6"/>
      <c r="DS12" s="6"/>
      <c r="DT12" s="6"/>
      <c r="DU12" s="6"/>
      <c r="DV12" s="6"/>
      <c r="DW12" s="6"/>
      <c r="DX12" s="6"/>
      <c r="DY12" s="7">
        <f>ROUND(10215.29,2)</f>
        <v>10215.290000000001</v>
      </c>
      <c r="DZ12" s="6"/>
      <c r="EA12" s="7">
        <f>ROUND(5356.91,2)</f>
        <v>5356.91</v>
      </c>
      <c r="EB12" s="6"/>
      <c r="EC12" s="6"/>
      <c r="ED12" s="7">
        <f>ROUND(2227.57,2)</f>
        <v>2227.5700000000002</v>
      </c>
      <c r="EE12" s="7">
        <f>ROUND(370.86,2)</f>
        <v>370.86</v>
      </c>
      <c r="EF12" s="7">
        <f>ROUND(882.699999999999,2)</f>
        <v>882.7</v>
      </c>
      <c r="EG12" s="7">
        <f>ROUND(324.06,2)</f>
        <v>324.06</v>
      </c>
      <c r="EH12" s="7">
        <f>ROUND(2532.35,2)</f>
        <v>2532.35</v>
      </c>
      <c r="EI12" s="7">
        <f>ROUND(1168.84,2)</f>
        <v>1168.8399999999999</v>
      </c>
      <c r="EJ12" s="6"/>
      <c r="EK12" s="7">
        <f>ROUND(330.5,2)</f>
        <v>330.5</v>
      </c>
      <c r="EL12" s="6"/>
      <c r="EM12" s="6"/>
      <c r="EN12" s="7">
        <f>ROUND(395.969999999999,2)</f>
        <v>395.97</v>
      </c>
      <c r="EO12" s="7">
        <f>ROUND(72.2,2)</f>
        <v>72.2</v>
      </c>
      <c r="EP12" s="7">
        <f>ROUND(237.31,2)</f>
        <v>237.31</v>
      </c>
      <c r="EQ12" s="7">
        <f>ROUND(1485.77,2)</f>
        <v>1485.77</v>
      </c>
      <c r="ER12" s="6"/>
      <c r="ES12" s="6"/>
      <c r="ET12" s="6"/>
      <c r="EU12" s="6"/>
      <c r="EV12" s="7">
        <f>ROUND(500,2)</f>
        <v>500</v>
      </c>
      <c r="EW12" s="6"/>
      <c r="EX12" s="6"/>
      <c r="EY12" s="6"/>
      <c r="EZ12" s="6"/>
      <c r="FA12" s="6"/>
      <c r="FB12" s="7">
        <f>ROUND(320.9,2)</f>
        <v>320.89999999999998</v>
      </c>
      <c r="FC12" s="6"/>
      <c r="FD12" s="7">
        <f>ROUND(775.01,2)</f>
        <v>775.01</v>
      </c>
      <c r="FE12" s="6"/>
      <c r="FF12" s="6"/>
      <c r="FG12" s="6"/>
      <c r="FH12" s="6"/>
      <c r="FI12" s="6"/>
      <c r="FJ12" s="7">
        <f>ROUND(975,2)</f>
        <v>975</v>
      </c>
      <c r="FK12" s="6"/>
      <c r="FL12" s="6"/>
      <c r="FM12" s="6"/>
      <c r="FN12" s="6"/>
      <c r="FO12" s="6"/>
      <c r="FP12" s="6"/>
      <c r="FQ12" s="6"/>
      <c r="FR12" s="6"/>
      <c r="FS12" s="6"/>
      <c r="FT12" s="7">
        <f>ROUND(3000,2)</f>
        <v>3000</v>
      </c>
      <c r="FU12" s="6"/>
      <c r="FV12" s="6"/>
      <c r="FW12" s="6"/>
      <c r="FX12" s="7">
        <f>ROUND(801.12,2)</f>
        <v>801.12</v>
      </c>
      <c r="FY12" s="7">
        <f>ROUND(96142.4999999999,2)</f>
        <v>96142.5</v>
      </c>
    </row>
    <row r="13" spans="1:181" x14ac:dyDescent="0.3">
      <c r="A13" s="4" t="s">
        <v>207</v>
      </c>
      <c r="B13" s="5" t="s">
        <v>1029</v>
      </c>
      <c r="C13" s="5" t="s">
        <v>181</v>
      </c>
      <c r="D13" s="5" t="s">
        <v>196</v>
      </c>
      <c r="E13" s="5" t="s">
        <v>0</v>
      </c>
      <c r="F13" s="5" t="s">
        <v>0</v>
      </c>
      <c r="G13" s="5" t="s">
        <v>183</v>
      </c>
      <c r="H13" s="8">
        <v>33.380000000000003</v>
      </c>
      <c r="I13" s="7">
        <f>ROUND(80614.18,2)</f>
        <v>80614.179999999993</v>
      </c>
      <c r="J13" s="6"/>
      <c r="K13" s="6"/>
      <c r="L13" s="6"/>
      <c r="M13" s="6"/>
      <c r="N13" s="7">
        <f>ROUND(1416.72999999999,2)</f>
        <v>1416.73</v>
      </c>
      <c r="O13" s="6"/>
      <c r="P13" s="6"/>
      <c r="Q13" s="7">
        <f>ROUND(200.01,2)</f>
        <v>200.01</v>
      </c>
      <c r="R13" s="6"/>
      <c r="S13" s="6"/>
      <c r="T13" s="6"/>
      <c r="U13" s="6"/>
      <c r="V13" s="6"/>
      <c r="W13" s="6"/>
      <c r="X13" s="6"/>
      <c r="Y13" s="6"/>
      <c r="Z13" s="7">
        <f>ROUND(0.53,2)</f>
        <v>0.53</v>
      </c>
      <c r="AA13" s="6"/>
      <c r="AB13" s="6"/>
      <c r="AC13" s="6"/>
      <c r="AD13" s="6"/>
      <c r="AE13" s="7">
        <f>ROUND(341.809999999999,2)</f>
        <v>341.81</v>
      </c>
      <c r="AF13" s="6"/>
      <c r="AG13" s="7">
        <f>ROUND(0.52,2)</f>
        <v>0.52</v>
      </c>
      <c r="AH13" s="6"/>
      <c r="AI13" s="6"/>
      <c r="AJ13" s="6"/>
      <c r="AK13" s="6"/>
      <c r="AL13" s="6"/>
      <c r="AM13" s="6"/>
      <c r="AN13" s="6"/>
      <c r="AO13" s="6"/>
      <c r="AP13" s="7">
        <f>ROUND(53.33,2)</f>
        <v>53.33</v>
      </c>
      <c r="AQ13" s="6"/>
      <c r="AR13" s="6"/>
      <c r="AS13" s="6"/>
      <c r="AT13" s="6"/>
      <c r="AU13" s="7">
        <f>ROUND(67.97,2)</f>
        <v>67.97</v>
      </c>
      <c r="AV13" s="7">
        <f>ROUND(0.03,2)</f>
        <v>0.03</v>
      </c>
      <c r="AW13" s="7">
        <f>ROUND(21.51,2)</f>
        <v>21.51</v>
      </c>
      <c r="AX13" s="7">
        <f>ROUND(34.49,2)</f>
        <v>34.49</v>
      </c>
      <c r="AY13" s="7">
        <f>ROUND(50.15,2)</f>
        <v>50.15</v>
      </c>
      <c r="AZ13" s="7">
        <f>ROUND(13.85,2)</f>
        <v>13.85</v>
      </c>
      <c r="BA13" s="6"/>
      <c r="BB13" s="7">
        <f>ROUND(24,2)</f>
        <v>24</v>
      </c>
      <c r="BC13" s="6"/>
      <c r="BD13" s="7">
        <f t="shared" ref="BD13:BD19" si="0">ROUND(8,2)</f>
        <v>8</v>
      </c>
      <c r="BE13" s="7">
        <f>ROUND(3.92,2)</f>
        <v>3.92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7">
        <f>ROUND(66.88,2)</f>
        <v>66.88</v>
      </c>
      <c r="BT13" s="7">
        <f>ROUND(4.5,2)</f>
        <v>4.5</v>
      </c>
      <c r="BU13" s="6"/>
      <c r="BV13" s="6"/>
      <c r="BW13" s="6"/>
      <c r="BX13" s="6"/>
      <c r="BY13" s="7">
        <f>ROUND(16,2)</f>
        <v>16</v>
      </c>
      <c r="BZ13" s="7">
        <f>ROUND(24,2)</f>
        <v>24</v>
      </c>
      <c r="CA13" s="7">
        <f>ROUND(80.15,2)</f>
        <v>80.150000000000006</v>
      </c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7">
        <f>ROUND(2428.38,2)</f>
        <v>2428.38</v>
      </c>
      <c r="CR13" s="6"/>
      <c r="CS13" s="6"/>
      <c r="CT13" s="6"/>
      <c r="CU13" s="6"/>
      <c r="CV13" s="7">
        <f>ROUND(46370.3199999999,2)</f>
        <v>46370.32</v>
      </c>
      <c r="CW13" s="6"/>
      <c r="CX13" s="6"/>
      <c r="CY13" s="7">
        <f>ROUND(9795.07999999999,2)</f>
        <v>9795.08</v>
      </c>
      <c r="CZ13" s="6"/>
      <c r="DA13" s="6"/>
      <c r="DB13" s="6"/>
      <c r="DC13" s="6"/>
      <c r="DD13" s="6"/>
      <c r="DE13" s="6"/>
      <c r="DF13" s="6"/>
      <c r="DG13" s="6"/>
      <c r="DH13" s="7">
        <f>ROUND(35.03,2)</f>
        <v>35.03</v>
      </c>
      <c r="DI13" s="6"/>
      <c r="DJ13" s="6"/>
      <c r="DK13" s="6"/>
      <c r="DL13" s="6"/>
      <c r="DM13" s="6"/>
      <c r="DN13" s="7">
        <f>ROUND(11047.68,2)</f>
        <v>11047.68</v>
      </c>
      <c r="DO13" s="6"/>
      <c r="DP13" s="7">
        <f>ROUND(25.15,2)</f>
        <v>25.15</v>
      </c>
      <c r="DQ13" s="6"/>
      <c r="DR13" s="6"/>
      <c r="DS13" s="6"/>
      <c r="DT13" s="6"/>
      <c r="DU13" s="6"/>
      <c r="DV13" s="6"/>
      <c r="DW13" s="6"/>
      <c r="DX13" s="6"/>
      <c r="DY13" s="7">
        <f>ROUND(1764.35,2)</f>
        <v>1764.35</v>
      </c>
      <c r="DZ13" s="6"/>
      <c r="EA13" s="6"/>
      <c r="EB13" s="6"/>
      <c r="EC13" s="6"/>
      <c r="ED13" s="7">
        <f>ROUND(2214.49,2)</f>
        <v>2214.4899999999998</v>
      </c>
      <c r="EE13" s="7">
        <f>ROUND(1.49,2)</f>
        <v>1.49</v>
      </c>
      <c r="EF13" s="7">
        <f>ROUND(705.3,2)</f>
        <v>705.3</v>
      </c>
      <c r="EG13" s="7">
        <f>ROUND(1699.17999999999,2)</f>
        <v>1699.18</v>
      </c>
      <c r="EH13" s="7">
        <f>ROUND(1631.45,2)</f>
        <v>1631.45</v>
      </c>
      <c r="EI13" s="7">
        <f>ROUND(671.99,2)</f>
        <v>671.99</v>
      </c>
      <c r="EJ13" s="6"/>
      <c r="EK13" s="7">
        <f>ROUND(770.16,2)</f>
        <v>770.16</v>
      </c>
      <c r="EL13" s="6"/>
      <c r="EM13" s="6"/>
      <c r="EN13" s="7">
        <f t="shared" ref="EN13:EN19" si="1">ROUND(256.72,2)</f>
        <v>256.72000000000003</v>
      </c>
      <c r="EO13" s="7">
        <f>ROUND(125.79,2)</f>
        <v>125.79</v>
      </c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7">
        <f>ROUND(500,2)</f>
        <v>500</v>
      </c>
      <c r="FK13" s="6"/>
      <c r="FL13" s="6"/>
      <c r="FM13" s="6"/>
      <c r="FN13" s="6"/>
      <c r="FO13" s="6"/>
      <c r="FP13" s="6"/>
      <c r="FQ13" s="6"/>
      <c r="FR13" s="6"/>
      <c r="FS13" s="6"/>
      <c r="FT13" s="7">
        <f>ROUND(3000,2)</f>
        <v>3000</v>
      </c>
      <c r="FU13" s="6"/>
      <c r="FV13" s="6"/>
      <c r="FW13" s="6"/>
      <c r="FX13" s="6"/>
      <c r="FY13" s="7">
        <f>ROUND(80614.18,2)</f>
        <v>80614.179999999993</v>
      </c>
    </row>
    <row r="14" spans="1:181" x14ac:dyDescent="0.3">
      <c r="A14" s="4" t="s">
        <v>208</v>
      </c>
      <c r="B14" s="5" t="s">
        <v>1029</v>
      </c>
      <c r="C14" s="5" t="s">
        <v>181</v>
      </c>
      <c r="D14" s="5" t="s">
        <v>209</v>
      </c>
      <c r="E14" s="5" t="s">
        <v>210</v>
      </c>
      <c r="F14" s="5" t="s">
        <v>0</v>
      </c>
      <c r="G14" s="5" t="s">
        <v>183</v>
      </c>
      <c r="H14" s="8">
        <v>33.04</v>
      </c>
      <c r="I14" s="7">
        <f>ROUND(53641.4799999999,2)</f>
        <v>53641.48</v>
      </c>
      <c r="J14" s="6"/>
      <c r="K14" s="6"/>
      <c r="L14" s="6"/>
      <c r="M14" s="6"/>
      <c r="N14" s="7">
        <f>ROUND(1035.77999999999,2)</f>
        <v>1035.78</v>
      </c>
      <c r="O14" s="6"/>
      <c r="P14" s="6"/>
      <c r="Q14" s="7">
        <f>ROUND(75.62,2)</f>
        <v>75.62</v>
      </c>
      <c r="R14" s="6"/>
      <c r="S14" s="6"/>
      <c r="T14" s="6"/>
      <c r="U14" s="6"/>
      <c r="V14" s="7">
        <f>ROUND(12.57,2)</f>
        <v>12.57</v>
      </c>
      <c r="W14" s="7">
        <f>ROUND(4.47,2)</f>
        <v>4.47</v>
      </c>
      <c r="X14" s="6"/>
      <c r="Y14" s="6"/>
      <c r="Z14" s="6"/>
      <c r="AA14" s="6"/>
      <c r="AB14" s="6"/>
      <c r="AC14" s="6"/>
      <c r="AD14" s="6"/>
      <c r="AE14" s="7">
        <f>ROUND(125.839999999999,2)</f>
        <v>125.84</v>
      </c>
      <c r="AF14" s="6"/>
      <c r="AG14" s="7">
        <f>ROUND(4,2)</f>
        <v>4</v>
      </c>
      <c r="AH14" s="6"/>
      <c r="AI14" s="6"/>
      <c r="AJ14" s="6"/>
      <c r="AK14" s="6"/>
      <c r="AL14" s="6"/>
      <c r="AM14" s="6"/>
      <c r="AN14" s="6"/>
      <c r="AO14" s="6"/>
      <c r="AP14" s="7">
        <f>ROUND(179.98,2)</f>
        <v>179.98</v>
      </c>
      <c r="AQ14" s="6"/>
      <c r="AR14" s="6"/>
      <c r="AS14" s="6"/>
      <c r="AT14" s="6"/>
      <c r="AU14" s="7">
        <f>ROUND(53.08,2)</f>
        <v>53.08</v>
      </c>
      <c r="AV14" s="7">
        <f>ROUND(0.92,2)</f>
        <v>0.92</v>
      </c>
      <c r="AW14" s="7">
        <f>ROUND(16,2)</f>
        <v>16</v>
      </c>
      <c r="AX14" s="6"/>
      <c r="AY14" s="7">
        <f>ROUND(18,2)</f>
        <v>18</v>
      </c>
      <c r="AZ14" s="6"/>
      <c r="BA14" s="6"/>
      <c r="BB14" s="7">
        <f>ROUND(40,2)</f>
        <v>40</v>
      </c>
      <c r="BC14" s="6"/>
      <c r="BD14" s="7">
        <f t="shared" si="0"/>
        <v>8</v>
      </c>
      <c r="BE14" s="7">
        <f>ROUND(1.42,2)</f>
        <v>1.42</v>
      </c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7">
        <f>ROUND(4.8,2)</f>
        <v>4.8</v>
      </c>
      <c r="BU14" s="6"/>
      <c r="BV14" s="6"/>
      <c r="BW14" s="6"/>
      <c r="BX14" s="7">
        <f>ROUND(82,2)</f>
        <v>82</v>
      </c>
      <c r="BY14" s="6"/>
      <c r="BZ14" s="7">
        <f>ROUND(288,2)</f>
        <v>288</v>
      </c>
      <c r="CA14" s="7">
        <f>ROUND(58,2)</f>
        <v>58</v>
      </c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7">
        <f>ROUND(24,2)</f>
        <v>24</v>
      </c>
      <c r="CQ14" s="7">
        <f>ROUND(2032.48,2)</f>
        <v>2032.48</v>
      </c>
      <c r="CR14" s="6"/>
      <c r="CS14" s="6"/>
      <c r="CT14" s="6"/>
      <c r="CU14" s="6"/>
      <c r="CV14" s="7">
        <f>ROUND(33631.14,2)</f>
        <v>33631.14</v>
      </c>
      <c r="CW14" s="6"/>
      <c r="CX14" s="6"/>
      <c r="CY14" s="7">
        <f>ROUND(3651.02999999999,2)</f>
        <v>3651.03</v>
      </c>
      <c r="CZ14" s="6"/>
      <c r="DA14" s="6"/>
      <c r="DB14" s="6"/>
      <c r="DC14" s="6"/>
      <c r="DD14" s="7">
        <f>ROUND(403.37,2)</f>
        <v>403.37</v>
      </c>
      <c r="DE14" s="7">
        <f>ROUND(215.16,2)</f>
        <v>215.16</v>
      </c>
      <c r="DF14" s="6"/>
      <c r="DG14" s="6"/>
      <c r="DH14" s="6"/>
      <c r="DI14" s="6"/>
      <c r="DJ14" s="6"/>
      <c r="DK14" s="6"/>
      <c r="DL14" s="6"/>
      <c r="DM14" s="6"/>
      <c r="DN14" s="7">
        <f>ROUND(4101.30999999999,2)</f>
        <v>4101.3100000000004</v>
      </c>
      <c r="DO14" s="6"/>
      <c r="DP14" s="7">
        <f>ROUND(197.1,2)</f>
        <v>197.1</v>
      </c>
      <c r="DQ14" s="6"/>
      <c r="DR14" s="6"/>
      <c r="DS14" s="6"/>
      <c r="DT14" s="6"/>
      <c r="DU14" s="6"/>
      <c r="DV14" s="6"/>
      <c r="DW14" s="6"/>
      <c r="DX14" s="6"/>
      <c r="DY14" s="7">
        <f>ROUND(5855.7,2)</f>
        <v>5855.7</v>
      </c>
      <c r="DZ14" s="6"/>
      <c r="EA14" s="6"/>
      <c r="EB14" s="6"/>
      <c r="EC14" s="6"/>
      <c r="ED14" s="7">
        <f>ROUND(1719.73,2)</f>
        <v>1719.73</v>
      </c>
      <c r="EE14" s="7">
        <f>ROUND(45.61,2)</f>
        <v>45.61</v>
      </c>
      <c r="EF14" s="7">
        <f>ROUND(513.44,2)</f>
        <v>513.44000000000005</v>
      </c>
      <c r="EG14" s="6"/>
      <c r="EH14" s="7">
        <f>ROUND(577.62,2)</f>
        <v>577.62</v>
      </c>
      <c r="EI14" s="6"/>
      <c r="EJ14" s="6"/>
      <c r="EK14" s="7">
        <f>ROUND(1283.6,2)</f>
        <v>1283.5999999999999</v>
      </c>
      <c r="EL14" s="6"/>
      <c r="EM14" s="6"/>
      <c r="EN14" s="7">
        <f t="shared" si="1"/>
        <v>256.72000000000003</v>
      </c>
      <c r="EO14" s="7">
        <f>ROUND(46.93,2)</f>
        <v>46.93</v>
      </c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7">
        <f>ROUND(350,2)</f>
        <v>350</v>
      </c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7">
        <f>ROUND(793.02,2)</f>
        <v>793.02</v>
      </c>
      <c r="FY14" s="7">
        <f>ROUND(53641.4799999999,2)</f>
        <v>53641.48</v>
      </c>
    </row>
    <row r="15" spans="1:181" x14ac:dyDescent="0.3">
      <c r="A15" s="4" t="s">
        <v>211</v>
      </c>
      <c r="B15" s="5" t="s">
        <v>1029</v>
      </c>
      <c r="C15" s="5" t="s">
        <v>181</v>
      </c>
      <c r="D15" s="5" t="s">
        <v>212</v>
      </c>
      <c r="E15" s="5" t="s">
        <v>213</v>
      </c>
      <c r="F15" s="5" t="s">
        <v>0</v>
      </c>
      <c r="G15" s="5" t="s">
        <v>183</v>
      </c>
      <c r="H15" s="8">
        <v>33.380000000000003</v>
      </c>
      <c r="I15" s="7">
        <f>ROUND(60226.27,2)</f>
        <v>60226.27</v>
      </c>
      <c r="J15" s="6"/>
      <c r="K15" s="6"/>
      <c r="L15" s="6"/>
      <c r="M15" s="6"/>
      <c r="N15" s="7">
        <f>ROUND(1424.45999999999,2)</f>
        <v>1424.46</v>
      </c>
      <c r="O15" s="6"/>
      <c r="P15" s="6"/>
      <c r="Q15" s="7">
        <f>ROUND(67.9199999999999,2)</f>
        <v>67.92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7">
        <f>ROUND(52,2)</f>
        <v>52</v>
      </c>
      <c r="AV15" s="6"/>
      <c r="AW15" s="7">
        <f>ROUND(32,2)</f>
        <v>32</v>
      </c>
      <c r="AX15" s="6"/>
      <c r="AY15" s="7">
        <f>ROUND(101.63,2)</f>
        <v>101.63</v>
      </c>
      <c r="AZ15" s="7">
        <f>ROUND(2.37,2)</f>
        <v>2.37</v>
      </c>
      <c r="BA15" s="6"/>
      <c r="BB15" s="7">
        <f>ROUND(16,2)</f>
        <v>16</v>
      </c>
      <c r="BC15" s="6"/>
      <c r="BD15" s="7">
        <f t="shared" si="0"/>
        <v>8</v>
      </c>
      <c r="BE15" s="7">
        <f>ROUND(3.48,2)</f>
        <v>3.48</v>
      </c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7">
        <f>ROUND(280,2)</f>
        <v>280</v>
      </c>
      <c r="BT15" s="7">
        <f>ROUND(0.9,2)</f>
        <v>0.9</v>
      </c>
      <c r="BU15" s="7">
        <f>ROUND(64,2)</f>
        <v>64</v>
      </c>
      <c r="BV15" s="6"/>
      <c r="BW15" s="7">
        <f>ROUND(16,2)</f>
        <v>16</v>
      </c>
      <c r="BX15" s="7">
        <f>ROUND(88,2)</f>
        <v>88</v>
      </c>
      <c r="BY15" s="7">
        <f>ROUND(16,2)</f>
        <v>16</v>
      </c>
      <c r="BZ15" s="6"/>
      <c r="CA15" s="7">
        <f>ROUND(72,2)</f>
        <v>72</v>
      </c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7">
        <f>ROUND(2244.75999999999,2)</f>
        <v>2244.7600000000002</v>
      </c>
      <c r="CR15" s="6"/>
      <c r="CS15" s="6"/>
      <c r="CT15" s="6"/>
      <c r="CU15" s="6"/>
      <c r="CV15" s="7">
        <f>ROUND(46326.2399999999,2)</f>
        <v>46326.239999999998</v>
      </c>
      <c r="CW15" s="6"/>
      <c r="CX15" s="6"/>
      <c r="CY15" s="7">
        <f>ROUND(3312.72,2)</f>
        <v>3312.72</v>
      </c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7">
        <f>ROUND(1684.04,2)</f>
        <v>1684.04</v>
      </c>
      <c r="EE15" s="6"/>
      <c r="EF15" s="7">
        <f>ROUND(1026.88,2)</f>
        <v>1026.8800000000001</v>
      </c>
      <c r="EG15" s="6"/>
      <c r="EH15" s="7">
        <f>ROUND(3292.02999999999,2)</f>
        <v>3292.03</v>
      </c>
      <c r="EI15" s="7">
        <f>ROUND(114.08,2)</f>
        <v>114.08</v>
      </c>
      <c r="EJ15" s="6"/>
      <c r="EK15" s="7">
        <f>ROUND(513.44,2)</f>
        <v>513.44000000000005</v>
      </c>
      <c r="EL15" s="6"/>
      <c r="EM15" s="6"/>
      <c r="EN15" s="7">
        <f t="shared" si="1"/>
        <v>256.72000000000003</v>
      </c>
      <c r="EO15" s="7">
        <f>ROUND(111.68,2)</f>
        <v>111.68</v>
      </c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7">
        <f>ROUND(513.44,2)</f>
        <v>513.44000000000005</v>
      </c>
      <c r="FG15" s="6"/>
      <c r="FH15" s="6"/>
      <c r="FI15" s="6"/>
      <c r="FJ15" s="7">
        <f>ROUND(75,2)</f>
        <v>75</v>
      </c>
      <c r="FK15" s="6"/>
      <c r="FL15" s="6"/>
      <c r="FM15" s="6"/>
      <c r="FN15" s="6"/>
      <c r="FO15" s="6"/>
      <c r="FP15" s="6"/>
      <c r="FQ15" s="6"/>
      <c r="FR15" s="6"/>
      <c r="FS15" s="6"/>
      <c r="FT15" s="7">
        <f>ROUND(3000,2)</f>
        <v>3000</v>
      </c>
      <c r="FU15" s="6"/>
      <c r="FV15" s="6"/>
      <c r="FW15" s="6"/>
      <c r="FX15" s="6"/>
      <c r="FY15" s="7">
        <f>ROUND(60226.27,2)</f>
        <v>60226.27</v>
      </c>
    </row>
    <row r="16" spans="1:181" x14ac:dyDescent="0.3">
      <c r="A16" s="4" t="s">
        <v>214</v>
      </c>
      <c r="B16" s="5" t="s">
        <v>1029</v>
      </c>
      <c r="C16" s="5" t="s">
        <v>181</v>
      </c>
      <c r="D16" s="5" t="s">
        <v>215</v>
      </c>
      <c r="E16" s="5" t="s">
        <v>0</v>
      </c>
      <c r="F16" s="5" t="s">
        <v>0</v>
      </c>
      <c r="G16" s="5" t="s">
        <v>183</v>
      </c>
      <c r="H16" s="8">
        <v>33.380000000000003</v>
      </c>
      <c r="I16" s="7">
        <f>ROUND(103606.89,2)</f>
        <v>103606.89</v>
      </c>
      <c r="J16" s="6"/>
      <c r="K16" s="6"/>
      <c r="L16" s="6"/>
      <c r="M16" s="6"/>
      <c r="N16" s="7">
        <f>ROUND(1878.22999999999,2)</f>
        <v>1878.23</v>
      </c>
      <c r="O16" s="6"/>
      <c r="P16" s="6"/>
      <c r="Q16" s="7">
        <f>ROUND(554.249999999999,2)</f>
        <v>554.25</v>
      </c>
      <c r="R16" s="6"/>
      <c r="S16" s="6"/>
      <c r="T16" s="6"/>
      <c r="U16" s="7">
        <f>ROUND(0.17,2)</f>
        <v>0.17</v>
      </c>
      <c r="V16" s="7">
        <f>ROUND(5.7,2)</f>
        <v>5.7</v>
      </c>
      <c r="W16" s="7">
        <f>ROUND(3.88,2)</f>
        <v>3.88</v>
      </c>
      <c r="X16" s="7">
        <f>ROUND(2.51,2)</f>
        <v>2.5099999999999998</v>
      </c>
      <c r="Y16" s="7">
        <f>ROUND(0.24,2)</f>
        <v>0.24</v>
      </c>
      <c r="Z16" s="7">
        <f>ROUND(0.05,2)</f>
        <v>0.05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7">
        <f>ROUND(42.29,2)</f>
        <v>42.29</v>
      </c>
      <c r="AQ16" s="6"/>
      <c r="AR16" s="7">
        <f>ROUND(36.3799999999999,2)</f>
        <v>36.380000000000003</v>
      </c>
      <c r="AS16" s="6"/>
      <c r="AT16" s="6"/>
      <c r="AU16" s="7">
        <f>ROUND(68,2)</f>
        <v>68</v>
      </c>
      <c r="AV16" s="6"/>
      <c r="AW16" s="7">
        <f>ROUND(29.08,2)</f>
        <v>29.08</v>
      </c>
      <c r="AX16" s="7">
        <f>ROUND(2.92,2)</f>
        <v>2.92</v>
      </c>
      <c r="AY16" s="7">
        <f>ROUND(86.17,2)</f>
        <v>86.17</v>
      </c>
      <c r="AZ16" s="7">
        <f>ROUND(1.83,2)</f>
        <v>1.83</v>
      </c>
      <c r="BA16" s="6"/>
      <c r="BB16" s="7">
        <f>ROUND(32,2)</f>
        <v>32</v>
      </c>
      <c r="BC16" s="6"/>
      <c r="BD16" s="7">
        <f t="shared" si="0"/>
        <v>8</v>
      </c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7">
        <f>ROUND(5,2)</f>
        <v>5</v>
      </c>
      <c r="BU16" s="6"/>
      <c r="BV16" s="6"/>
      <c r="BW16" s="6"/>
      <c r="BX16" s="6"/>
      <c r="BY16" s="6"/>
      <c r="BZ16" s="6"/>
      <c r="CA16" s="7">
        <f>ROUND(8,2)</f>
        <v>8</v>
      </c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7">
        <f>ROUND(2764.7,2)</f>
        <v>2764.7</v>
      </c>
      <c r="CR16" s="6"/>
      <c r="CS16" s="6"/>
      <c r="CT16" s="6"/>
      <c r="CU16" s="6"/>
      <c r="CV16" s="7">
        <f>ROUND(61203.1399999999,2)</f>
        <v>61203.14</v>
      </c>
      <c r="CW16" s="6"/>
      <c r="CX16" s="6"/>
      <c r="CY16" s="7">
        <f>ROUND(27116.23,2)</f>
        <v>27116.23</v>
      </c>
      <c r="CZ16" s="6"/>
      <c r="DA16" s="6"/>
      <c r="DB16" s="6"/>
      <c r="DC16" s="7">
        <f>ROUND(11.24,2)</f>
        <v>11.24</v>
      </c>
      <c r="DD16" s="7">
        <f>ROUND(191.329999999999,2)</f>
        <v>191.33</v>
      </c>
      <c r="DE16" s="7">
        <f>ROUND(193.22,2)</f>
        <v>193.22</v>
      </c>
      <c r="DF16" s="7">
        <f>ROUND(81.43,2)</f>
        <v>81.430000000000007</v>
      </c>
      <c r="DG16" s="7">
        <f>ROUND(11.58,2)</f>
        <v>11.58</v>
      </c>
      <c r="DH16" s="7">
        <f>ROUND(3.31,2)</f>
        <v>3.31</v>
      </c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7">
        <f>ROUND(1392.83,2)</f>
        <v>1392.83</v>
      </c>
      <c r="DZ16" s="6"/>
      <c r="EA16" s="7">
        <f>ROUND(1758.45,2)</f>
        <v>1758.45</v>
      </c>
      <c r="EB16" s="6"/>
      <c r="EC16" s="6"/>
      <c r="ED16" s="7">
        <f>ROUND(2215.48,2)</f>
        <v>2215.48</v>
      </c>
      <c r="EE16" s="6"/>
      <c r="EF16" s="7">
        <f>ROUND(948.54,2)</f>
        <v>948.54</v>
      </c>
      <c r="EG16" s="7">
        <f>ROUND(140.55,2)</f>
        <v>140.55000000000001</v>
      </c>
      <c r="EH16" s="7">
        <f>ROUND(2832.56,2)</f>
        <v>2832.56</v>
      </c>
      <c r="EI16" s="7">
        <f>ROUND(90.72,2)</f>
        <v>90.72</v>
      </c>
      <c r="EJ16" s="6"/>
      <c r="EK16" s="7">
        <f>ROUND(1034.56,2)</f>
        <v>1034.56</v>
      </c>
      <c r="EL16" s="6"/>
      <c r="EM16" s="6"/>
      <c r="EN16" s="7">
        <f t="shared" si="1"/>
        <v>256.72000000000003</v>
      </c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7">
        <f>ROUND(1125,2)</f>
        <v>1125</v>
      </c>
      <c r="FK16" s="6"/>
      <c r="FL16" s="6"/>
      <c r="FM16" s="6"/>
      <c r="FN16" s="6"/>
      <c r="FO16" s="6"/>
      <c r="FP16" s="6"/>
      <c r="FQ16" s="6"/>
      <c r="FR16" s="6"/>
      <c r="FS16" s="6"/>
      <c r="FT16" s="7">
        <f>ROUND(3000,2)</f>
        <v>3000</v>
      </c>
      <c r="FU16" s="6"/>
      <c r="FV16" s="6"/>
      <c r="FW16" s="6"/>
      <c r="FX16" s="6"/>
      <c r="FY16" s="7">
        <f>ROUND(103606.89,2)</f>
        <v>103606.89</v>
      </c>
    </row>
    <row r="17" spans="1:181" x14ac:dyDescent="0.3">
      <c r="A17" s="4" t="s">
        <v>216</v>
      </c>
      <c r="B17" s="5" t="s">
        <v>1029</v>
      </c>
      <c r="C17" s="5" t="s">
        <v>181</v>
      </c>
      <c r="D17" s="5" t="s">
        <v>217</v>
      </c>
      <c r="E17" s="5" t="s">
        <v>0</v>
      </c>
      <c r="F17" s="5" t="s">
        <v>0</v>
      </c>
      <c r="G17" s="5" t="s">
        <v>183</v>
      </c>
      <c r="H17" s="8">
        <v>33.380000000000003</v>
      </c>
      <c r="I17" s="7">
        <f>ROUND(58659.4899999999,2)</f>
        <v>58659.49</v>
      </c>
      <c r="J17" s="6"/>
      <c r="K17" s="6"/>
      <c r="L17" s="6"/>
      <c r="M17" s="6"/>
      <c r="N17" s="7">
        <f>ROUND(926.06,2)</f>
        <v>926.06</v>
      </c>
      <c r="O17" s="6"/>
      <c r="P17" s="6"/>
      <c r="Q17" s="7">
        <f>ROUND(53.4299999999999,2)</f>
        <v>53.43</v>
      </c>
      <c r="R17" s="6"/>
      <c r="S17" s="6"/>
      <c r="T17" s="6"/>
      <c r="U17" s="6"/>
      <c r="V17" s="6"/>
      <c r="W17" s="6"/>
      <c r="X17" s="6"/>
      <c r="Y17" s="6"/>
      <c r="Z17" s="7">
        <f>ROUND(0.25,2)</f>
        <v>0.25</v>
      </c>
      <c r="AA17" s="6"/>
      <c r="AB17" s="6"/>
      <c r="AC17" s="6"/>
      <c r="AD17" s="6"/>
      <c r="AE17" s="7">
        <f>ROUND(69.63,2)</f>
        <v>69.63</v>
      </c>
      <c r="AF17" s="6"/>
      <c r="AG17" s="7">
        <f>ROUND(1.87,2)</f>
        <v>1.87</v>
      </c>
      <c r="AH17" s="6"/>
      <c r="AI17" s="6"/>
      <c r="AJ17" s="6"/>
      <c r="AK17" s="6"/>
      <c r="AL17" s="6"/>
      <c r="AM17" s="6"/>
      <c r="AN17" s="6"/>
      <c r="AO17" s="6"/>
      <c r="AP17" s="7">
        <f>ROUND(257.55,2)</f>
        <v>257.55</v>
      </c>
      <c r="AQ17" s="6"/>
      <c r="AR17" s="6"/>
      <c r="AS17" s="6"/>
      <c r="AT17" s="6"/>
      <c r="AU17" s="7">
        <f>ROUND(59.83,2)</f>
        <v>59.83</v>
      </c>
      <c r="AV17" s="7">
        <f>ROUND(6.16,2)</f>
        <v>6.16</v>
      </c>
      <c r="AW17" s="7">
        <f>ROUND(24.38,2)</f>
        <v>24.38</v>
      </c>
      <c r="AX17" s="7">
        <f>ROUND(7.62,2)</f>
        <v>7.62</v>
      </c>
      <c r="AY17" s="7">
        <f>ROUND(90,2)</f>
        <v>90</v>
      </c>
      <c r="AZ17" s="6"/>
      <c r="BA17" s="6"/>
      <c r="BB17" s="7">
        <f>ROUND(36,2)</f>
        <v>36</v>
      </c>
      <c r="BC17" s="6"/>
      <c r="BD17" s="7">
        <f t="shared" si="0"/>
        <v>8</v>
      </c>
      <c r="BE17" s="6"/>
      <c r="BF17" s="6"/>
      <c r="BG17" s="7">
        <f>ROUND(26,2)</f>
        <v>26</v>
      </c>
      <c r="BH17" s="6"/>
      <c r="BI17" s="6"/>
      <c r="BJ17" s="6"/>
      <c r="BK17" s="6"/>
      <c r="BL17" s="6"/>
      <c r="BM17" s="6"/>
      <c r="BN17" s="6"/>
      <c r="BO17" s="7">
        <f>ROUND(72,2)</f>
        <v>72</v>
      </c>
      <c r="BP17" s="6"/>
      <c r="BQ17" s="7">
        <f>ROUND(20,2)</f>
        <v>20</v>
      </c>
      <c r="BR17" s="6"/>
      <c r="BS17" s="7">
        <f>ROUND(32,2)</f>
        <v>32</v>
      </c>
      <c r="BT17" s="6"/>
      <c r="BU17" s="6"/>
      <c r="BV17" s="6"/>
      <c r="BW17" s="7">
        <f>ROUND(8,2)</f>
        <v>8</v>
      </c>
      <c r="BX17" s="6"/>
      <c r="BY17" s="7">
        <f>ROUND(8,2)</f>
        <v>8</v>
      </c>
      <c r="BZ17" s="6"/>
      <c r="CA17" s="7">
        <f>ROUND(10,2)</f>
        <v>10</v>
      </c>
      <c r="CB17" s="6"/>
      <c r="CC17" s="7">
        <f>ROUND(488,2)</f>
        <v>488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7">
        <f>ROUND(8,2)</f>
        <v>8</v>
      </c>
      <c r="CQ17" s="7">
        <f>ROUND(2212.78,2)</f>
        <v>2212.7800000000002</v>
      </c>
      <c r="CR17" s="6"/>
      <c r="CS17" s="6"/>
      <c r="CT17" s="6"/>
      <c r="CU17" s="6"/>
      <c r="CV17" s="7">
        <f>ROUND(29993.9699999999,2)</f>
        <v>29993.97</v>
      </c>
      <c r="CW17" s="6"/>
      <c r="CX17" s="6"/>
      <c r="CY17" s="7">
        <f>ROUND(2593.76,2)</f>
        <v>2593.7600000000002</v>
      </c>
      <c r="CZ17" s="6"/>
      <c r="DA17" s="6"/>
      <c r="DB17" s="6"/>
      <c r="DC17" s="6"/>
      <c r="DD17" s="6"/>
      <c r="DE17" s="6"/>
      <c r="DF17" s="6"/>
      <c r="DG17" s="6"/>
      <c r="DH17" s="7">
        <f>ROUND(16.05,2)</f>
        <v>16.05</v>
      </c>
      <c r="DI17" s="6"/>
      <c r="DJ17" s="6"/>
      <c r="DK17" s="6"/>
      <c r="DL17" s="6"/>
      <c r="DM17" s="6"/>
      <c r="DN17" s="7">
        <f>ROUND(2237.08,2)</f>
        <v>2237.08</v>
      </c>
      <c r="DO17" s="6"/>
      <c r="DP17" s="7">
        <f>ROUND(90.0099999999999,2)</f>
        <v>90.01</v>
      </c>
      <c r="DQ17" s="6"/>
      <c r="DR17" s="6"/>
      <c r="DS17" s="6"/>
      <c r="DT17" s="6"/>
      <c r="DU17" s="6"/>
      <c r="DV17" s="6"/>
      <c r="DW17" s="6"/>
      <c r="DX17" s="6"/>
      <c r="DY17" s="7">
        <f>ROUND(8331.06,2)</f>
        <v>8331.06</v>
      </c>
      <c r="DZ17" s="6"/>
      <c r="EA17" s="6"/>
      <c r="EB17" s="6"/>
      <c r="EC17" s="6"/>
      <c r="ED17" s="7">
        <f>ROUND(1939.7,2)</f>
        <v>1939.7</v>
      </c>
      <c r="EE17" s="7">
        <f>ROUND(305.41,2)</f>
        <v>305.41000000000003</v>
      </c>
      <c r="EF17" s="7">
        <f>ROUND(787.92,2)</f>
        <v>787.92</v>
      </c>
      <c r="EG17" s="7">
        <f>ROUND(369.969999999999,2)</f>
        <v>369.97</v>
      </c>
      <c r="EH17" s="7">
        <f>ROUND(2954.1,2)</f>
        <v>2954.1</v>
      </c>
      <c r="EI17" s="6"/>
      <c r="EJ17" s="6"/>
      <c r="EK17" s="7">
        <f>ROUND(1164.84,2)</f>
        <v>1164.8399999999999</v>
      </c>
      <c r="EL17" s="6"/>
      <c r="EM17" s="6"/>
      <c r="EN17" s="7">
        <f t="shared" si="1"/>
        <v>256.72000000000003</v>
      </c>
      <c r="EO17" s="6"/>
      <c r="EP17" s="6"/>
      <c r="EQ17" s="7">
        <f>ROUND(834.34,2)</f>
        <v>834.34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7">
        <f>ROUND(2400.72,2)</f>
        <v>2400.7199999999998</v>
      </c>
      <c r="FC17" s="6"/>
      <c r="FD17" s="7">
        <f>ROUND(641.8,2)</f>
        <v>641.79999999999995</v>
      </c>
      <c r="FE17" s="6"/>
      <c r="FF17" s="6"/>
      <c r="FG17" s="6"/>
      <c r="FH17" s="6"/>
      <c r="FI17" s="6"/>
      <c r="FJ17" s="7">
        <f>ROUND(475,2)</f>
        <v>475</v>
      </c>
      <c r="FK17" s="6"/>
      <c r="FL17" s="6"/>
      <c r="FM17" s="6"/>
      <c r="FN17" s="6"/>
      <c r="FO17" s="6"/>
      <c r="FP17" s="6"/>
      <c r="FQ17" s="6"/>
      <c r="FR17" s="6"/>
      <c r="FS17" s="6"/>
      <c r="FT17" s="7">
        <f>ROUND(3000,2)</f>
        <v>3000</v>
      </c>
      <c r="FU17" s="6"/>
      <c r="FV17" s="6"/>
      <c r="FW17" s="6"/>
      <c r="FX17" s="7">
        <f>ROUND(267.04,2)</f>
        <v>267.04000000000002</v>
      </c>
      <c r="FY17" s="7">
        <f>ROUND(58659.4899999999,2)</f>
        <v>58659.49</v>
      </c>
    </row>
    <row r="18" spans="1:181" x14ac:dyDescent="0.3">
      <c r="A18" s="4" t="s">
        <v>218</v>
      </c>
      <c r="B18" s="5" t="s">
        <v>1029</v>
      </c>
      <c r="C18" s="5" t="s">
        <v>181</v>
      </c>
      <c r="D18" s="5" t="s">
        <v>219</v>
      </c>
      <c r="E18" s="5" t="s">
        <v>0</v>
      </c>
      <c r="F18" s="5" t="s">
        <v>0</v>
      </c>
      <c r="G18" s="5" t="s">
        <v>183</v>
      </c>
      <c r="H18" s="8">
        <v>33.380000000000003</v>
      </c>
      <c r="I18" s="7">
        <f>ROUND(102455.97,2)</f>
        <v>102455.97</v>
      </c>
      <c r="J18" s="6"/>
      <c r="K18" s="6"/>
      <c r="L18" s="6"/>
      <c r="M18" s="6"/>
      <c r="N18" s="7">
        <f>ROUND(1086.32,2)</f>
        <v>1086.32</v>
      </c>
      <c r="O18" s="6"/>
      <c r="P18" s="6"/>
      <c r="Q18" s="7">
        <f>ROUND(275.23,2)</f>
        <v>275.23</v>
      </c>
      <c r="R18" s="6"/>
      <c r="S18" s="6"/>
      <c r="T18" s="6"/>
      <c r="U18" s="6"/>
      <c r="V18" s="7">
        <f>ROUND(21.95,2)</f>
        <v>21.95</v>
      </c>
      <c r="W18" s="7">
        <f>ROUND(37.1299999999999,2)</f>
        <v>37.130000000000003</v>
      </c>
      <c r="X18" s="7">
        <f>ROUND(1.25,2)</f>
        <v>1.25</v>
      </c>
      <c r="Y18" s="7">
        <f>ROUND(1.08,2)</f>
        <v>1.08</v>
      </c>
      <c r="Z18" s="7">
        <f>ROUND(0.08,2)</f>
        <v>0.08</v>
      </c>
      <c r="AA18" s="6"/>
      <c r="AB18" s="6"/>
      <c r="AC18" s="6"/>
      <c r="AD18" s="6"/>
      <c r="AE18" s="7">
        <f>ROUND(322.85,2)</f>
        <v>322.85000000000002</v>
      </c>
      <c r="AF18" s="6"/>
      <c r="AG18" s="7">
        <f>ROUND(62.91,2)</f>
        <v>62.91</v>
      </c>
      <c r="AH18" s="6"/>
      <c r="AI18" s="6"/>
      <c r="AJ18" s="6"/>
      <c r="AK18" s="6"/>
      <c r="AL18" s="6"/>
      <c r="AM18" s="6"/>
      <c r="AN18" s="6"/>
      <c r="AO18" s="6"/>
      <c r="AP18" s="7">
        <f>ROUND(484.289999999999,2)</f>
        <v>484.29</v>
      </c>
      <c r="AQ18" s="6"/>
      <c r="AR18" s="7">
        <f>ROUND(167.15,2)</f>
        <v>167.15</v>
      </c>
      <c r="AS18" s="6"/>
      <c r="AT18" s="6"/>
      <c r="AU18" s="7">
        <f>ROUND(76,2)</f>
        <v>76</v>
      </c>
      <c r="AV18" s="6"/>
      <c r="AW18" s="7">
        <f>ROUND(34,2)</f>
        <v>34</v>
      </c>
      <c r="AX18" s="6"/>
      <c r="AY18" s="7">
        <f>ROUND(58,2)</f>
        <v>58</v>
      </c>
      <c r="AZ18" s="6"/>
      <c r="BA18" s="6"/>
      <c r="BB18" s="6"/>
      <c r="BC18" s="6"/>
      <c r="BD18" s="7">
        <f t="shared" si="0"/>
        <v>8</v>
      </c>
      <c r="BE18" s="6"/>
      <c r="BF18" s="6"/>
      <c r="BG18" s="6"/>
      <c r="BH18" s="7">
        <f>ROUND(8,2)</f>
        <v>8</v>
      </c>
      <c r="BI18" s="6"/>
      <c r="BJ18" s="6"/>
      <c r="BK18" s="6"/>
      <c r="BL18" s="6"/>
      <c r="BM18" s="6"/>
      <c r="BN18" s="6"/>
      <c r="BO18" s="7">
        <f>ROUND(22.65,2)</f>
        <v>22.65</v>
      </c>
      <c r="BP18" s="6"/>
      <c r="BQ18" s="7">
        <f>ROUND(8.7,2)</f>
        <v>8.6999999999999993</v>
      </c>
      <c r="BR18" s="7">
        <f>ROUND(4.72,2)</f>
        <v>4.72</v>
      </c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7">
        <f>ROUND(32,2)</f>
        <v>32</v>
      </c>
      <c r="CQ18" s="7">
        <f>ROUND(2712.31,2)</f>
        <v>2712.31</v>
      </c>
      <c r="CR18" s="6"/>
      <c r="CS18" s="6"/>
      <c r="CT18" s="6"/>
      <c r="CU18" s="6"/>
      <c r="CV18" s="7">
        <f>ROUND(35357.2,2)</f>
        <v>35357.199999999997</v>
      </c>
      <c r="CW18" s="6"/>
      <c r="CX18" s="6"/>
      <c r="CY18" s="7">
        <f>ROUND(13424.05,2)</f>
        <v>13424.05</v>
      </c>
      <c r="CZ18" s="6"/>
      <c r="DA18" s="6"/>
      <c r="DB18" s="6"/>
      <c r="DC18" s="6"/>
      <c r="DD18" s="7">
        <f>ROUND(708.94,2)</f>
        <v>708.94</v>
      </c>
      <c r="DE18" s="7">
        <f>ROUND(1836.08,2)</f>
        <v>1836.08</v>
      </c>
      <c r="DF18" s="7">
        <f>ROUND(41.31,2)</f>
        <v>41.31</v>
      </c>
      <c r="DG18" s="7">
        <f>ROUND(53.54,2)</f>
        <v>53.54</v>
      </c>
      <c r="DH18" s="7">
        <f>ROUND(5.29,2)</f>
        <v>5.29</v>
      </c>
      <c r="DI18" s="6"/>
      <c r="DJ18" s="6"/>
      <c r="DK18" s="6"/>
      <c r="DL18" s="6"/>
      <c r="DM18" s="6"/>
      <c r="DN18" s="7">
        <f>ROUND(10593.2,2)</f>
        <v>10593.2</v>
      </c>
      <c r="DO18" s="6"/>
      <c r="DP18" s="7">
        <f>ROUND(3087.71,2)</f>
        <v>3087.71</v>
      </c>
      <c r="DQ18" s="6"/>
      <c r="DR18" s="6"/>
      <c r="DS18" s="6"/>
      <c r="DT18" s="6"/>
      <c r="DU18" s="6"/>
      <c r="DV18" s="6"/>
      <c r="DW18" s="6"/>
      <c r="DX18" s="6"/>
      <c r="DY18" s="7">
        <f>ROUND(15843.96,2)</f>
        <v>15843.96</v>
      </c>
      <c r="DZ18" s="6"/>
      <c r="EA18" s="7">
        <f>ROUND(8192.43,2)</f>
        <v>8192.43</v>
      </c>
      <c r="EB18" s="6"/>
      <c r="EC18" s="6"/>
      <c r="ED18" s="7">
        <f>ROUND(2476.7,2)</f>
        <v>2476.6999999999998</v>
      </c>
      <c r="EE18" s="6"/>
      <c r="EF18" s="7">
        <f>ROUND(1108.34,2)</f>
        <v>1108.3399999999999</v>
      </c>
      <c r="EG18" s="6"/>
      <c r="EH18" s="7">
        <f>ROUND(1878.5,2)</f>
        <v>1878.5</v>
      </c>
      <c r="EI18" s="6"/>
      <c r="EJ18" s="6"/>
      <c r="EK18" s="6"/>
      <c r="EL18" s="6"/>
      <c r="EM18" s="6"/>
      <c r="EN18" s="7">
        <f t="shared" si="1"/>
        <v>256.72000000000003</v>
      </c>
      <c r="EO18" s="6"/>
      <c r="EP18" s="6"/>
      <c r="EQ18" s="6"/>
      <c r="ER18" s="6"/>
      <c r="ES18" s="7">
        <f>ROUND(264.4,2)</f>
        <v>264.39999999999998</v>
      </c>
      <c r="ET18" s="6"/>
      <c r="EU18" s="6"/>
      <c r="EV18" s="6"/>
      <c r="EW18" s="6"/>
      <c r="EX18" s="6"/>
      <c r="EY18" s="6"/>
      <c r="EZ18" s="6"/>
      <c r="FA18" s="6"/>
      <c r="FB18" s="7">
        <f>ROUND(737.089999999999,2)</f>
        <v>737.09</v>
      </c>
      <c r="FC18" s="6"/>
      <c r="FD18" s="7">
        <f>ROUND(288.33,2)</f>
        <v>288.33</v>
      </c>
      <c r="FE18" s="7">
        <f>ROUND(234.019999999999,2)</f>
        <v>234.02</v>
      </c>
      <c r="FF18" s="6"/>
      <c r="FG18" s="6"/>
      <c r="FH18" s="6"/>
      <c r="FI18" s="6"/>
      <c r="FJ18" s="7">
        <f>ROUND(2000,2)</f>
        <v>2000</v>
      </c>
      <c r="FK18" s="6"/>
      <c r="FL18" s="6"/>
      <c r="FM18" s="6"/>
      <c r="FN18" s="6"/>
      <c r="FO18" s="6"/>
      <c r="FP18" s="6"/>
      <c r="FQ18" s="6"/>
      <c r="FR18" s="6"/>
      <c r="FS18" s="6"/>
      <c r="FT18" s="7">
        <f>ROUND(3000,2)</f>
        <v>3000</v>
      </c>
      <c r="FU18" s="6"/>
      <c r="FV18" s="6"/>
      <c r="FW18" s="6"/>
      <c r="FX18" s="7">
        <f>ROUND(1068.16,2)</f>
        <v>1068.1600000000001</v>
      </c>
      <c r="FY18" s="7">
        <f>ROUND(102455.97,2)</f>
        <v>102455.97</v>
      </c>
    </row>
    <row r="19" spans="1:181" x14ac:dyDescent="0.3">
      <c r="A19" s="4" t="s">
        <v>220</v>
      </c>
      <c r="B19" s="5" t="s">
        <v>1029</v>
      </c>
      <c r="C19" s="5" t="s">
        <v>181</v>
      </c>
      <c r="D19" s="5" t="s">
        <v>221</v>
      </c>
      <c r="E19" s="5" t="s">
        <v>0</v>
      </c>
      <c r="F19" s="5" t="s">
        <v>0</v>
      </c>
      <c r="G19" s="5" t="s">
        <v>183</v>
      </c>
      <c r="H19" s="8">
        <v>34.04</v>
      </c>
      <c r="I19" s="7">
        <f>ROUND(75049.6399999999,2)</f>
        <v>75049.64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7">
        <f>ROUND(68,2)</f>
        <v>68</v>
      </c>
      <c r="AV19" s="6"/>
      <c r="AW19" s="7">
        <f>ROUND(40,2)</f>
        <v>40</v>
      </c>
      <c r="AX19" s="6"/>
      <c r="AY19" s="7">
        <f>ROUND(240,2)</f>
        <v>240</v>
      </c>
      <c r="AZ19" s="6"/>
      <c r="BA19" s="6"/>
      <c r="BB19" s="6"/>
      <c r="BC19" s="6"/>
      <c r="BD19" s="7">
        <f t="shared" si="0"/>
        <v>8</v>
      </c>
      <c r="BE19" s="6"/>
      <c r="BF19" s="6"/>
      <c r="BG19" s="7">
        <f>ROUND(24,2)</f>
        <v>24</v>
      </c>
      <c r="BH19" s="6"/>
      <c r="BI19" s="6"/>
      <c r="BJ19" s="6"/>
      <c r="BK19" s="6"/>
      <c r="BL19" s="6"/>
      <c r="BM19" s="6"/>
      <c r="BN19" s="6"/>
      <c r="BO19" s="6"/>
      <c r="BP19" s="6"/>
      <c r="BQ19" s="7">
        <f>ROUND(1752,2)</f>
        <v>1752</v>
      </c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7">
        <f>ROUND(2132,2)</f>
        <v>2132</v>
      </c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7">
        <f>ROUND(2220.76,2)</f>
        <v>2220.7600000000002</v>
      </c>
      <c r="EE19" s="6"/>
      <c r="EF19" s="7">
        <f>ROUND(1322.23999999999,2)</f>
        <v>1322.24</v>
      </c>
      <c r="EG19" s="6"/>
      <c r="EH19" s="7">
        <f>ROUND(7871.76,2)</f>
        <v>7871.76</v>
      </c>
      <c r="EI19" s="6"/>
      <c r="EJ19" s="6"/>
      <c r="EK19" s="6"/>
      <c r="EL19" s="6"/>
      <c r="EM19" s="6"/>
      <c r="EN19" s="7">
        <f t="shared" si="1"/>
        <v>256.72000000000003</v>
      </c>
      <c r="EO19" s="6"/>
      <c r="EP19" s="6"/>
      <c r="EQ19" s="7">
        <f>ROUND(770.16,2)</f>
        <v>770.16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7">
        <f>ROUND(57107.9999999999,2)</f>
        <v>57108</v>
      </c>
      <c r="FE19" s="6"/>
      <c r="FF19" s="6"/>
      <c r="FG19" s="6"/>
      <c r="FH19" s="6"/>
      <c r="FI19" s="6"/>
      <c r="FJ19" s="7">
        <f>ROUND(2500,2)</f>
        <v>2500</v>
      </c>
      <c r="FK19" s="6"/>
      <c r="FL19" s="6"/>
      <c r="FM19" s="6"/>
      <c r="FN19" s="6"/>
      <c r="FO19" s="6"/>
      <c r="FP19" s="6"/>
      <c r="FQ19" s="6"/>
      <c r="FR19" s="6"/>
      <c r="FS19" s="6"/>
      <c r="FT19" s="7">
        <f>ROUND(3000,2)</f>
        <v>3000</v>
      </c>
      <c r="FU19" s="6"/>
      <c r="FV19" s="6"/>
      <c r="FW19" s="6"/>
      <c r="FX19" s="6"/>
      <c r="FY19" s="7">
        <f>ROUND(75049.6399999999,2)</f>
        <v>75049.64</v>
      </c>
    </row>
    <row r="20" spans="1:181" x14ac:dyDescent="0.3">
      <c r="A20" s="4" t="s">
        <v>222</v>
      </c>
      <c r="B20" s="5"/>
      <c r="C20" s="5" t="s">
        <v>223</v>
      </c>
      <c r="D20" s="5" t="s">
        <v>224</v>
      </c>
      <c r="E20" s="5" t="s">
        <v>225</v>
      </c>
      <c r="F20" s="5" t="s">
        <v>0</v>
      </c>
      <c r="G20" s="5" t="s">
        <v>226</v>
      </c>
      <c r="H20" s="8">
        <f>ROUND(17.23,2)</f>
        <v>17.23</v>
      </c>
      <c r="I20" s="7">
        <f>ROUND(13921.86,2)</f>
        <v>13921.86</v>
      </c>
      <c r="J20" s="7">
        <f>ROUND(798,2)</f>
        <v>798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7">
        <f>ROUND(10,2)</f>
        <v>10</v>
      </c>
      <c r="CI20" s="6"/>
      <c r="CJ20" s="6"/>
      <c r="CK20" s="6"/>
      <c r="CL20" s="6"/>
      <c r="CM20" s="6"/>
      <c r="CN20" s="6"/>
      <c r="CO20" s="6"/>
      <c r="CP20" s="6"/>
      <c r="CQ20" s="7">
        <f>ROUND(808,2)</f>
        <v>808</v>
      </c>
      <c r="CR20" s="7">
        <f>ROUND(13749.56,2)</f>
        <v>13749.56</v>
      </c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7">
        <f>ROUND(172.3,2)</f>
        <v>172.3</v>
      </c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7">
        <f>ROUND(13921.86,2)</f>
        <v>13921.86</v>
      </c>
    </row>
    <row r="21" spans="1:181" x14ac:dyDescent="0.3">
      <c r="A21" s="4" t="s">
        <v>227</v>
      </c>
      <c r="B21" s="5" t="s">
        <v>1029</v>
      </c>
      <c r="C21" s="5" t="s">
        <v>181</v>
      </c>
      <c r="D21" s="5" t="s">
        <v>194</v>
      </c>
      <c r="E21" s="5" t="s">
        <v>0</v>
      </c>
      <c r="F21" s="5" t="s">
        <v>0</v>
      </c>
      <c r="G21" s="5" t="s">
        <v>183</v>
      </c>
      <c r="H21" s="8">
        <v>33.380000000000003</v>
      </c>
      <c r="I21" s="7">
        <f>ROUND(79419.48,2)</f>
        <v>79419.48</v>
      </c>
      <c r="J21" s="6"/>
      <c r="K21" s="6"/>
      <c r="L21" s="6"/>
      <c r="M21" s="6"/>
      <c r="N21" s="7">
        <f>ROUND(1522.6,2)</f>
        <v>1522.6</v>
      </c>
      <c r="O21" s="6"/>
      <c r="P21" s="6"/>
      <c r="Q21" s="7">
        <f>ROUND(156.13,2)</f>
        <v>156.13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7">
        <f>ROUND(115.96,2)</f>
        <v>115.96</v>
      </c>
      <c r="AF21" s="6"/>
      <c r="AG21" s="7">
        <f>ROUND(0.77,2)</f>
        <v>0.77</v>
      </c>
      <c r="AH21" s="6"/>
      <c r="AI21" s="6"/>
      <c r="AJ21" s="6"/>
      <c r="AK21" s="6"/>
      <c r="AL21" s="6"/>
      <c r="AM21" s="6"/>
      <c r="AN21" s="6"/>
      <c r="AO21" s="6"/>
      <c r="AP21" s="7">
        <f>ROUND(212.85,2)</f>
        <v>212.85</v>
      </c>
      <c r="AQ21" s="6"/>
      <c r="AR21" s="6"/>
      <c r="AS21" s="6"/>
      <c r="AT21" s="6"/>
      <c r="AU21" s="7">
        <f>ROUND(47.1299999999999,2)</f>
        <v>47.13</v>
      </c>
      <c r="AV21" s="7">
        <f>ROUND(6.87,2)</f>
        <v>6.87</v>
      </c>
      <c r="AW21" s="7">
        <f>ROUND(32,2)</f>
        <v>32</v>
      </c>
      <c r="AX21" s="6"/>
      <c r="AY21" s="7">
        <f>ROUND(65,2)</f>
        <v>65</v>
      </c>
      <c r="AZ21" s="7">
        <f>ROUND(3,2)</f>
        <v>3</v>
      </c>
      <c r="BA21" s="6"/>
      <c r="BB21" s="7">
        <f>ROUND(24,2)</f>
        <v>24</v>
      </c>
      <c r="BC21" s="6"/>
      <c r="BD21" s="7">
        <f>ROUND(8,2)</f>
        <v>8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7">
        <f>ROUND(30.25,2)</f>
        <v>30.25</v>
      </c>
      <c r="BP21" s="6"/>
      <c r="BQ21" s="7">
        <f>ROUND(10,2)</f>
        <v>10</v>
      </c>
      <c r="BR21" s="6"/>
      <c r="BS21" s="6"/>
      <c r="BT21" s="7">
        <f>ROUND(3.42,2)</f>
        <v>3.42</v>
      </c>
      <c r="BU21" s="7">
        <f>ROUND(24,2)</f>
        <v>24</v>
      </c>
      <c r="BV21" s="6"/>
      <c r="BW21" s="7">
        <f>ROUND(18,2)</f>
        <v>18</v>
      </c>
      <c r="BX21" s="6"/>
      <c r="BY21" s="6"/>
      <c r="BZ21" s="6"/>
      <c r="CA21" s="7">
        <f>ROUND(24,2)</f>
        <v>24</v>
      </c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7">
        <f>ROUND(2303.97999999999,2)</f>
        <v>2303.98</v>
      </c>
      <c r="CR21" s="6"/>
      <c r="CS21" s="6"/>
      <c r="CT21" s="6"/>
      <c r="CU21" s="6"/>
      <c r="CV21" s="7">
        <f>ROUND(49636.8099999999,2)</f>
        <v>49636.81</v>
      </c>
      <c r="CW21" s="6"/>
      <c r="CX21" s="6"/>
      <c r="CY21" s="7">
        <f>ROUND(7618.65999999999,2)</f>
        <v>7618.66</v>
      </c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7">
        <f>ROUND(3801.12,2)</f>
        <v>3801.12</v>
      </c>
      <c r="DO21" s="6"/>
      <c r="DP21" s="7">
        <f>ROUND(37.06,2)</f>
        <v>37.06</v>
      </c>
      <c r="DQ21" s="6"/>
      <c r="DR21" s="6"/>
      <c r="DS21" s="6"/>
      <c r="DT21" s="6"/>
      <c r="DU21" s="6"/>
      <c r="DV21" s="6"/>
      <c r="DW21" s="6"/>
      <c r="DX21" s="6"/>
      <c r="DY21" s="7">
        <f>ROUND(6896.19,2)</f>
        <v>6896.19</v>
      </c>
      <c r="DZ21" s="6"/>
      <c r="EA21" s="6"/>
      <c r="EB21" s="6"/>
      <c r="EC21" s="6"/>
      <c r="ED21" s="7">
        <f>ROUND(1541.75,2)</f>
        <v>1541.75</v>
      </c>
      <c r="EE21" s="7">
        <f>ROUND(340.61,2)</f>
        <v>340.61</v>
      </c>
      <c r="EF21" s="7">
        <f>ROUND(1057.6,2)</f>
        <v>1057.5999999999999</v>
      </c>
      <c r="EG21" s="6"/>
      <c r="EH21" s="7">
        <f>ROUND(2138.65,2)</f>
        <v>2138.65</v>
      </c>
      <c r="EI21" s="7">
        <f>ROUND(148.73,2)</f>
        <v>148.72999999999999</v>
      </c>
      <c r="EJ21" s="6"/>
      <c r="EK21" s="7">
        <f>ROUND(793.199999999999,2)</f>
        <v>793.2</v>
      </c>
      <c r="EL21" s="6"/>
      <c r="EM21" s="6"/>
      <c r="EN21" s="7">
        <f>ROUND(256.72,2)</f>
        <v>256.72000000000003</v>
      </c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7">
        <f>ROUND(990.16,2)</f>
        <v>990.16</v>
      </c>
      <c r="FC21" s="6"/>
      <c r="FD21" s="7">
        <f>ROUND(330.5,2)</f>
        <v>330.5</v>
      </c>
      <c r="FE21" s="6"/>
      <c r="FF21" s="7">
        <f>ROUND(256.72,2)</f>
        <v>256.72000000000003</v>
      </c>
      <c r="FG21" s="6"/>
      <c r="FH21" s="6"/>
      <c r="FI21" s="6"/>
      <c r="FJ21" s="7">
        <f>ROUND(575,2)</f>
        <v>575</v>
      </c>
      <c r="FK21" s="6"/>
      <c r="FL21" s="6"/>
      <c r="FM21" s="6"/>
      <c r="FN21" s="6"/>
      <c r="FO21" s="6"/>
      <c r="FP21" s="6"/>
      <c r="FQ21" s="6"/>
      <c r="FR21" s="6"/>
      <c r="FS21" s="6"/>
      <c r="FT21" s="7">
        <f t="shared" ref="FT21:FT27" si="2">ROUND(3000,2)</f>
        <v>3000</v>
      </c>
      <c r="FU21" s="6"/>
      <c r="FV21" s="6"/>
      <c r="FW21" s="6"/>
      <c r="FX21" s="6"/>
      <c r="FY21" s="7">
        <f>ROUND(79419.48,2)</f>
        <v>79419.48</v>
      </c>
    </row>
    <row r="22" spans="1:181" x14ac:dyDescent="0.3">
      <c r="A22" s="4" t="s">
        <v>228</v>
      </c>
      <c r="B22" s="5" t="s">
        <v>1029</v>
      </c>
      <c r="C22" s="5" t="s">
        <v>181</v>
      </c>
      <c r="D22" s="5" t="s">
        <v>229</v>
      </c>
      <c r="E22" s="5" t="s">
        <v>230</v>
      </c>
      <c r="F22" s="5" t="s">
        <v>0</v>
      </c>
      <c r="G22" s="5" t="s">
        <v>183</v>
      </c>
      <c r="H22" s="8">
        <v>34.04</v>
      </c>
      <c r="I22" s="7">
        <f>ROUND(78706.59,2)</f>
        <v>78706.59</v>
      </c>
      <c r="J22" s="6"/>
      <c r="K22" s="6"/>
      <c r="L22" s="6"/>
      <c r="M22" s="6"/>
      <c r="N22" s="7">
        <f>ROUND(1775,2)</f>
        <v>1775</v>
      </c>
      <c r="O22" s="6"/>
      <c r="P22" s="6"/>
      <c r="Q22" s="7">
        <f>ROUND(96.5,2)</f>
        <v>96.5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7">
        <f>ROUND(66,2)</f>
        <v>66</v>
      </c>
      <c r="AV22" s="7">
        <f>ROUND(2,2)</f>
        <v>2</v>
      </c>
      <c r="AW22" s="7">
        <f>ROUND(57.5,2)</f>
        <v>57.5</v>
      </c>
      <c r="AX22" s="7">
        <f>ROUND(6.5,2)</f>
        <v>6.5</v>
      </c>
      <c r="AY22" s="7">
        <f>ROUND(207,2)</f>
        <v>207</v>
      </c>
      <c r="AZ22" s="7">
        <f>ROUND(1,2)</f>
        <v>1</v>
      </c>
      <c r="BA22" s="6"/>
      <c r="BB22" s="6"/>
      <c r="BC22" s="6"/>
      <c r="BD22" s="7">
        <f>ROUND(8,2)</f>
        <v>8</v>
      </c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7">
        <f>ROUND(8,2)</f>
        <v>8</v>
      </c>
      <c r="BZ22" s="6"/>
      <c r="CA22" s="7">
        <f>ROUND(16,2)</f>
        <v>16</v>
      </c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7">
        <f>ROUND(8,2)</f>
        <v>8</v>
      </c>
      <c r="CQ22" s="7">
        <f>ROUND(2251.5,2)</f>
        <v>2251.5</v>
      </c>
      <c r="CR22" s="6"/>
      <c r="CS22" s="6"/>
      <c r="CT22" s="6"/>
      <c r="CU22" s="6"/>
      <c r="CV22" s="7">
        <f>ROUND(57922.0399999999,2)</f>
        <v>57922.04</v>
      </c>
      <c r="CW22" s="6"/>
      <c r="CX22" s="6"/>
      <c r="CY22" s="7">
        <f>ROUND(4711.35,2)</f>
        <v>4711.3500000000004</v>
      </c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7">
        <f>ROUND(2154.66,2)</f>
        <v>2154.66</v>
      </c>
      <c r="EE22" s="7">
        <f>ROUND(99.16,2)</f>
        <v>99.16</v>
      </c>
      <c r="EF22" s="7">
        <f>ROUND(1911.75,2)</f>
        <v>1911.75</v>
      </c>
      <c r="EG22" s="7">
        <f>ROUND(329.66,2)</f>
        <v>329.66</v>
      </c>
      <c r="EH22" s="7">
        <f>ROUND(6649.35,2)</f>
        <v>6649.35</v>
      </c>
      <c r="EI22" s="7">
        <f>ROUND(49.58,2)</f>
        <v>49.58</v>
      </c>
      <c r="EJ22" s="6"/>
      <c r="EK22" s="6"/>
      <c r="EL22" s="6"/>
      <c r="EM22" s="6"/>
      <c r="EN22" s="7">
        <f>ROUND(256.72,2)</f>
        <v>256.72000000000003</v>
      </c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7">
        <f>ROUND(1350,2)</f>
        <v>1350</v>
      </c>
      <c r="FK22" s="6"/>
      <c r="FL22" s="6"/>
      <c r="FM22" s="6"/>
      <c r="FN22" s="6"/>
      <c r="FO22" s="6"/>
      <c r="FP22" s="6"/>
      <c r="FQ22" s="6"/>
      <c r="FR22" s="6"/>
      <c r="FS22" s="6"/>
      <c r="FT22" s="7">
        <f t="shared" si="2"/>
        <v>3000</v>
      </c>
      <c r="FU22" s="6"/>
      <c r="FV22" s="6"/>
      <c r="FW22" s="6"/>
      <c r="FX22" s="7">
        <f>ROUND(272.32,2)</f>
        <v>272.32</v>
      </c>
      <c r="FY22" s="7">
        <f>ROUND(78706.59,2)</f>
        <v>78706.59</v>
      </c>
    </row>
    <row r="23" spans="1:181" x14ac:dyDescent="0.3">
      <c r="A23" s="4" t="s">
        <v>231</v>
      </c>
      <c r="B23" s="5" t="s">
        <v>1029</v>
      </c>
      <c r="C23" s="5" t="s">
        <v>181</v>
      </c>
      <c r="D23" s="5" t="s">
        <v>232</v>
      </c>
      <c r="E23" s="5" t="s">
        <v>0</v>
      </c>
      <c r="F23" s="5" t="s">
        <v>0</v>
      </c>
      <c r="G23" s="5" t="s">
        <v>183</v>
      </c>
      <c r="H23" s="8">
        <v>33.71</v>
      </c>
      <c r="I23" s="7">
        <f>ROUND(81446.07,2)</f>
        <v>81446.070000000007</v>
      </c>
      <c r="J23" s="6"/>
      <c r="K23" s="6"/>
      <c r="L23" s="6"/>
      <c r="M23" s="6"/>
      <c r="N23" s="7">
        <f>ROUND(1647.67999999999,2)</f>
        <v>1647.68</v>
      </c>
      <c r="O23" s="6"/>
      <c r="P23" s="6"/>
      <c r="Q23" s="7">
        <f>ROUND(172.88,2)</f>
        <v>172.88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7">
        <f>ROUND(144,2)</f>
        <v>144</v>
      </c>
      <c r="AF23" s="6"/>
      <c r="AG23" s="7">
        <f>ROUND(17.15,2)</f>
        <v>17.149999999999999</v>
      </c>
      <c r="AH23" s="6"/>
      <c r="AI23" s="6"/>
      <c r="AJ23" s="6"/>
      <c r="AK23" s="6"/>
      <c r="AL23" s="6"/>
      <c r="AM23" s="6"/>
      <c r="AN23" s="6"/>
      <c r="AO23" s="6"/>
      <c r="AP23" s="7">
        <f>ROUND(7,2)</f>
        <v>7</v>
      </c>
      <c r="AQ23" s="6"/>
      <c r="AR23" s="6"/>
      <c r="AS23" s="6"/>
      <c r="AT23" s="6"/>
      <c r="AU23" s="7">
        <f>ROUND(65.93,2)</f>
        <v>65.930000000000007</v>
      </c>
      <c r="AV23" s="7">
        <f>ROUND(2.07,2)</f>
        <v>2.0699999999999998</v>
      </c>
      <c r="AW23" s="7">
        <f>ROUND(33.03,2)</f>
        <v>33.03</v>
      </c>
      <c r="AX23" s="7">
        <f>ROUND(6.97,2)</f>
        <v>6.97</v>
      </c>
      <c r="AY23" s="7">
        <f>ROUND(88.47,2)</f>
        <v>88.47</v>
      </c>
      <c r="AZ23" s="7">
        <f>ROUND(31.53,2)</f>
        <v>31.53</v>
      </c>
      <c r="BA23" s="6"/>
      <c r="BB23" s="7">
        <f>ROUND(40,2)</f>
        <v>40</v>
      </c>
      <c r="BC23" s="6"/>
      <c r="BD23" s="7">
        <f>ROUND(8,2)</f>
        <v>8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>
        <f>ROUND(48,2)</f>
        <v>48</v>
      </c>
      <c r="BT23" s="7">
        <f>ROUND(27.82,2)</f>
        <v>27.82</v>
      </c>
      <c r="BU23" s="7">
        <f>ROUND(2.97,2)</f>
        <v>2.97</v>
      </c>
      <c r="BV23" s="6"/>
      <c r="BW23" s="6"/>
      <c r="BX23" s="6"/>
      <c r="BY23" s="6"/>
      <c r="BZ23" s="7">
        <f>ROUND(24,2)</f>
        <v>24</v>
      </c>
      <c r="CA23" s="7">
        <f>ROUND(40,2)</f>
        <v>40</v>
      </c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7">
        <f>ROUND(2407.49999999999,2)</f>
        <v>2407.5</v>
      </c>
      <c r="CR23" s="6"/>
      <c r="CS23" s="6"/>
      <c r="CT23" s="6"/>
      <c r="CU23" s="6"/>
      <c r="CV23" s="7">
        <f>ROUND(53809.3199999999,2)</f>
        <v>53809.32</v>
      </c>
      <c r="CW23" s="6"/>
      <c r="CX23" s="6"/>
      <c r="CY23" s="7">
        <f>ROUND(8488.98999999999,2)</f>
        <v>8488.99</v>
      </c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7">
        <f>ROUND(4695.96,2)</f>
        <v>4695.96</v>
      </c>
      <c r="DO23" s="6"/>
      <c r="DP23" s="7">
        <f>ROUND(825.52,2)</f>
        <v>825.52</v>
      </c>
      <c r="DQ23" s="6"/>
      <c r="DR23" s="6"/>
      <c r="DS23" s="6"/>
      <c r="DT23" s="6"/>
      <c r="DU23" s="6"/>
      <c r="DV23" s="6"/>
      <c r="DW23" s="6"/>
      <c r="DX23" s="6"/>
      <c r="DY23" s="7">
        <f>ROUND(232.4,2)</f>
        <v>232.4</v>
      </c>
      <c r="DZ23" s="6"/>
      <c r="EA23" s="6"/>
      <c r="EB23" s="6"/>
      <c r="EC23" s="6"/>
      <c r="ED23" s="7">
        <f>ROUND(2149.71,2)</f>
        <v>2149.71</v>
      </c>
      <c r="EE23" s="7">
        <f>ROUND(102.63,2)</f>
        <v>102.63</v>
      </c>
      <c r="EF23" s="7">
        <f>ROUND(1092.21,2)</f>
        <v>1092.21</v>
      </c>
      <c r="EG23" s="7">
        <f>ROUND(341.09,2)</f>
        <v>341.09</v>
      </c>
      <c r="EH23" s="7">
        <f>ROUND(2912.27999999999,2)</f>
        <v>2912.28</v>
      </c>
      <c r="EI23" s="7">
        <f>ROUND(1522.96,2)</f>
        <v>1522.96</v>
      </c>
      <c r="EJ23" s="6"/>
      <c r="EK23" s="7">
        <f>ROUND(1291.28,2)</f>
        <v>1291.28</v>
      </c>
      <c r="EL23" s="6"/>
      <c r="EM23" s="6"/>
      <c r="EN23" s="7">
        <f>ROUND(256.72,2)</f>
        <v>256.72000000000003</v>
      </c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7">
        <f>ROUND(725,2)</f>
        <v>725</v>
      </c>
      <c r="FK23" s="6"/>
      <c r="FL23" s="6"/>
      <c r="FM23" s="6"/>
      <c r="FN23" s="6"/>
      <c r="FO23" s="6"/>
      <c r="FP23" s="6"/>
      <c r="FQ23" s="6"/>
      <c r="FR23" s="6"/>
      <c r="FS23" s="6"/>
      <c r="FT23" s="7">
        <f t="shared" si="2"/>
        <v>3000</v>
      </c>
      <c r="FU23" s="6"/>
      <c r="FV23" s="6"/>
      <c r="FW23" s="6"/>
      <c r="FX23" s="6"/>
      <c r="FY23" s="7">
        <f>ROUND(81446.07,2)</f>
        <v>81446.070000000007</v>
      </c>
    </row>
    <row r="24" spans="1:181" x14ac:dyDescent="0.3">
      <c r="A24" s="4" t="s">
        <v>233</v>
      </c>
      <c r="B24" s="5" t="s">
        <v>1029</v>
      </c>
      <c r="C24" s="5" t="s">
        <v>181</v>
      </c>
      <c r="D24" s="5" t="s">
        <v>234</v>
      </c>
      <c r="E24" s="5" t="s">
        <v>0</v>
      </c>
      <c r="F24" s="5" t="s">
        <v>0</v>
      </c>
      <c r="G24" s="5" t="s">
        <v>183</v>
      </c>
      <c r="H24" s="8">
        <v>33.380000000000003</v>
      </c>
      <c r="I24" s="7">
        <f>ROUND(77737.5999999999,2)</f>
        <v>77737.600000000006</v>
      </c>
      <c r="J24" s="6"/>
      <c r="K24" s="6"/>
      <c r="L24" s="6"/>
      <c r="M24" s="6"/>
      <c r="N24" s="7">
        <f>ROUND(1214.52,2)</f>
        <v>1214.52</v>
      </c>
      <c r="O24" s="6"/>
      <c r="P24" s="6"/>
      <c r="Q24" s="7">
        <f>ROUND(52.7799999999999,2)</f>
        <v>52.78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7">
        <f>ROUND(94.42,2)</f>
        <v>94.42</v>
      </c>
      <c r="AF24" s="6"/>
      <c r="AG24" s="7">
        <f>ROUND(0.67,2)</f>
        <v>0.67</v>
      </c>
      <c r="AH24" s="6"/>
      <c r="AI24" s="6"/>
      <c r="AJ24" s="6"/>
      <c r="AK24" s="6"/>
      <c r="AL24" s="6"/>
      <c r="AM24" s="6"/>
      <c r="AN24" s="6"/>
      <c r="AO24" s="6"/>
      <c r="AP24" s="7">
        <f>ROUND(311.75,2)</f>
        <v>311.75</v>
      </c>
      <c r="AQ24" s="6"/>
      <c r="AR24" s="7">
        <f>ROUND(6.82,2)</f>
        <v>6.82</v>
      </c>
      <c r="AS24" s="6"/>
      <c r="AT24" s="6"/>
      <c r="AU24" s="7">
        <f>ROUND(64.5,2)</f>
        <v>64.5</v>
      </c>
      <c r="AV24" s="7">
        <f>ROUND(7.5,2)</f>
        <v>7.5</v>
      </c>
      <c r="AW24" s="7">
        <f>ROUND(19.9,2)</f>
        <v>19.899999999999999</v>
      </c>
      <c r="AX24" s="7">
        <f>ROUND(4.1,2)</f>
        <v>4.0999999999999996</v>
      </c>
      <c r="AY24" s="7">
        <f>ROUND(63.33,2)</f>
        <v>63.33</v>
      </c>
      <c r="AZ24" s="7">
        <f>ROUND(0.67,2)</f>
        <v>0.67</v>
      </c>
      <c r="BA24" s="6"/>
      <c r="BB24" s="7">
        <f>ROUND(10,2)</f>
        <v>10</v>
      </c>
      <c r="BC24" s="6"/>
      <c r="BD24" s="7">
        <f>ROUND(8,2)</f>
        <v>8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7">
        <f>ROUND(292.25,2)</f>
        <v>292.25</v>
      </c>
      <c r="BP24" s="6"/>
      <c r="BQ24" s="7">
        <f>ROUND(20,2)</f>
        <v>20</v>
      </c>
      <c r="BR24" s="6"/>
      <c r="BS24" s="6"/>
      <c r="BT24" s="6"/>
      <c r="BU24" s="7">
        <f>ROUND(24,2)</f>
        <v>24</v>
      </c>
      <c r="BV24" s="6"/>
      <c r="BW24" s="6"/>
      <c r="BX24" s="6"/>
      <c r="BY24" s="7">
        <f>ROUND(16,2)</f>
        <v>16</v>
      </c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7">
        <f>ROUND(24,2)</f>
        <v>24</v>
      </c>
      <c r="CQ24" s="7">
        <f>ROUND(2235.20999999999,2)</f>
        <v>2235.21</v>
      </c>
      <c r="CR24" s="6"/>
      <c r="CS24" s="6"/>
      <c r="CT24" s="6"/>
      <c r="CU24" s="6"/>
      <c r="CV24" s="7">
        <f>ROUND(39677.74,2)</f>
        <v>39677.74</v>
      </c>
      <c r="CW24" s="6"/>
      <c r="CX24" s="6"/>
      <c r="CY24" s="7">
        <f>ROUND(2582.02,2)</f>
        <v>2582.02</v>
      </c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7">
        <f>ROUND(3088.55,2)</f>
        <v>3088.55</v>
      </c>
      <c r="DO24" s="6"/>
      <c r="DP24" s="7">
        <f>ROUND(33.55,2)</f>
        <v>33.549999999999997</v>
      </c>
      <c r="DQ24" s="6"/>
      <c r="DR24" s="6"/>
      <c r="DS24" s="6"/>
      <c r="DT24" s="6"/>
      <c r="DU24" s="6"/>
      <c r="DV24" s="6"/>
      <c r="DW24" s="6"/>
      <c r="DX24" s="6"/>
      <c r="DY24" s="7">
        <f>ROUND(10189.14,2)</f>
        <v>10189.14</v>
      </c>
      <c r="DZ24" s="6"/>
      <c r="EA24" s="7">
        <f>ROUND(335.24,2)</f>
        <v>335.24</v>
      </c>
      <c r="EB24" s="6"/>
      <c r="EC24" s="6"/>
      <c r="ED24" s="7">
        <f>ROUND(2098.55,2)</f>
        <v>2098.5500000000002</v>
      </c>
      <c r="EE24" s="7">
        <f>ROUND(371.85,2)</f>
        <v>371.85</v>
      </c>
      <c r="EF24" s="7">
        <f>ROUND(650.02,2)</f>
        <v>650.02</v>
      </c>
      <c r="EG24" s="7">
        <f>ROUND(203.26,2)</f>
        <v>203.26</v>
      </c>
      <c r="EH24" s="7">
        <f>ROUND(2054.66,2)</f>
        <v>2054.66</v>
      </c>
      <c r="EI24" s="7">
        <f>ROUND(33.22,2)</f>
        <v>33.22</v>
      </c>
      <c r="EJ24" s="6"/>
      <c r="EK24" s="7">
        <f>ROUND(320.9,2)</f>
        <v>320.89999999999998</v>
      </c>
      <c r="EL24" s="6"/>
      <c r="EM24" s="6"/>
      <c r="EN24" s="7">
        <f>ROUND(256.72,2)</f>
        <v>256.72000000000003</v>
      </c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7">
        <f>ROUND(9391.2,2)</f>
        <v>9391.2000000000007</v>
      </c>
      <c r="FC24" s="6"/>
      <c r="FD24" s="7">
        <f>ROUND(654.7,2)</f>
        <v>654.70000000000005</v>
      </c>
      <c r="FE24" s="6"/>
      <c r="FF24" s="7">
        <f>ROUND(770.16,2)</f>
        <v>770.16</v>
      </c>
      <c r="FG24" s="6"/>
      <c r="FH24" s="6"/>
      <c r="FI24" s="6"/>
      <c r="FJ24" s="7">
        <f>ROUND(1225,2)</f>
        <v>1225</v>
      </c>
      <c r="FK24" s="6"/>
      <c r="FL24" s="6"/>
      <c r="FM24" s="6"/>
      <c r="FN24" s="6"/>
      <c r="FO24" s="6"/>
      <c r="FP24" s="6"/>
      <c r="FQ24" s="6"/>
      <c r="FR24" s="6"/>
      <c r="FS24" s="6"/>
      <c r="FT24" s="7">
        <f t="shared" si="2"/>
        <v>3000</v>
      </c>
      <c r="FU24" s="6"/>
      <c r="FV24" s="6"/>
      <c r="FW24" s="6"/>
      <c r="FX24" s="7">
        <f>ROUND(801.12,2)</f>
        <v>801.12</v>
      </c>
      <c r="FY24" s="7">
        <f>ROUND(77737.5999999999,2)</f>
        <v>77737.600000000006</v>
      </c>
    </row>
    <row r="25" spans="1:181" x14ac:dyDescent="0.3">
      <c r="A25" s="4" t="s">
        <v>235</v>
      </c>
      <c r="B25" s="5" t="s">
        <v>1029</v>
      </c>
      <c r="C25" s="5" t="s">
        <v>236</v>
      </c>
      <c r="D25" s="5" t="s">
        <v>237</v>
      </c>
      <c r="E25" s="5" t="s">
        <v>0</v>
      </c>
      <c r="F25" s="5" t="s">
        <v>0</v>
      </c>
      <c r="G25" s="5" t="s">
        <v>238</v>
      </c>
      <c r="H25" s="8">
        <v>38.5</v>
      </c>
      <c r="I25" s="7">
        <f>ROUND(83354,2)</f>
        <v>83354</v>
      </c>
      <c r="J25" s="6"/>
      <c r="K25" s="6"/>
      <c r="L25" s="7">
        <f>ROUND(1402.28,2)</f>
        <v>1402.28</v>
      </c>
      <c r="M25" s="7">
        <f>ROUND(244,2)</f>
        <v>244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7">
        <f>ROUND(56,2)</f>
        <v>56</v>
      </c>
      <c r="AV25" s="6"/>
      <c r="AW25" s="7">
        <f>ROUND(40,2)</f>
        <v>40</v>
      </c>
      <c r="AX25" s="6"/>
      <c r="AY25" s="7">
        <f>ROUND(244,2)</f>
        <v>244</v>
      </c>
      <c r="AZ25" s="7">
        <f>ROUND(20,2)</f>
        <v>20</v>
      </c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7">
        <f>ROUND(2,2)</f>
        <v>2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7">
        <f>ROUND(392,2)</f>
        <v>392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7">
        <f>ROUND(2400.28,2)</f>
        <v>2400.2800000000002</v>
      </c>
      <c r="CR25" s="6"/>
      <c r="CS25" s="6"/>
      <c r="CT25" s="7">
        <f>ROUND(51270.62,2)</f>
        <v>51270.62</v>
      </c>
      <c r="CU25" s="7">
        <f>ROUND(13235.96,2)</f>
        <v>13235.96</v>
      </c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7">
        <f>ROUND(2069.12,2)</f>
        <v>2069.12</v>
      </c>
      <c r="EE25" s="6"/>
      <c r="EF25" s="7">
        <f>ROUND(1473.12,2)</f>
        <v>1473.12</v>
      </c>
      <c r="EG25" s="6"/>
      <c r="EH25" s="7">
        <f>ROUND(9096.48,2)</f>
        <v>9096.48</v>
      </c>
      <c r="EI25" s="7">
        <f>ROUND(1096.56,2)</f>
        <v>1096.56</v>
      </c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7">
        <f>ROUND(112.14,2)</f>
        <v>112.14</v>
      </c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7">
        <f>ROUND(2000,2)</f>
        <v>2000</v>
      </c>
      <c r="FK25" s="6"/>
      <c r="FL25" s="6"/>
      <c r="FM25" s="6"/>
      <c r="FN25" s="6"/>
      <c r="FO25" s="6"/>
      <c r="FP25" s="6"/>
      <c r="FQ25" s="6"/>
      <c r="FR25" s="6"/>
      <c r="FS25" s="6"/>
      <c r="FT25" s="7">
        <f t="shared" si="2"/>
        <v>3000</v>
      </c>
      <c r="FU25" s="6"/>
      <c r="FV25" s="6"/>
      <c r="FW25" s="6"/>
      <c r="FX25" s="6"/>
      <c r="FY25" s="7">
        <f>ROUND(83354,2)</f>
        <v>83354</v>
      </c>
    </row>
    <row r="26" spans="1:181" x14ac:dyDescent="0.3">
      <c r="A26" s="4" t="s">
        <v>239</v>
      </c>
      <c r="B26" s="5" t="s">
        <v>1029</v>
      </c>
      <c r="C26" s="5" t="s">
        <v>181</v>
      </c>
      <c r="D26" s="5" t="s">
        <v>240</v>
      </c>
      <c r="E26" s="5" t="s">
        <v>0</v>
      </c>
      <c r="F26" s="5" t="s">
        <v>0</v>
      </c>
      <c r="G26" s="5" t="s">
        <v>183</v>
      </c>
      <c r="H26" s="8">
        <v>33.71</v>
      </c>
      <c r="I26" s="7">
        <f>ROUND(73203.9599999999,2)</f>
        <v>73203.960000000006</v>
      </c>
      <c r="J26" s="6"/>
      <c r="K26" s="6"/>
      <c r="L26" s="6"/>
      <c r="M26" s="6"/>
      <c r="N26" s="7">
        <f>ROUND(10,2)</f>
        <v>10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7">
        <f>ROUND(1727.65,2)</f>
        <v>1727.65</v>
      </c>
      <c r="AF26" s="6"/>
      <c r="AG26" s="7">
        <f>ROUND(1.48,2)</f>
        <v>1.48</v>
      </c>
      <c r="AH26" s="6"/>
      <c r="AI26" s="6"/>
      <c r="AJ26" s="6"/>
      <c r="AK26" s="6"/>
      <c r="AL26" s="6"/>
      <c r="AM26" s="6"/>
      <c r="AN26" s="6"/>
      <c r="AO26" s="6"/>
      <c r="AP26" s="7">
        <f>ROUND(40,2)</f>
        <v>40</v>
      </c>
      <c r="AQ26" s="6"/>
      <c r="AR26" s="6"/>
      <c r="AS26" s="6"/>
      <c r="AT26" s="6"/>
      <c r="AU26" s="7">
        <f>ROUND(70,2)</f>
        <v>70</v>
      </c>
      <c r="AV26" s="6"/>
      <c r="AW26" s="7">
        <f>ROUND(42,2)</f>
        <v>42</v>
      </c>
      <c r="AX26" s="6"/>
      <c r="AY26" s="7">
        <f>ROUND(159.68,2)</f>
        <v>159.68</v>
      </c>
      <c r="AZ26" s="7">
        <f>ROUND(0.32,2)</f>
        <v>0.32</v>
      </c>
      <c r="BA26" s="6"/>
      <c r="BB26" s="7">
        <f>ROUND(40,2)</f>
        <v>40</v>
      </c>
      <c r="BC26" s="6"/>
      <c r="BD26" s="7">
        <f>ROUND(8,2)</f>
        <v>8</v>
      </c>
      <c r="BE26" s="7">
        <f>ROUND(2.67,2)</f>
        <v>2.67</v>
      </c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>
        <f>ROUND(16,2)</f>
        <v>16</v>
      </c>
      <c r="BT26" s="6"/>
      <c r="BU26" s="6"/>
      <c r="BV26" s="6"/>
      <c r="BW26" s="6"/>
      <c r="BX26" s="6"/>
      <c r="BY26" s="6"/>
      <c r="BZ26" s="6"/>
      <c r="CA26" s="7">
        <f>ROUND(16,2)</f>
        <v>16</v>
      </c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7">
        <f>ROUND(8,2)</f>
        <v>8</v>
      </c>
      <c r="CQ26" s="7">
        <f>ROUND(2141.8,2)</f>
        <v>2141.8000000000002</v>
      </c>
      <c r="CR26" s="6"/>
      <c r="CS26" s="6"/>
      <c r="CT26" s="6"/>
      <c r="CU26" s="6"/>
      <c r="CV26" s="7">
        <f>ROUND(337.1,2)</f>
        <v>337.1</v>
      </c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7">
        <f>ROUND(56199.3599999999,2)</f>
        <v>56199.360000000001</v>
      </c>
      <c r="DO26" s="6"/>
      <c r="DP26" s="7">
        <f>ROUND(73.38,2)</f>
        <v>73.38</v>
      </c>
      <c r="DQ26" s="6"/>
      <c r="DR26" s="6"/>
      <c r="DS26" s="6"/>
      <c r="DT26" s="6"/>
      <c r="DU26" s="6"/>
      <c r="DV26" s="6"/>
      <c r="DW26" s="6"/>
      <c r="DX26" s="6"/>
      <c r="DY26" s="7">
        <f>ROUND(1348.4,2)</f>
        <v>1348.4</v>
      </c>
      <c r="DZ26" s="6"/>
      <c r="EA26" s="6"/>
      <c r="EB26" s="6"/>
      <c r="EC26" s="6"/>
      <c r="ED26" s="7">
        <f>ROUND(2285.54,2)</f>
        <v>2285.54</v>
      </c>
      <c r="EE26" s="6"/>
      <c r="EF26" s="7">
        <f>ROUND(1376.94,2)</f>
        <v>1376.94</v>
      </c>
      <c r="EG26" s="6"/>
      <c r="EH26" s="7">
        <f>ROUND(5246.7,2)</f>
        <v>5246.7</v>
      </c>
      <c r="EI26" s="7">
        <f>ROUND(15.86,2)</f>
        <v>15.86</v>
      </c>
      <c r="EJ26" s="6"/>
      <c r="EK26" s="7">
        <f>ROUND(1283.6,2)</f>
        <v>1283.5999999999999</v>
      </c>
      <c r="EL26" s="6"/>
      <c r="EM26" s="6"/>
      <c r="EN26" s="7">
        <f>ROUND(256.72,2)</f>
        <v>256.72000000000003</v>
      </c>
      <c r="EO26" s="7">
        <f>ROUND(85.68,2)</f>
        <v>85.68</v>
      </c>
      <c r="EP26" s="6"/>
      <c r="EQ26" s="6"/>
      <c r="ER26" s="6"/>
      <c r="ES26" s="6"/>
      <c r="ET26" s="6"/>
      <c r="EU26" s="6"/>
      <c r="EV26" s="7">
        <f>ROUND(500,2)</f>
        <v>500</v>
      </c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7">
        <f>ROUND(925,2)</f>
        <v>925</v>
      </c>
      <c r="FK26" s="6"/>
      <c r="FL26" s="6"/>
      <c r="FM26" s="6"/>
      <c r="FN26" s="6"/>
      <c r="FO26" s="6"/>
      <c r="FP26" s="6"/>
      <c r="FQ26" s="6"/>
      <c r="FR26" s="6"/>
      <c r="FS26" s="6"/>
      <c r="FT26" s="7">
        <f t="shared" si="2"/>
        <v>3000</v>
      </c>
      <c r="FU26" s="6"/>
      <c r="FV26" s="6"/>
      <c r="FW26" s="6"/>
      <c r="FX26" s="7">
        <f>ROUND(269.68,2)</f>
        <v>269.68</v>
      </c>
      <c r="FY26" s="7">
        <f>ROUND(73203.9599999999,2)</f>
        <v>73203.960000000006</v>
      </c>
    </row>
    <row r="27" spans="1:181" x14ac:dyDescent="0.3">
      <c r="A27" s="4" t="s">
        <v>241</v>
      </c>
      <c r="B27" s="5" t="s">
        <v>1029</v>
      </c>
      <c r="C27" s="5" t="s">
        <v>181</v>
      </c>
      <c r="D27" s="5" t="s">
        <v>242</v>
      </c>
      <c r="E27" s="5" t="s">
        <v>0</v>
      </c>
      <c r="F27" s="5" t="s">
        <v>0</v>
      </c>
      <c r="G27" s="5" t="s">
        <v>183</v>
      </c>
      <c r="H27" s="8">
        <v>34.04</v>
      </c>
      <c r="I27" s="7">
        <f>ROUND(61684.1599999999,2)</f>
        <v>61684.160000000003</v>
      </c>
      <c r="J27" s="6"/>
      <c r="K27" s="6"/>
      <c r="L27" s="6"/>
      <c r="M27" s="6"/>
      <c r="N27" s="7">
        <f>ROUND(899.939999999999,2)</f>
        <v>899.94</v>
      </c>
      <c r="O27" s="6"/>
      <c r="P27" s="6"/>
      <c r="Q27" s="7">
        <f>ROUND(24.64,2)</f>
        <v>24.64</v>
      </c>
      <c r="R27" s="6"/>
      <c r="S27" s="6"/>
      <c r="T27" s="6"/>
      <c r="U27" s="6"/>
      <c r="V27" s="6"/>
      <c r="W27" s="6"/>
      <c r="X27" s="7">
        <f>ROUND(0.77,2)</f>
        <v>0.77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7">
        <f>ROUND(66,2)</f>
        <v>66</v>
      </c>
      <c r="AV27" s="7">
        <f>ROUND(8,2)</f>
        <v>8</v>
      </c>
      <c r="AW27" s="7">
        <f>ROUND(52,2)</f>
        <v>52</v>
      </c>
      <c r="AX27" s="6"/>
      <c r="AY27" s="7">
        <f>ROUND(200,2)</f>
        <v>200</v>
      </c>
      <c r="AZ27" s="6"/>
      <c r="BA27" s="6"/>
      <c r="BB27" s="7">
        <f>ROUND(24,2)</f>
        <v>24</v>
      </c>
      <c r="BC27" s="6"/>
      <c r="BD27" s="7">
        <f>ROUND(72,2)</f>
        <v>72</v>
      </c>
      <c r="BE27" s="6"/>
      <c r="BF27" s="6"/>
      <c r="BG27" s="6"/>
      <c r="BH27" s="6"/>
      <c r="BI27" s="6"/>
      <c r="BJ27" s="6"/>
      <c r="BK27" s="7">
        <f>ROUND(359.77,2)</f>
        <v>359.77</v>
      </c>
      <c r="BL27" s="7">
        <f>ROUND(8.26,2)</f>
        <v>8.26</v>
      </c>
      <c r="BM27" s="6"/>
      <c r="BN27" s="6"/>
      <c r="BO27" s="6"/>
      <c r="BP27" s="6"/>
      <c r="BQ27" s="6"/>
      <c r="BR27" s="6"/>
      <c r="BS27" s="6"/>
      <c r="BT27" s="6"/>
      <c r="BU27" s="7">
        <f>ROUND(40,2)</f>
        <v>40</v>
      </c>
      <c r="BV27" s="6"/>
      <c r="BW27" s="6"/>
      <c r="BX27" s="6"/>
      <c r="BY27" s="6"/>
      <c r="BZ27" s="6"/>
      <c r="CA27" s="6"/>
      <c r="CB27" s="7">
        <f>ROUND(463.539999999999,2)</f>
        <v>463.54</v>
      </c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7">
        <f>ROUND(2218.92,2)</f>
        <v>2218.92</v>
      </c>
      <c r="CR27" s="6"/>
      <c r="CS27" s="6"/>
      <c r="CT27" s="6"/>
      <c r="CU27" s="6"/>
      <c r="CV27" s="7">
        <f>ROUND(29266.6399999999,2)</f>
        <v>29266.639999999999</v>
      </c>
      <c r="CW27" s="6"/>
      <c r="CX27" s="6"/>
      <c r="CY27" s="7">
        <f>ROUND(1225.78,2)</f>
        <v>1225.78</v>
      </c>
      <c r="CZ27" s="6"/>
      <c r="DA27" s="6"/>
      <c r="DB27" s="6"/>
      <c r="DC27" s="6"/>
      <c r="DD27" s="6"/>
      <c r="DE27" s="6"/>
      <c r="DF27" s="7">
        <f>ROUND(24.71,2)</f>
        <v>24.71</v>
      </c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7">
        <f>ROUND(2148.9,2)</f>
        <v>2148.9</v>
      </c>
      <c r="EE27" s="7">
        <f>ROUND(396.64,2)</f>
        <v>396.64</v>
      </c>
      <c r="EF27" s="7">
        <f>ROUND(1693.88,2)</f>
        <v>1693.88</v>
      </c>
      <c r="EG27" s="6"/>
      <c r="EH27" s="7">
        <f>ROUND(6531.51999999999,2)</f>
        <v>6531.52</v>
      </c>
      <c r="EI27" s="6"/>
      <c r="EJ27" s="6"/>
      <c r="EK27" s="7">
        <f>ROUND(777.84,2)</f>
        <v>777.84</v>
      </c>
      <c r="EL27" s="6"/>
      <c r="EM27" s="6"/>
      <c r="EN27" s="7">
        <f>ROUND(2310.48,2)</f>
        <v>2310.48</v>
      </c>
      <c r="EO27" s="6"/>
      <c r="EP27" s="6"/>
      <c r="EQ27" s="6"/>
      <c r="ER27" s="6"/>
      <c r="ES27" s="6"/>
      <c r="ET27" s="6"/>
      <c r="EU27" s="6"/>
      <c r="EV27" s="6"/>
      <c r="EW27" s="6"/>
      <c r="EX27" s="7">
        <f>ROUND(11750.15,2)</f>
        <v>11750.15</v>
      </c>
      <c r="EY27" s="7">
        <f>ROUND(397.6,2)</f>
        <v>397.6</v>
      </c>
      <c r="EZ27" s="6"/>
      <c r="FA27" s="6"/>
      <c r="FB27" s="6"/>
      <c r="FC27" s="6"/>
      <c r="FD27" s="6"/>
      <c r="FE27" s="6"/>
      <c r="FF27" s="7">
        <f>ROUND(1283.6,2)</f>
        <v>1283.5999999999999</v>
      </c>
      <c r="FG27" s="6"/>
      <c r="FH27" s="7">
        <f>ROUND(-148.58,2)</f>
        <v>-148.58000000000001</v>
      </c>
      <c r="FI27" s="6"/>
      <c r="FJ27" s="7">
        <f>ROUND(1025,2)</f>
        <v>1025</v>
      </c>
      <c r="FK27" s="6"/>
      <c r="FL27" s="6"/>
      <c r="FM27" s="6"/>
      <c r="FN27" s="6"/>
      <c r="FO27" s="6"/>
      <c r="FP27" s="6"/>
      <c r="FQ27" s="6"/>
      <c r="FR27" s="6"/>
      <c r="FS27" s="6"/>
      <c r="FT27" s="7">
        <f t="shared" si="2"/>
        <v>3000</v>
      </c>
      <c r="FU27" s="6"/>
      <c r="FV27" s="6"/>
      <c r="FW27" s="6"/>
      <c r="FX27" s="6"/>
      <c r="FY27" s="7">
        <f>ROUND(61684.1599999999,2)</f>
        <v>61684.160000000003</v>
      </c>
    </row>
    <row r="28" spans="1:181" ht="26.4" x14ac:dyDescent="0.3">
      <c r="A28" s="4" t="s">
        <v>243</v>
      </c>
      <c r="B28" s="5"/>
      <c r="C28" s="5" t="s">
        <v>244</v>
      </c>
      <c r="D28" s="5" t="s">
        <v>245</v>
      </c>
      <c r="E28" s="5" t="s">
        <v>246</v>
      </c>
      <c r="F28" s="5" t="s">
        <v>0</v>
      </c>
      <c r="G28" s="5" t="s">
        <v>247</v>
      </c>
      <c r="H28" s="8">
        <f>ROUND(18,2)</f>
        <v>18</v>
      </c>
      <c r="I28" s="7">
        <f>ROUND(5337,2)</f>
        <v>5337</v>
      </c>
      <c r="J28" s="7">
        <f>ROUND(268.5,2)</f>
        <v>268.5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7">
        <f>ROUND(20,2)</f>
        <v>20</v>
      </c>
      <c r="BX28" s="6"/>
      <c r="BY28" s="6"/>
      <c r="BZ28" s="6"/>
      <c r="CA28" s="6"/>
      <c r="CB28" s="6"/>
      <c r="CC28" s="6"/>
      <c r="CD28" s="6"/>
      <c r="CE28" s="6"/>
      <c r="CF28" s="6"/>
      <c r="CG28" s="7">
        <f>ROUND(8,2)</f>
        <v>8</v>
      </c>
      <c r="CH28" s="6"/>
      <c r="CI28" s="6"/>
      <c r="CJ28" s="6"/>
      <c r="CK28" s="6"/>
      <c r="CL28" s="6"/>
      <c r="CM28" s="6"/>
      <c r="CN28" s="6"/>
      <c r="CO28" s="6"/>
      <c r="CP28" s="6"/>
      <c r="CQ28" s="7">
        <f>ROUND(296.5,2)</f>
        <v>296.5</v>
      </c>
      <c r="CR28" s="7">
        <f>ROUND(4833,2)</f>
        <v>4833</v>
      </c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7">
        <f>ROUND(360,2)</f>
        <v>360</v>
      </c>
      <c r="FH28" s="6"/>
      <c r="FI28" s="6"/>
      <c r="FJ28" s="6"/>
      <c r="FK28" s="6"/>
      <c r="FL28" s="6"/>
      <c r="FM28" s="7">
        <f>ROUND(144,2)</f>
        <v>144</v>
      </c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7">
        <f>ROUND(5337,2)</f>
        <v>5337</v>
      </c>
    </row>
    <row r="29" spans="1:181" x14ac:dyDescent="0.3">
      <c r="A29" s="4" t="s">
        <v>248</v>
      </c>
      <c r="B29" s="5" t="s">
        <v>1029</v>
      </c>
      <c r="C29" s="5" t="s">
        <v>181</v>
      </c>
      <c r="D29" s="5" t="s">
        <v>249</v>
      </c>
      <c r="E29" s="5" t="s">
        <v>0</v>
      </c>
      <c r="F29" s="5" t="s">
        <v>0</v>
      </c>
      <c r="G29" s="5" t="s">
        <v>183</v>
      </c>
      <c r="H29" s="8">
        <v>33.380000000000003</v>
      </c>
      <c r="I29" s="7">
        <f>ROUND(83958.32,2)</f>
        <v>83958.32</v>
      </c>
      <c r="J29" s="6"/>
      <c r="K29" s="6"/>
      <c r="L29" s="6"/>
      <c r="M29" s="6"/>
      <c r="N29" s="7">
        <f>ROUND(1904.71,2)</f>
        <v>1904.71</v>
      </c>
      <c r="O29" s="6"/>
      <c r="P29" s="6"/>
      <c r="Q29" s="7">
        <f>ROUND(118.74,2)</f>
        <v>118.74</v>
      </c>
      <c r="R29" s="6"/>
      <c r="S29" s="6"/>
      <c r="T29" s="6"/>
      <c r="U29" s="6"/>
      <c r="V29" s="7">
        <f>ROUND(3.7,2)</f>
        <v>3.7</v>
      </c>
      <c r="W29" s="6"/>
      <c r="X29" s="7">
        <f>ROUND(0.18,2)</f>
        <v>0.18</v>
      </c>
      <c r="Y29" s="6"/>
      <c r="Z29" s="6"/>
      <c r="AA29" s="6"/>
      <c r="AB29" s="6"/>
      <c r="AC29" s="6"/>
      <c r="AD29" s="6"/>
      <c r="AE29" s="7">
        <f>ROUND(20.42,2)</f>
        <v>20.420000000000002</v>
      </c>
      <c r="AF29" s="6"/>
      <c r="AG29" s="7">
        <f>ROUND(9.75,2)</f>
        <v>9.75</v>
      </c>
      <c r="AH29" s="6"/>
      <c r="AI29" s="6"/>
      <c r="AJ29" s="6"/>
      <c r="AK29" s="6"/>
      <c r="AL29" s="6"/>
      <c r="AM29" s="6"/>
      <c r="AN29" s="6"/>
      <c r="AO29" s="6"/>
      <c r="AP29" s="7">
        <f>ROUND(30,2)</f>
        <v>30</v>
      </c>
      <c r="AQ29" s="6"/>
      <c r="AR29" s="7">
        <f>ROUND(21,2)</f>
        <v>21</v>
      </c>
      <c r="AS29" s="6"/>
      <c r="AT29" s="6"/>
      <c r="AU29" s="7">
        <f>ROUND(56.07,2)</f>
        <v>56.07</v>
      </c>
      <c r="AV29" s="7">
        <f>ROUND(3.93,2)</f>
        <v>3.93</v>
      </c>
      <c r="AW29" s="7">
        <f>ROUND(34,2)</f>
        <v>34</v>
      </c>
      <c r="AX29" s="6"/>
      <c r="AY29" s="7">
        <f>ROUND(8,2)</f>
        <v>8</v>
      </c>
      <c r="AZ29" s="6"/>
      <c r="BA29" s="6"/>
      <c r="BB29" s="7">
        <f>ROUND(40,2)</f>
        <v>40</v>
      </c>
      <c r="BC29" s="6"/>
      <c r="BD29" s="7">
        <f>ROUND(17,2)</f>
        <v>17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7">
        <f>ROUND(10.25,2)</f>
        <v>10.25</v>
      </c>
      <c r="BP29" s="6"/>
      <c r="BQ29" s="6"/>
      <c r="BR29" s="6"/>
      <c r="BS29" s="6"/>
      <c r="BT29" s="6"/>
      <c r="BU29" s="6"/>
      <c r="BV29" s="6"/>
      <c r="BW29" s="7">
        <f>ROUND(8,2)</f>
        <v>8</v>
      </c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7">
        <f>ROUND(72,2)</f>
        <v>72</v>
      </c>
      <c r="CQ29" s="7">
        <f>ROUND(2357.75,2)</f>
        <v>2357.75</v>
      </c>
      <c r="CR29" s="6"/>
      <c r="CS29" s="6"/>
      <c r="CT29" s="6"/>
      <c r="CU29" s="6"/>
      <c r="CV29" s="7">
        <f>ROUND(62634.85,2)</f>
        <v>62634.85</v>
      </c>
      <c r="CW29" s="6"/>
      <c r="CX29" s="6"/>
      <c r="CY29" s="7">
        <f>ROUND(5886.54,2)</f>
        <v>5886.54</v>
      </c>
      <c r="CZ29" s="6"/>
      <c r="DA29" s="6"/>
      <c r="DB29" s="6"/>
      <c r="DC29" s="6"/>
      <c r="DD29" s="7">
        <f>ROUND(118.73,2)</f>
        <v>118.73</v>
      </c>
      <c r="DE29" s="6"/>
      <c r="DF29" s="7">
        <f>ROUND(5.78,2)</f>
        <v>5.78</v>
      </c>
      <c r="DG29" s="6"/>
      <c r="DH29" s="6"/>
      <c r="DI29" s="6"/>
      <c r="DJ29" s="6"/>
      <c r="DK29" s="6"/>
      <c r="DL29" s="6"/>
      <c r="DM29" s="6"/>
      <c r="DN29" s="7">
        <f>ROUND(655.28,2)</f>
        <v>655.28</v>
      </c>
      <c r="DO29" s="6"/>
      <c r="DP29" s="7">
        <f>ROUND(483.36,2)</f>
        <v>483.36</v>
      </c>
      <c r="DQ29" s="6"/>
      <c r="DR29" s="6"/>
      <c r="DS29" s="6"/>
      <c r="DT29" s="6"/>
      <c r="DU29" s="6"/>
      <c r="DV29" s="6"/>
      <c r="DW29" s="6"/>
      <c r="DX29" s="6"/>
      <c r="DY29" s="7">
        <f>ROUND(964.199999999999,2)</f>
        <v>964.2</v>
      </c>
      <c r="DZ29" s="6"/>
      <c r="EA29" s="7">
        <f>ROUND(1029.63,2)</f>
        <v>1029.6300000000001</v>
      </c>
      <c r="EB29" s="6"/>
      <c r="EC29" s="6"/>
      <c r="ED29" s="7">
        <f>ROUND(1828.87,2)</f>
        <v>1828.87</v>
      </c>
      <c r="EE29" s="7">
        <f>ROUND(194.85,2)</f>
        <v>194.85</v>
      </c>
      <c r="EF29" s="7">
        <f>ROUND(1114.1,2)</f>
        <v>1114.0999999999999</v>
      </c>
      <c r="EG29" s="6"/>
      <c r="EH29" s="7">
        <f>ROUND(256.72,2)</f>
        <v>256.72000000000003</v>
      </c>
      <c r="EI29" s="6"/>
      <c r="EJ29" s="6"/>
      <c r="EK29" s="7">
        <f>ROUND(1298.96,2)</f>
        <v>1298.96</v>
      </c>
      <c r="EL29" s="6"/>
      <c r="EM29" s="6"/>
      <c r="EN29" s="7">
        <f>ROUND(554.17,2)</f>
        <v>554.16999999999996</v>
      </c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7">
        <f>ROUND(328.92,2)</f>
        <v>328.92</v>
      </c>
      <c r="FC29" s="6"/>
      <c r="FD29" s="6"/>
      <c r="FE29" s="6"/>
      <c r="FF29" s="6"/>
      <c r="FG29" s="6"/>
      <c r="FH29" s="6"/>
      <c r="FI29" s="6"/>
      <c r="FJ29" s="7">
        <f>ROUND(1200,2)</f>
        <v>1200</v>
      </c>
      <c r="FK29" s="6"/>
      <c r="FL29" s="6"/>
      <c r="FM29" s="6"/>
      <c r="FN29" s="6"/>
      <c r="FO29" s="6"/>
      <c r="FP29" s="6"/>
      <c r="FQ29" s="6"/>
      <c r="FR29" s="6"/>
      <c r="FS29" s="6"/>
      <c r="FT29" s="7">
        <f>ROUND(3000,2)</f>
        <v>3000</v>
      </c>
      <c r="FU29" s="6"/>
      <c r="FV29" s="6"/>
      <c r="FW29" s="6"/>
      <c r="FX29" s="7">
        <f>ROUND(2403.36,2)</f>
        <v>2403.36</v>
      </c>
      <c r="FY29" s="7">
        <f>ROUND(83958.32,2)</f>
        <v>83958.32</v>
      </c>
    </row>
    <row r="30" spans="1:181" ht="26.4" x14ac:dyDescent="0.3">
      <c r="A30" s="4" t="s">
        <v>250</v>
      </c>
      <c r="B30" s="5"/>
      <c r="C30" s="5" t="s">
        <v>236</v>
      </c>
      <c r="D30" s="5" t="s">
        <v>251</v>
      </c>
      <c r="E30" s="5" t="s">
        <v>0</v>
      </c>
      <c r="F30" s="5" t="s">
        <v>0</v>
      </c>
      <c r="G30" s="5" t="s">
        <v>252</v>
      </c>
      <c r="H30" s="8">
        <f>ROUND(1208.27,2)</f>
        <v>1208.27</v>
      </c>
      <c r="I30" s="7">
        <f>ROUND(92438.16,2)</f>
        <v>92438.16</v>
      </c>
      <c r="J30" s="7">
        <f>ROUND(1632,2)</f>
        <v>1632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7">
        <f>ROUND(-20,2)</f>
        <v>-20</v>
      </c>
      <c r="AJ30" s="7">
        <f>ROUND(68,2)</f>
        <v>68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>
        <f>ROUND(8,2)</f>
        <v>8</v>
      </c>
      <c r="BX30" s="6"/>
      <c r="BY30" s="6"/>
      <c r="BZ30" s="6"/>
      <c r="CA30" s="6"/>
      <c r="CB30" s="6"/>
      <c r="CC30" s="6"/>
      <c r="CD30" s="6"/>
      <c r="CE30" s="6"/>
      <c r="CF30" s="6"/>
      <c r="CG30" s="7">
        <f>ROUND(16,2)</f>
        <v>16</v>
      </c>
      <c r="CH30" s="7">
        <f>ROUND(56,2)</f>
        <v>56</v>
      </c>
      <c r="CI30" s="7">
        <f>ROUND(32,2)</f>
        <v>32</v>
      </c>
      <c r="CJ30" s="6"/>
      <c r="CK30" s="6"/>
      <c r="CL30" s="6"/>
      <c r="CM30" s="6"/>
      <c r="CN30" s="7">
        <f>ROUND(140,2)</f>
        <v>140</v>
      </c>
      <c r="CO30" s="6"/>
      <c r="CP30" s="6"/>
      <c r="CQ30" s="7">
        <f>ROUND(1932,2)</f>
        <v>1932</v>
      </c>
      <c r="CR30" s="7">
        <f>ROUND(60171.8599999999,2)</f>
        <v>60171.86</v>
      </c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7">
        <f>ROUND(-604.13,2)</f>
        <v>-604.13</v>
      </c>
      <c r="DS30" s="7">
        <f>ROUND(25500,2)</f>
        <v>25500</v>
      </c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7">
        <f>ROUND(2899.85,2)</f>
        <v>2899.85</v>
      </c>
      <c r="FK30" s="6"/>
      <c r="FL30" s="6"/>
      <c r="FM30" s="7">
        <f>ROUND(483.31,2)</f>
        <v>483.31</v>
      </c>
      <c r="FN30" s="7">
        <f>ROUND(724.95,2)</f>
        <v>724.95</v>
      </c>
      <c r="FO30" s="7">
        <f>ROUND(724.95,2)</f>
        <v>724.95</v>
      </c>
      <c r="FP30" s="6"/>
      <c r="FQ30" s="6"/>
      <c r="FR30" s="6"/>
      <c r="FS30" s="6"/>
      <c r="FT30" s="6"/>
      <c r="FU30" s="6"/>
      <c r="FV30" s="7">
        <f>ROUND(2537.37,2)</f>
        <v>2537.37</v>
      </c>
      <c r="FW30" s="6"/>
      <c r="FX30" s="6"/>
      <c r="FY30" s="7">
        <f>ROUND(92438.16,2)</f>
        <v>92438.16</v>
      </c>
    </row>
    <row r="31" spans="1:181" x14ac:dyDescent="0.3">
      <c r="A31" s="4" t="s">
        <v>253</v>
      </c>
      <c r="B31" s="5" t="s">
        <v>1029</v>
      </c>
      <c r="C31" s="5" t="s">
        <v>181</v>
      </c>
      <c r="D31" s="5" t="s">
        <v>254</v>
      </c>
      <c r="E31" s="5" t="s">
        <v>255</v>
      </c>
      <c r="F31" s="5" t="s">
        <v>0</v>
      </c>
      <c r="G31" s="5" t="s">
        <v>183</v>
      </c>
      <c r="H31" s="9">
        <v>29.75</v>
      </c>
      <c r="I31" s="7">
        <f>ROUND(34629.69,2)</f>
        <v>34629.69</v>
      </c>
      <c r="J31" s="6"/>
      <c r="K31" s="6"/>
      <c r="L31" s="6"/>
      <c r="M31" s="6"/>
      <c r="N31" s="7">
        <f>ROUND(1065.37,2)</f>
        <v>1065.3699999999999</v>
      </c>
      <c r="O31" s="6"/>
      <c r="P31" s="6"/>
      <c r="Q31" s="7">
        <f>ROUND(12.08,2)</f>
        <v>12.08</v>
      </c>
      <c r="R31" s="6"/>
      <c r="S31" s="6"/>
      <c r="T31" s="6"/>
      <c r="U31" s="6"/>
      <c r="V31" s="6"/>
      <c r="W31" s="6"/>
      <c r="X31" s="7">
        <f>ROUND(0.18,2)</f>
        <v>0.18</v>
      </c>
      <c r="Y31" s="6"/>
      <c r="Z31" s="6"/>
      <c r="AA31" s="6"/>
      <c r="AB31" s="6"/>
      <c r="AC31" s="6"/>
      <c r="AD31" s="6"/>
      <c r="AE31" s="7">
        <f>ROUND(70.6,2)</f>
        <v>70.599999999999994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7">
        <f>ROUND(19.12,2)</f>
        <v>19.12</v>
      </c>
      <c r="AQ31" s="6"/>
      <c r="AR31" s="6"/>
      <c r="AS31" s="6"/>
      <c r="AT31" s="6"/>
      <c r="AU31" s="7">
        <f>ROUND(30,2)</f>
        <v>30</v>
      </c>
      <c r="AV31" s="6"/>
      <c r="AW31" s="7">
        <f>ROUND(5,2)</f>
        <v>5</v>
      </c>
      <c r="AX31" s="6"/>
      <c r="AY31" s="7">
        <f>ROUND(15,2)</f>
        <v>15</v>
      </c>
      <c r="AZ31" s="6"/>
      <c r="BA31" s="6"/>
      <c r="BB31" s="6"/>
      <c r="BC31" s="6"/>
      <c r="BD31" s="7">
        <f>ROUND(8,2)</f>
        <v>8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7">
        <f>ROUND(5,2)</f>
        <v>5</v>
      </c>
      <c r="BP31" s="6"/>
      <c r="BQ31" s="7">
        <f>ROUND(32.49,2)</f>
        <v>32.49</v>
      </c>
      <c r="BR31" s="6"/>
      <c r="BS31" s="6"/>
      <c r="BT31" s="7">
        <f>ROUND(1.83999999999999,2)</f>
        <v>1.84</v>
      </c>
      <c r="BU31" s="6"/>
      <c r="BV31" s="6"/>
      <c r="BW31" s="6"/>
      <c r="BX31" s="6"/>
      <c r="BY31" s="7">
        <f>ROUND(5,2)</f>
        <v>5</v>
      </c>
      <c r="BZ31" s="6"/>
      <c r="CA31" s="7">
        <f>ROUND(3.92,2)</f>
        <v>3.92</v>
      </c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7">
        <f>ROUND(1273.6,2)</f>
        <v>1273.5999999999999</v>
      </c>
      <c r="CR31" s="6"/>
      <c r="CS31" s="6"/>
      <c r="CT31" s="6"/>
      <c r="CU31" s="6"/>
      <c r="CV31" s="7">
        <f>ROUND(28920.3,2)</f>
        <v>28920.3</v>
      </c>
      <c r="CW31" s="6"/>
      <c r="CX31" s="6"/>
      <c r="CY31" s="7">
        <f>ROUND(484.82,2)</f>
        <v>484.82</v>
      </c>
      <c r="CZ31" s="6"/>
      <c r="DA31" s="6"/>
      <c r="DB31" s="6"/>
      <c r="DC31" s="6"/>
      <c r="DD31" s="6"/>
      <c r="DE31" s="6"/>
      <c r="DF31" s="7">
        <f>ROUND(4.91,2)</f>
        <v>4.91</v>
      </c>
      <c r="DG31" s="6"/>
      <c r="DH31" s="6"/>
      <c r="DI31" s="6"/>
      <c r="DJ31" s="6"/>
      <c r="DK31" s="6"/>
      <c r="DL31" s="6"/>
      <c r="DM31" s="6"/>
      <c r="DN31" s="7">
        <f>ROUND(1763.28,2)</f>
        <v>1763.28</v>
      </c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7">
        <f>ROUND(511.94,2)</f>
        <v>511.94</v>
      </c>
      <c r="DZ31" s="6"/>
      <c r="EA31" s="6"/>
      <c r="EB31" s="6"/>
      <c r="EC31" s="6"/>
      <c r="ED31" s="7">
        <f>ROUND(769.55,2)</f>
        <v>769.55</v>
      </c>
      <c r="EE31" s="6"/>
      <c r="EF31" s="7">
        <f>ROUND(136.4,2)</f>
        <v>136.4</v>
      </c>
      <c r="EG31" s="6"/>
      <c r="EH31" s="7">
        <f>ROUND(421.35,2)</f>
        <v>421.35</v>
      </c>
      <c r="EI31" s="6"/>
      <c r="EJ31" s="6"/>
      <c r="EK31" s="6"/>
      <c r="EL31" s="6"/>
      <c r="EM31" s="6"/>
      <c r="EN31" s="7">
        <f>ROUND(218.24,2)</f>
        <v>218.24</v>
      </c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7">
        <f>ROUND(128.35,2)</f>
        <v>128.35</v>
      </c>
      <c r="FC31" s="6"/>
      <c r="FD31" s="7">
        <f>ROUND(745.55,2)</f>
        <v>745.55</v>
      </c>
      <c r="FE31" s="6"/>
      <c r="FF31" s="6"/>
      <c r="FG31" s="6"/>
      <c r="FH31" s="6"/>
      <c r="FI31" s="6"/>
      <c r="FJ31" s="7">
        <f>ROUND(525,2)</f>
        <v>525</v>
      </c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7">
        <f>ROUND(34629.69,2)</f>
        <v>34629.69</v>
      </c>
    </row>
    <row r="32" spans="1:181" x14ac:dyDescent="0.3">
      <c r="A32" s="4" t="s">
        <v>256</v>
      </c>
      <c r="B32" s="5" t="s">
        <v>1029</v>
      </c>
      <c r="C32" s="5" t="s">
        <v>181</v>
      </c>
      <c r="D32" s="5" t="s">
        <v>257</v>
      </c>
      <c r="E32" s="5" t="s">
        <v>0</v>
      </c>
      <c r="F32" s="5" t="s">
        <v>0</v>
      </c>
      <c r="G32" s="5" t="s">
        <v>183</v>
      </c>
      <c r="H32" s="8">
        <v>33.880000000000003</v>
      </c>
      <c r="I32" s="7">
        <f>ROUND(92192.27,2)</f>
        <v>92192.27</v>
      </c>
      <c r="J32" s="6"/>
      <c r="K32" s="6"/>
      <c r="L32" s="6"/>
      <c r="M32" s="6"/>
      <c r="N32" s="7">
        <f>ROUND(1858.12999999999,2)</f>
        <v>1858.13</v>
      </c>
      <c r="O32" s="6"/>
      <c r="P32" s="6"/>
      <c r="Q32" s="7">
        <f>ROUND(349.989999999999,2)</f>
        <v>349.99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7">
        <f>ROUND(63.2,2)</f>
        <v>63.2</v>
      </c>
      <c r="AV32" s="7">
        <f>ROUND(4.8,2)</f>
        <v>4.8</v>
      </c>
      <c r="AW32" s="7">
        <f>ROUND(34.52,2)</f>
        <v>34.520000000000003</v>
      </c>
      <c r="AX32" s="7">
        <f>ROUND(5.48,2)</f>
        <v>5.48</v>
      </c>
      <c r="AY32" s="7">
        <f>ROUND(165.4,2)</f>
        <v>165.4</v>
      </c>
      <c r="AZ32" s="7">
        <f>ROUND(2.6,2)</f>
        <v>2.6</v>
      </c>
      <c r="BA32" s="6"/>
      <c r="BB32" s="6"/>
      <c r="BC32" s="6"/>
      <c r="BD32" s="7">
        <f>ROUND(8,2)</f>
        <v>8</v>
      </c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7">
        <f>ROUND(16,2)</f>
        <v>16</v>
      </c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7">
        <f>ROUND(24,2)</f>
        <v>24</v>
      </c>
      <c r="CQ32" s="7">
        <f>ROUND(2532.12,2)</f>
        <v>2532.12</v>
      </c>
      <c r="CR32" s="6"/>
      <c r="CS32" s="6"/>
      <c r="CT32" s="6"/>
      <c r="CU32" s="6"/>
      <c r="CV32" s="7">
        <f>ROUND(60468.9099999999,2)</f>
        <v>60468.91</v>
      </c>
      <c r="CW32" s="6"/>
      <c r="CX32" s="6"/>
      <c r="CY32" s="7">
        <f>ROUND(17097.4699999999,2)</f>
        <v>17097.47</v>
      </c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7">
        <f>ROUND(2060.84,2)</f>
        <v>2060.84</v>
      </c>
      <c r="EE32" s="7">
        <f>ROUND(237.98,2)</f>
        <v>237.98</v>
      </c>
      <c r="EF32" s="7">
        <f>ROUND(1144.74,2)</f>
        <v>1144.74</v>
      </c>
      <c r="EG32" s="7">
        <f>ROUND(275.84,2)</f>
        <v>275.83999999999997</v>
      </c>
      <c r="EH32" s="7">
        <f>ROUND(5457.75,2)</f>
        <v>5457.75</v>
      </c>
      <c r="EI32" s="7">
        <f>ROUND(128.9,2)</f>
        <v>128.9</v>
      </c>
      <c r="EJ32" s="6"/>
      <c r="EK32" s="6"/>
      <c r="EL32" s="6"/>
      <c r="EM32" s="6"/>
      <c r="EN32" s="7">
        <f>ROUND(256.72,2)</f>
        <v>256.72000000000003</v>
      </c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7">
        <f>ROUND(1250,2)</f>
        <v>1250</v>
      </c>
      <c r="FK32" s="6"/>
      <c r="FL32" s="6"/>
      <c r="FM32" s="6"/>
      <c r="FN32" s="6"/>
      <c r="FO32" s="6"/>
      <c r="FP32" s="6"/>
      <c r="FQ32" s="6"/>
      <c r="FR32" s="6"/>
      <c r="FS32" s="6"/>
      <c r="FT32" s="7">
        <f>ROUND(3000,2)</f>
        <v>3000</v>
      </c>
      <c r="FU32" s="6"/>
      <c r="FV32" s="6"/>
      <c r="FW32" s="6"/>
      <c r="FX32" s="7">
        <f>ROUND(813.12,2)</f>
        <v>813.12</v>
      </c>
      <c r="FY32" s="7">
        <f>ROUND(92192.27,2)</f>
        <v>92192.27</v>
      </c>
    </row>
    <row r="33" spans="1:181" ht="26.4" x14ac:dyDescent="0.3">
      <c r="A33" s="4" t="s">
        <v>258</v>
      </c>
      <c r="B33" s="5"/>
      <c r="C33" s="5" t="s">
        <v>244</v>
      </c>
      <c r="D33" s="5" t="s">
        <v>259</v>
      </c>
      <c r="E33" s="5" t="s">
        <v>0</v>
      </c>
      <c r="F33" s="5" t="s">
        <v>0</v>
      </c>
      <c r="G33" s="5" t="s">
        <v>247</v>
      </c>
      <c r="H33" s="8">
        <f>ROUND(20.2601,2)</f>
        <v>20.260000000000002</v>
      </c>
      <c r="I33" s="7">
        <f>ROUND(50321.93,2)</f>
        <v>50321.93</v>
      </c>
      <c r="J33" s="7">
        <f>ROUND(1881.25,2)</f>
        <v>1881.25</v>
      </c>
      <c r="K33" s="7">
        <f>ROUND(123.25,2)</f>
        <v>123.25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7">
        <f>ROUND(40,2)</f>
        <v>40</v>
      </c>
      <c r="BX33" s="6"/>
      <c r="BY33" s="6"/>
      <c r="BZ33" s="6"/>
      <c r="CA33" s="6"/>
      <c r="CB33" s="6"/>
      <c r="CC33" s="6"/>
      <c r="CD33" s="6"/>
      <c r="CE33" s="6"/>
      <c r="CF33" s="6"/>
      <c r="CG33" s="7">
        <f>ROUND(45,2)</f>
        <v>45</v>
      </c>
      <c r="CH33" s="7">
        <f>ROUND(40,2)</f>
        <v>40</v>
      </c>
      <c r="CI33" s="7">
        <f>ROUND(32,2)</f>
        <v>32</v>
      </c>
      <c r="CJ33" s="7">
        <f>ROUND(22,2)</f>
        <v>22</v>
      </c>
      <c r="CK33" s="6"/>
      <c r="CL33" s="7">
        <f>ROUND(20,2)</f>
        <v>20</v>
      </c>
      <c r="CM33" s="6"/>
      <c r="CN33" s="7">
        <f>ROUND(79,2)</f>
        <v>79</v>
      </c>
      <c r="CO33" s="7">
        <f>ROUND(8,2)</f>
        <v>8</v>
      </c>
      <c r="CP33" s="6"/>
      <c r="CQ33" s="7">
        <f>ROUND(2290.5,2)</f>
        <v>2290.5</v>
      </c>
      <c r="CR33" s="7">
        <f>ROUND(38114.13,2)</f>
        <v>38114.129999999997</v>
      </c>
      <c r="CS33" s="7">
        <f>ROUND(3745.61,2)</f>
        <v>3745.61</v>
      </c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7">
        <f>ROUND(500,2)</f>
        <v>500</v>
      </c>
      <c r="EX33" s="6"/>
      <c r="EY33" s="6"/>
      <c r="EZ33" s="6"/>
      <c r="FA33" s="6"/>
      <c r="FB33" s="6"/>
      <c r="FC33" s="6"/>
      <c r="FD33" s="6"/>
      <c r="FE33" s="6"/>
      <c r="FF33" s="6"/>
      <c r="FG33" s="7">
        <f>ROUND(810.4,2)</f>
        <v>810.4</v>
      </c>
      <c r="FH33" s="6"/>
      <c r="FI33" s="6"/>
      <c r="FJ33" s="7">
        <f>ROUND(1944.96,2)</f>
        <v>1944.96</v>
      </c>
      <c r="FK33" s="6"/>
      <c r="FL33" s="6"/>
      <c r="FM33" s="7">
        <f>ROUND(911.7,2)</f>
        <v>911.7</v>
      </c>
      <c r="FN33" s="7">
        <f>ROUND(810.4,2)</f>
        <v>810.4</v>
      </c>
      <c r="FO33" s="7">
        <f>ROUND(648.32,2)</f>
        <v>648.32000000000005</v>
      </c>
      <c r="FP33" s="7">
        <f>ROUND(668.59,2)</f>
        <v>668.59</v>
      </c>
      <c r="FQ33" s="6"/>
      <c r="FR33" s="6"/>
      <c r="FS33" s="7">
        <f>ROUND(405.2,2)</f>
        <v>405.2</v>
      </c>
      <c r="FT33" s="6"/>
      <c r="FU33" s="6"/>
      <c r="FV33" s="7">
        <f>ROUND(1600.54,2)</f>
        <v>1600.54</v>
      </c>
      <c r="FW33" s="7">
        <f>ROUND(162.08,2)</f>
        <v>162.08000000000001</v>
      </c>
      <c r="FX33" s="6"/>
      <c r="FY33" s="7">
        <f>ROUND(50321.93,2)</f>
        <v>50321.93</v>
      </c>
    </row>
    <row r="34" spans="1:181" x14ac:dyDescent="0.3">
      <c r="A34" s="4" t="s">
        <v>260</v>
      </c>
      <c r="B34" s="5" t="s">
        <v>1029</v>
      </c>
      <c r="C34" s="5" t="s">
        <v>181</v>
      </c>
      <c r="D34" s="5" t="s">
        <v>261</v>
      </c>
      <c r="E34" s="5" t="s">
        <v>0</v>
      </c>
      <c r="F34" s="5" t="s">
        <v>0</v>
      </c>
      <c r="G34" s="5" t="s">
        <v>183</v>
      </c>
      <c r="H34" s="8">
        <v>33.380000000000003</v>
      </c>
      <c r="I34" s="7">
        <f>ROUND(108285.169999999,2)</f>
        <v>108285.17</v>
      </c>
      <c r="J34" s="6"/>
      <c r="K34" s="6"/>
      <c r="L34" s="6"/>
      <c r="M34" s="6"/>
      <c r="N34" s="7">
        <f>ROUND(1451.68999999999,2)</f>
        <v>1451.69</v>
      </c>
      <c r="O34" s="6"/>
      <c r="P34" s="6"/>
      <c r="Q34" s="7">
        <f>ROUND(346.35,2)</f>
        <v>346.35</v>
      </c>
      <c r="R34" s="6"/>
      <c r="S34" s="6"/>
      <c r="T34" s="6"/>
      <c r="U34" s="6"/>
      <c r="V34" s="7">
        <f>ROUND(12.22,2)</f>
        <v>12.22</v>
      </c>
      <c r="W34" s="7">
        <f>ROUND(28.2,2)</f>
        <v>28.2</v>
      </c>
      <c r="X34" s="7">
        <f>ROUND(11.4799999999999,2)</f>
        <v>11.48</v>
      </c>
      <c r="Y34" s="7">
        <f>ROUND(5.84,2)</f>
        <v>5.84</v>
      </c>
      <c r="Z34" s="6"/>
      <c r="AA34" s="6"/>
      <c r="AB34" s="6"/>
      <c r="AC34" s="6"/>
      <c r="AD34" s="6"/>
      <c r="AE34" s="7">
        <f>ROUND(97.15,2)</f>
        <v>97.15</v>
      </c>
      <c r="AF34" s="6"/>
      <c r="AG34" s="7">
        <f>ROUND(33.01,2)</f>
        <v>33.01</v>
      </c>
      <c r="AH34" s="6"/>
      <c r="AI34" s="6"/>
      <c r="AJ34" s="6"/>
      <c r="AK34" s="6"/>
      <c r="AL34" s="6"/>
      <c r="AM34" s="6"/>
      <c r="AN34" s="6"/>
      <c r="AO34" s="6"/>
      <c r="AP34" s="7">
        <f>ROUND(382.6,2)</f>
        <v>382.6</v>
      </c>
      <c r="AQ34" s="6"/>
      <c r="AR34" s="7">
        <f>ROUND(208.79,2)</f>
        <v>208.79</v>
      </c>
      <c r="AS34" s="6"/>
      <c r="AT34" s="6"/>
      <c r="AU34" s="7">
        <f>ROUND(64,2)</f>
        <v>64</v>
      </c>
      <c r="AV34" s="7">
        <f>ROUND(8,2)</f>
        <v>8</v>
      </c>
      <c r="AW34" s="7">
        <f>ROUND(8,2)</f>
        <v>8</v>
      </c>
      <c r="AX34" s="7">
        <f>ROUND(16,2)</f>
        <v>16</v>
      </c>
      <c r="AY34" s="7">
        <f>ROUND(76.5,2)</f>
        <v>76.5</v>
      </c>
      <c r="AZ34" s="7">
        <f>ROUND(5.5,2)</f>
        <v>5.5</v>
      </c>
      <c r="BA34" s="6"/>
      <c r="BB34" s="6"/>
      <c r="BC34" s="6"/>
      <c r="BD34" s="7">
        <f>ROUND(8,2)</f>
        <v>8</v>
      </c>
      <c r="BE34" s="7">
        <f>ROUND(1.93,2)</f>
        <v>1.93</v>
      </c>
      <c r="BF34" s="6"/>
      <c r="BG34" s="6"/>
      <c r="BH34" s="6"/>
      <c r="BI34" s="6"/>
      <c r="BJ34" s="6"/>
      <c r="BK34" s="6"/>
      <c r="BL34" s="6"/>
      <c r="BM34" s="6"/>
      <c r="BN34" s="6"/>
      <c r="BO34" s="7">
        <f>ROUND(5,2)</f>
        <v>5</v>
      </c>
      <c r="BP34" s="6"/>
      <c r="BQ34" s="7">
        <f>ROUND(5.42,2)</f>
        <v>5.42</v>
      </c>
      <c r="BR34" s="6"/>
      <c r="BS34" s="6"/>
      <c r="BT34" s="7">
        <f>ROUND(0.5,2)</f>
        <v>0.5</v>
      </c>
      <c r="BU34" s="6"/>
      <c r="BV34" s="6"/>
      <c r="BW34" s="6"/>
      <c r="BX34" s="6"/>
      <c r="BY34" s="6"/>
      <c r="BZ34" s="6"/>
      <c r="CA34" s="7">
        <f>ROUND(8,2)</f>
        <v>8</v>
      </c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7">
        <f>ROUND(64,2)</f>
        <v>64</v>
      </c>
      <c r="CQ34" s="7">
        <f>ROUND(2848.18,2)</f>
        <v>2848.18</v>
      </c>
      <c r="CR34" s="6"/>
      <c r="CS34" s="6"/>
      <c r="CT34" s="6"/>
      <c r="CU34" s="6"/>
      <c r="CV34" s="7">
        <f>ROUND(47237.1299999999,2)</f>
        <v>47237.13</v>
      </c>
      <c r="CW34" s="6"/>
      <c r="CX34" s="6"/>
      <c r="CY34" s="7">
        <f>ROUND(16996.14,2)</f>
        <v>16996.14</v>
      </c>
      <c r="CZ34" s="6"/>
      <c r="DA34" s="6"/>
      <c r="DB34" s="6"/>
      <c r="DC34" s="6"/>
      <c r="DD34" s="7">
        <f>ROUND(393.97,2)</f>
        <v>393.97</v>
      </c>
      <c r="DE34" s="7">
        <f>ROUND(1381.18999999999,2)</f>
        <v>1381.19</v>
      </c>
      <c r="DF34" s="7">
        <f>ROUND(373.43,2)</f>
        <v>373.43</v>
      </c>
      <c r="DG34" s="7">
        <f>ROUND(283.199999999999,2)</f>
        <v>283.2</v>
      </c>
      <c r="DH34" s="6"/>
      <c r="DI34" s="6"/>
      <c r="DJ34" s="6"/>
      <c r="DK34" s="6"/>
      <c r="DL34" s="6"/>
      <c r="DM34" s="6"/>
      <c r="DN34" s="7">
        <f>ROUND(3181.87999999999,2)</f>
        <v>3181.88</v>
      </c>
      <c r="DO34" s="6"/>
      <c r="DP34" s="7">
        <f>ROUND(1613.64,2)</f>
        <v>1613.64</v>
      </c>
      <c r="DQ34" s="6"/>
      <c r="DR34" s="6"/>
      <c r="DS34" s="6"/>
      <c r="DT34" s="6"/>
      <c r="DU34" s="6"/>
      <c r="DV34" s="6"/>
      <c r="DW34" s="6"/>
      <c r="DX34" s="6"/>
      <c r="DY34" s="7">
        <f>ROUND(12563.28,2)</f>
        <v>12563.28</v>
      </c>
      <c r="DZ34" s="6"/>
      <c r="EA34" s="7">
        <f>ROUND(10247.25,2)</f>
        <v>10247.25</v>
      </c>
      <c r="EB34" s="6"/>
      <c r="EC34" s="6"/>
      <c r="ED34" s="7">
        <f>ROUND(2082.02,2)</f>
        <v>2082.02</v>
      </c>
      <c r="EE34" s="7">
        <f>ROUND(396.64,2)</f>
        <v>396.64</v>
      </c>
      <c r="EF34" s="7">
        <f>ROUND(256.72,2)</f>
        <v>256.72000000000003</v>
      </c>
      <c r="EG34" s="7">
        <f>ROUND(781.68,2)</f>
        <v>781.68</v>
      </c>
      <c r="EH34" s="7">
        <f>ROUND(2485.85,2)</f>
        <v>2485.85</v>
      </c>
      <c r="EI34" s="7">
        <f>ROUND(264.74,2)</f>
        <v>264.74</v>
      </c>
      <c r="EJ34" s="6"/>
      <c r="EK34" s="6"/>
      <c r="EL34" s="6"/>
      <c r="EM34" s="6"/>
      <c r="EN34" s="7">
        <f>ROUND(256.72,2)</f>
        <v>256.72000000000003</v>
      </c>
      <c r="EO34" s="7">
        <f>ROUND(63.79,2)</f>
        <v>63.79</v>
      </c>
      <c r="EP34" s="6"/>
      <c r="EQ34" s="6"/>
      <c r="ER34" s="6"/>
      <c r="ES34" s="6"/>
      <c r="ET34" s="6"/>
      <c r="EU34" s="6"/>
      <c r="EV34" s="7">
        <f>ROUND(500,2)</f>
        <v>500</v>
      </c>
      <c r="EW34" s="6"/>
      <c r="EX34" s="6"/>
      <c r="EY34" s="6"/>
      <c r="EZ34" s="6"/>
      <c r="FA34" s="6"/>
      <c r="FB34" s="7">
        <f>ROUND(160.45,2)</f>
        <v>160.44999999999999</v>
      </c>
      <c r="FC34" s="6"/>
      <c r="FD34" s="7">
        <f>ROUND(179.13,2)</f>
        <v>179.13</v>
      </c>
      <c r="FE34" s="6"/>
      <c r="FF34" s="6"/>
      <c r="FG34" s="6"/>
      <c r="FH34" s="6"/>
      <c r="FI34" s="6"/>
      <c r="FJ34" s="7">
        <f>ROUND(1450,2)</f>
        <v>1450</v>
      </c>
      <c r="FK34" s="6"/>
      <c r="FL34" s="6"/>
      <c r="FM34" s="6"/>
      <c r="FN34" s="6"/>
      <c r="FO34" s="6"/>
      <c r="FP34" s="6"/>
      <c r="FQ34" s="6"/>
      <c r="FR34" s="6"/>
      <c r="FS34" s="6"/>
      <c r="FT34" s="7">
        <f>ROUND(3000,2)</f>
        <v>3000</v>
      </c>
      <c r="FU34" s="6"/>
      <c r="FV34" s="6"/>
      <c r="FW34" s="6"/>
      <c r="FX34" s="7">
        <f>ROUND(2136.32,2)</f>
        <v>2136.3200000000002</v>
      </c>
      <c r="FY34" s="7">
        <f>ROUND(108285.169999999,2)</f>
        <v>108285.17</v>
      </c>
    </row>
    <row r="35" spans="1:181" x14ac:dyDescent="0.3">
      <c r="A35" s="4" t="s">
        <v>262</v>
      </c>
      <c r="B35" s="5"/>
      <c r="C35" s="5" t="s">
        <v>201</v>
      </c>
      <c r="D35" s="5" t="s">
        <v>263</v>
      </c>
      <c r="E35" s="5" t="s">
        <v>264</v>
      </c>
      <c r="F35" s="5" t="s">
        <v>0</v>
      </c>
      <c r="G35" s="5" t="s">
        <v>265</v>
      </c>
      <c r="H35" s="8">
        <f>ROUND(18.54,2)</f>
        <v>18.54</v>
      </c>
      <c r="I35" s="7">
        <f>ROUND(2303.6,2)</f>
        <v>2303.6</v>
      </c>
      <c r="J35" s="7">
        <f>ROUND(29.25,2)</f>
        <v>29.25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7">
        <f>ROUND(10,2)</f>
        <v>10</v>
      </c>
      <c r="CI35" s="6"/>
      <c r="CJ35" s="6"/>
      <c r="CK35" s="6"/>
      <c r="CL35" s="6"/>
      <c r="CM35" s="6"/>
      <c r="CN35" s="7">
        <f>ROUND(55,2)</f>
        <v>55</v>
      </c>
      <c r="CO35" s="6"/>
      <c r="CP35" s="7">
        <f>ROUND(30,2)</f>
        <v>30</v>
      </c>
      <c r="CQ35" s="7">
        <f>ROUND(124.25,2)</f>
        <v>124.25</v>
      </c>
      <c r="CR35" s="7">
        <f>ROUND(542.3,2)</f>
        <v>542.29999999999995</v>
      </c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7">
        <f>ROUND(185.4,2)</f>
        <v>185.4</v>
      </c>
      <c r="FO35" s="6"/>
      <c r="FP35" s="6"/>
      <c r="FQ35" s="6"/>
      <c r="FR35" s="6"/>
      <c r="FS35" s="6"/>
      <c r="FT35" s="6"/>
      <c r="FU35" s="6"/>
      <c r="FV35" s="7">
        <f>ROUND(1019.7,2)</f>
        <v>1019.7</v>
      </c>
      <c r="FW35" s="6"/>
      <c r="FX35" s="7">
        <f>ROUND(556.2,2)</f>
        <v>556.20000000000005</v>
      </c>
      <c r="FY35" s="7">
        <f>ROUND(2303.6,2)</f>
        <v>2303.6</v>
      </c>
    </row>
    <row r="36" spans="1:181" x14ac:dyDescent="0.3">
      <c r="A36" s="4" t="s">
        <v>266</v>
      </c>
      <c r="B36" s="5" t="s">
        <v>1029</v>
      </c>
      <c r="C36" s="5" t="s">
        <v>181</v>
      </c>
      <c r="D36" s="5" t="s">
        <v>267</v>
      </c>
      <c r="E36" s="5" t="s">
        <v>0</v>
      </c>
      <c r="F36" s="5" t="s">
        <v>268</v>
      </c>
      <c r="G36" s="5" t="s">
        <v>183</v>
      </c>
      <c r="H36" s="9">
        <v>28.37</v>
      </c>
      <c r="I36" s="7">
        <f>ROUND(31189.9199999999,2)</f>
        <v>31189.919999999998</v>
      </c>
      <c r="J36" s="6"/>
      <c r="K36" s="6"/>
      <c r="L36" s="6"/>
      <c r="M36" s="6"/>
      <c r="N36" s="7">
        <f>ROUND(596.79,2)</f>
        <v>596.79</v>
      </c>
      <c r="O36" s="6"/>
      <c r="P36" s="6"/>
      <c r="Q36" s="7">
        <f>ROUND(7.79,2)</f>
        <v>7.79</v>
      </c>
      <c r="R36" s="6"/>
      <c r="S36" s="6"/>
      <c r="T36" s="6"/>
      <c r="U36" s="6"/>
      <c r="V36" s="6"/>
      <c r="W36" s="6"/>
      <c r="X36" s="7">
        <f>ROUND(1.58,2)</f>
        <v>1.58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7">
        <f>ROUND(69.16,2)</f>
        <v>69.16</v>
      </c>
      <c r="AQ36" s="6"/>
      <c r="AR36" s="6"/>
      <c r="AS36" s="6"/>
      <c r="AT36" s="6"/>
      <c r="AU36" s="7">
        <f>ROUND(40,2)</f>
        <v>40</v>
      </c>
      <c r="AV36" s="6"/>
      <c r="AW36" s="7">
        <f>ROUND(14.75,2)</f>
        <v>14.75</v>
      </c>
      <c r="AX36" s="7">
        <f>ROUND(5.25,2)</f>
        <v>5.25</v>
      </c>
      <c r="AY36" s="6"/>
      <c r="AZ36" s="6"/>
      <c r="BA36" s="6"/>
      <c r="BB36" s="6"/>
      <c r="BC36" s="6"/>
      <c r="BD36" s="7">
        <f>ROUND(370.98,2)</f>
        <v>370.98</v>
      </c>
      <c r="BE36" s="6"/>
      <c r="BF36" s="7">
        <f>ROUND(44.52,2)</f>
        <v>44.52</v>
      </c>
      <c r="BG36" s="6"/>
      <c r="BH36" s="6"/>
      <c r="BI36" s="7">
        <f>ROUND(34,2)</f>
        <v>34</v>
      </c>
      <c r="BJ36" s="7">
        <f>ROUND(6,2)</f>
        <v>6</v>
      </c>
      <c r="BK36" s="6"/>
      <c r="BL36" s="6"/>
      <c r="BM36" s="6"/>
      <c r="BN36" s="6"/>
      <c r="BO36" s="7">
        <f>ROUND(10.25,2)</f>
        <v>10.25</v>
      </c>
      <c r="BP36" s="6"/>
      <c r="BQ36" s="6"/>
      <c r="BR36" s="6"/>
      <c r="BS36" s="7">
        <f>ROUND(5,2)</f>
        <v>5</v>
      </c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7">
        <f>ROUND(39,2)</f>
        <v>39</v>
      </c>
      <c r="CQ36" s="7">
        <f>ROUND(1245.07,2)</f>
        <v>1245.07</v>
      </c>
      <c r="CR36" s="6"/>
      <c r="CS36" s="6"/>
      <c r="CT36" s="6"/>
      <c r="CU36" s="6"/>
      <c r="CV36" s="7">
        <f>ROUND(15809.1,2)</f>
        <v>15809.1</v>
      </c>
      <c r="CW36" s="6"/>
      <c r="CX36" s="6"/>
      <c r="CY36" s="7">
        <f>ROUND(321.5,2)</f>
        <v>321.5</v>
      </c>
      <c r="CZ36" s="6"/>
      <c r="DA36" s="6"/>
      <c r="DB36" s="6"/>
      <c r="DC36" s="6"/>
      <c r="DD36" s="6"/>
      <c r="DE36" s="6"/>
      <c r="DF36" s="7">
        <f>ROUND(42.73,2)</f>
        <v>42.73</v>
      </c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7">
        <f>ROUND(1862.19999999999,2)</f>
        <v>1862.2</v>
      </c>
      <c r="DZ36" s="6"/>
      <c r="EA36" s="6"/>
      <c r="EB36" s="6"/>
      <c r="EC36" s="6"/>
      <c r="ED36" s="7">
        <f>ROUND(1047.6,2)</f>
        <v>1047.5999999999999</v>
      </c>
      <c r="EE36" s="6"/>
      <c r="EF36" s="7">
        <f>ROUND(402.38,2)</f>
        <v>402.38</v>
      </c>
      <c r="EG36" s="7">
        <f>ROUND(214.83,2)</f>
        <v>214.83</v>
      </c>
      <c r="EH36" s="6"/>
      <c r="EI36" s="6"/>
      <c r="EJ36" s="6"/>
      <c r="EK36" s="6"/>
      <c r="EL36" s="6"/>
      <c r="EM36" s="6"/>
      <c r="EN36" s="7">
        <f>ROUND(6492.15,2)</f>
        <v>6492.15</v>
      </c>
      <c r="EO36" s="6"/>
      <c r="EP36" s="7">
        <f>ROUND(1168.65,2)</f>
        <v>1168.6500000000001</v>
      </c>
      <c r="EQ36" s="6"/>
      <c r="ER36" s="6"/>
      <c r="ES36" s="6"/>
      <c r="ET36" s="7">
        <f>ROUND(595,2)</f>
        <v>595</v>
      </c>
      <c r="EU36" s="7">
        <f>ROUND(157.5,2)</f>
        <v>157.5</v>
      </c>
      <c r="EV36" s="6"/>
      <c r="EW36" s="6"/>
      <c r="EX36" s="6"/>
      <c r="EY36" s="6"/>
      <c r="EZ36" s="6"/>
      <c r="FA36" s="6"/>
      <c r="FB36" s="7">
        <f>ROUND(271.01,2)</f>
        <v>271.01</v>
      </c>
      <c r="FC36" s="6"/>
      <c r="FD36" s="6"/>
      <c r="FE36" s="6"/>
      <c r="FF36" s="6"/>
      <c r="FG36" s="6"/>
      <c r="FH36" s="6"/>
      <c r="FI36" s="6"/>
      <c r="FJ36" s="7">
        <f>ROUND(225,2)</f>
        <v>225</v>
      </c>
      <c r="FK36" s="6"/>
      <c r="FL36" s="6"/>
      <c r="FM36" s="6"/>
      <c r="FN36" s="6"/>
      <c r="FO36" s="6"/>
      <c r="FP36" s="6"/>
      <c r="FQ36" s="6"/>
      <c r="FR36" s="6"/>
      <c r="FS36" s="6"/>
      <c r="FT36" s="7">
        <f>ROUND(1500,2)</f>
        <v>1500</v>
      </c>
      <c r="FU36" s="6"/>
      <c r="FV36" s="6"/>
      <c r="FW36" s="6"/>
      <c r="FX36" s="7">
        <f>ROUND(1080.27,2)</f>
        <v>1080.27</v>
      </c>
      <c r="FY36" s="7">
        <f>ROUND(31189.9199999999,2)</f>
        <v>31189.919999999998</v>
      </c>
    </row>
    <row r="37" spans="1:181" x14ac:dyDescent="0.3">
      <c r="A37" s="4" t="s">
        <v>269</v>
      </c>
      <c r="B37" s="5"/>
      <c r="C37" s="5" t="s">
        <v>270</v>
      </c>
      <c r="D37" s="5" t="s">
        <v>271</v>
      </c>
      <c r="E37" s="5" t="s">
        <v>0</v>
      </c>
      <c r="F37" s="5" t="s">
        <v>0</v>
      </c>
      <c r="G37" s="5" t="s">
        <v>272</v>
      </c>
      <c r="H37" s="8">
        <f>ROUND(1386.93,2)</f>
        <v>1386.93</v>
      </c>
      <c r="I37" s="7">
        <f>ROUND(76835.9299999999,2)</f>
        <v>76835.929999999993</v>
      </c>
      <c r="J37" s="7">
        <f>ROUND(1698,2)</f>
        <v>1698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7">
        <f>ROUND(-8,2)</f>
        <v>-8</v>
      </c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7">
        <f>ROUND(8,2)</f>
        <v>8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7">
        <f>ROUND(56,2)</f>
        <v>56</v>
      </c>
      <c r="CI37" s="7">
        <f>ROUND(32,2)</f>
        <v>32</v>
      </c>
      <c r="CJ37" s="6"/>
      <c r="CK37" s="6"/>
      <c r="CL37" s="6"/>
      <c r="CM37" s="6"/>
      <c r="CN37" s="7">
        <f>ROUND(122,2)</f>
        <v>122</v>
      </c>
      <c r="CO37" s="6"/>
      <c r="CP37" s="6"/>
      <c r="CQ37" s="7">
        <f>ROUND(1908,2)</f>
        <v>1908</v>
      </c>
      <c r="CR37" s="7">
        <f>ROUND(71357.5399999999,2)</f>
        <v>71357.539999999994</v>
      </c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7">
        <f>ROUND(-277.39,2)</f>
        <v>-277.39</v>
      </c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7">
        <f>ROUND(3328.64,2)</f>
        <v>3328.64</v>
      </c>
      <c r="FK37" s="6"/>
      <c r="FL37" s="6"/>
      <c r="FM37" s="6"/>
      <c r="FN37" s="7">
        <f>ROUND(832.17,2)</f>
        <v>832.17</v>
      </c>
      <c r="FO37" s="6"/>
      <c r="FP37" s="6"/>
      <c r="FQ37" s="6"/>
      <c r="FR37" s="6"/>
      <c r="FS37" s="6"/>
      <c r="FT37" s="6"/>
      <c r="FU37" s="6"/>
      <c r="FV37" s="7">
        <f>ROUND(1594.96999999999,2)</f>
        <v>1594.97</v>
      </c>
      <c r="FW37" s="6"/>
      <c r="FX37" s="6"/>
      <c r="FY37" s="7">
        <f>ROUND(76835.9299999999,2)</f>
        <v>76835.929999999993</v>
      </c>
    </row>
    <row r="38" spans="1:181" x14ac:dyDescent="0.3">
      <c r="A38" s="4" t="s">
        <v>273</v>
      </c>
      <c r="B38" s="5" t="s">
        <v>1029</v>
      </c>
      <c r="C38" s="5" t="s">
        <v>181</v>
      </c>
      <c r="D38" s="5" t="s">
        <v>274</v>
      </c>
      <c r="E38" s="5" t="s">
        <v>0</v>
      </c>
      <c r="F38" s="5" t="s">
        <v>0</v>
      </c>
      <c r="G38" s="5" t="s">
        <v>183</v>
      </c>
      <c r="H38" s="8">
        <v>34.04</v>
      </c>
      <c r="I38" s="7">
        <f>ROUND(87069.2299999999,2)</f>
        <v>87069.23</v>
      </c>
      <c r="J38" s="6"/>
      <c r="K38" s="6"/>
      <c r="L38" s="6"/>
      <c r="M38" s="6"/>
      <c r="N38" s="7">
        <f>ROUND(1862.38,2)</f>
        <v>1862.38</v>
      </c>
      <c r="O38" s="6"/>
      <c r="P38" s="6"/>
      <c r="Q38" s="7">
        <f>ROUND(259.609999999999,2)</f>
        <v>259.61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7">
        <f>ROUND(63.92,2)</f>
        <v>63.92</v>
      </c>
      <c r="AV38" s="7">
        <f>ROUND(4.08,2)</f>
        <v>4.08</v>
      </c>
      <c r="AW38" s="7">
        <f>ROUND(48,2)</f>
        <v>48</v>
      </c>
      <c r="AX38" s="6"/>
      <c r="AY38" s="7">
        <f>ROUND(97.1,2)</f>
        <v>97.1</v>
      </c>
      <c r="AZ38" s="7">
        <f>ROUND(22.9,2)</f>
        <v>22.9</v>
      </c>
      <c r="BA38" s="6"/>
      <c r="BB38" s="7">
        <f>ROUND(40,2)</f>
        <v>40</v>
      </c>
      <c r="BC38" s="6"/>
      <c r="BD38" s="7">
        <f>ROUND(8,2)</f>
        <v>8</v>
      </c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7">
        <f>ROUND(40,2)</f>
        <v>40</v>
      </c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7">
        <f>ROUND(2445.99,2)</f>
        <v>2445.9899999999998</v>
      </c>
      <c r="CR38" s="6"/>
      <c r="CS38" s="6"/>
      <c r="CT38" s="6"/>
      <c r="CU38" s="6"/>
      <c r="CV38" s="7">
        <f>ROUND(60806.0099999999,2)</f>
        <v>60806.01</v>
      </c>
      <c r="CW38" s="6"/>
      <c r="CX38" s="6"/>
      <c r="CY38" s="7">
        <f>ROUND(12707.25,2)</f>
        <v>12707.25</v>
      </c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7">
        <f>ROUND(2083.28,2)</f>
        <v>2083.2800000000002</v>
      </c>
      <c r="EE38" s="7">
        <f>ROUND(202.29,2)</f>
        <v>202.29</v>
      </c>
      <c r="EF38" s="7">
        <f>ROUND(1571.04,2)</f>
        <v>1571.04</v>
      </c>
      <c r="EG38" s="6"/>
      <c r="EH38" s="7">
        <f>ROUND(3130.44,2)</f>
        <v>3130.44</v>
      </c>
      <c r="EI38" s="7">
        <f>ROUND(1103.6,2)</f>
        <v>1103.5999999999999</v>
      </c>
      <c r="EJ38" s="6"/>
      <c r="EK38" s="7">
        <f>ROUND(1283.6,2)</f>
        <v>1283.5999999999999</v>
      </c>
      <c r="EL38" s="6"/>
      <c r="EM38" s="6"/>
      <c r="EN38" s="7">
        <f>ROUND(256.72,2)</f>
        <v>256.72000000000003</v>
      </c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7">
        <f>ROUND(925,2)</f>
        <v>925</v>
      </c>
      <c r="FK38" s="6"/>
      <c r="FL38" s="6"/>
      <c r="FM38" s="6"/>
      <c r="FN38" s="6"/>
      <c r="FO38" s="6"/>
      <c r="FP38" s="6"/>
      <c r="FQ38" s="6"/>
      <c r="FR38" s="6"/>
      <c r="FS38" s="6"/>
      <c r="FT38" s="7">
        <f>ROUND(3000,2)</f>
        <v>3000</v>
      </c>
      <c r="FU38" s="6"/>
      <c r="FV38" s="6"/>
      <c r="FW38" s="6"/>
      <c r="FX38" s="6"/>
      <c r="FY38" s="7">
        <f>ROUND(87069.2299999999,2)</f>
        <v>87069.23</v>
      </c>
    </row>
    <row r="39" spans="1:181" x14ac:dyDescent="0.3">
      <c r="A39" s="4" t="s">
        <v>275</v>
      </c>
      <c r="B39" s="5" t="s">
        <v>1029</v>
      </c>
      <c r="C39" s="5" t="s">
        <v>181</v>
      </c>
      <c r="D39" s="5" t="s">
        <v>276</v>
      </c>
      <c r="E39" s="5" t="s">
        <v>0</v>
      </c>
      <c r="F39" s="5" t="s">
        <v>0</v>
      </c>
      <c r="G39" s="5" t="s">
        <v>183</v>
      </c>
      <c r="H39" s="8">
        <v>33.380000000000003</v>
      </c>
      <c r="I39" s="7">
        <f>ROUND(82827.6899999999,2)</f>
        <v>82827.69</v>
      </c>
      <c r="J39" s="6"/>
      <c r="K39" s="6"/>
      <c r="L39" s="6"/>
      <c r="M39" s="6"/>
      <c r="N39" s="7">
        <f>ROUND(1424.45,2)</f>
        <v>1424.45</v>
      </c>
      <c r="O39" s="6"/>
      <c r="P39" s="6"/>
      <c r="Q39" s="7">
        <f>ROUND(93.22,2)</f>
        <v>93.22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7">
        <f>ROUND(336.979999999999,2)</f>
        <v>336.98</v>
      </c>
      <c r="AF39" s="6"/>
      <c r="AG39" s="7">
        <f>ROUND(122.69,2)</f>
        <v>122.69</v>
      </c>
      <c r="AH39" s="6"/>
      <c r="AI39" s="6"/>
      <c r="AJ39" s="6"/>
      <c r="AK39" s="6"/>
      <c r="AL39" s="6"/>
      <c r="AM39" s="6"/>
      <c r="AN39" s="6"/>
      <c r="AO39" s="6"/>
      <c r="AP39" s="7">
        <f>ROUND(133.51,2)</f>
        <v>133.51</v>
      </c>
      <c r="AQ39" s="6"/>
      <c r="AR39" s="6"/>
      <c r="AS39" s="6"/>
      <c r="AT39" s="6"/>
      <c r="AU39" s="7">
        <f>ROUND(54,2)</f>
        <v>54</v>
      </c>
      <c r="AV39" s="6"/>
      <c r="AW39" s="7">
        <f>ROUND(32,2)</f>
        <v>32</v>
      </c>
      <c r="AX39" s="6"/>
      <c r="AY39" s="7">
        <f>ROUND(43,2)</f>
        <v>43</v>
      </c>
      <c r="AZ39" s="7">
        <f>ROUND(5,2)</f>
        <v>5</v>
      </c>
      <c r="BA39" s="6"/>
      <c r="BB39" s="7">
        <f>ROUND(40,2)</f>
        <v>40</v>
      </c>
      <c r="BC39" s="6"/>
      <c r="BD39" s="7">
        <f>ROUND(8,2)</f>
        <v>8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7">
        <f>ROUND(24,2)</f>
        <v>24</v>
      </c>
      <c r="BT39" s="7">
        <f>ROUND(0.97,2)</f>
        <v>0.97</v>
      </c>
      <c r="BU39" s="6"/>
      <c r="BV39" s="6"/>
      <c r="BW39" s="7">
        <f>ROUND(16,2)</f>
        <v>16</v>
      </c>
      <c r="BX39" s="7">
        <f>ROUND(48,2)</f>
        <v>48</v>
      </c>
      <c r="BY39" s="6"/>
      <c r="BZ39" s="6"/>
      <c r="CA39" s="7">
        <f>ROUND(32,2)</f>
        <v>32</v>
      </c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7">
        <f>ROUND(2413.82,2)</f>
        <v>2413.8200000000002</v>
      </c>
      <c r="CR39" s="6"/>
      <c r="CS39" s="6"/>
      <c r="CT39" s="6"/>
      <c r="CU39" s="6"/>
      <c r="CV39" s="7">
        <f>ROUND(46250.9099999999,2)</f>
        <v>46250.91</v>
      </c>
      <c r="CW39" s="6"/>
      <c r="CX39" s="6"/>
      <c r="CY39" s="7">
        <f>ROUND(4493.48,2)</f>
        <v>4493.4799999999996</v>
      </c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7">
        <f>ROUND(11073.9199999999,2)</f>
        <v>11073.92</v>
      </c>
      <c r="DO39" s="6"/>
      <c r="DP39" s="7">
        <f>ROUND(6035.48,2)</f>
        <v>6035.48</v>
      </c>
      <c r="DQ39" s="6"/>
      <c r="DR39" s="6"/>
      <c r="DS39" s="6"/>
      <c r="DT39" s="6"/>
      <c r="DU39" s="6"/>
      <c r="DV39" s="6"/>
      <c r="DW39" s="6"/>
      <c r="DX39" s="6"/>
      <c r="DY39" s="7">
        <f>ROUND(4434.67,2)</f>
        <v>4434.67</v>
      </c>
      <c r="DZ39" s="6"/>
      <c r="EA39" s="6"/>
      <c r="EB39" s="6"/>
      <c r="EC39" s="6"/>
      <c r="ED39" s="7">
        <f>ROUND(1761.12,2)</f>
        <v>1761.12</v>
      </c>
      <c r="EE39" s="6"/>
      <c r="EF39" s="7">
        <f>ROUND(1034.56,2)</f>
        <v>1034.56</v>
      </c>
      <c r="EG39" s="6"/>
      <c r="EH39" s="7">
        <f>ROUND(1387.55,2)</f>
        <v>1387.55</v>
      </c>
      <c r="EI39" s="7">
        <f>ROUND(240.68,2)</f>
        <v>240.68</v>
      </c>
      <c r="EJ39" s="6"/>
      <c r="EK39" s="7">
        <f>ROUND(1283.6,2)</f>
        <v>1283.5999999999999</v>
      </c>
      <c r="EL39" s="6"/>
      <c r="EM39" s="6"/>
      <c r="EN39" s="7">
        <f>ROUND(256.72,2)</f>
        <v>256.72000000000003</v>
      </c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7">
        <f>ROUND(1575,2)</f>
        <v>1575</v>
      </c>
      <c r="FK39" s="6"/>
      <c r="FL39" s="6"/>
      <c r="FM39" s="6"/>
      <c r="FN39" s="6"/>
      <c r="FO39" s="6"/>
      <c r="FP39" s="6"/>
      <c r="FQ39" s="6"/>
      <c r="FR39" s="6"/>
      <c r="FS39" s="6"/>
      <c r="FT39" s="7">
        <f>ROUND(3000,2)</f>
        <v>3000</v>
      </c>
      <c r="FU39" s="6"/>
      <c r="FV39" s="6"/>
      <c r="FW39" s="6"/>
      <c r="FX39" s="6"/>
      <c r="FY39" s="7">
        <f>ROUND(82827.6899999999,2)</f>
        <v>82827.69</v>
      </c>
    </row>
    <row r="40" spans="1:181" x14ac:dyDescent="0.3">
      <c r="A40" s="4" t="s">
        <v>277</v>
      </c>
      <c r="B40" s="5" t="s">
        <v>1029</v>
      </c>
      <c r="C40" s="5" t="s">
        <v>181</v>
      </c>
      <c r="D40" s="5" t="s">
        <v>278</v>
      </c>
      <c r="E40" s="5" t="s">
        <v>0</v>
      </c>
      <c r="F40" s="5" t="s">
        <v>0</v>
      </c>
      <c r="G40" s="5" t="s">
        <v>183</v>
      </c>
      <c r="H40" s="9">
        <v>26.7</v>
      </c>
      <c r="I40" s="7">
        <f>ROUND(17939.19,2)</f>
        <v>17939.189999999999</v>
      </c>
      <c r="J40" s="6"/>
      <c r="K40" s="6"/>
      <c r="L40" s="6"/>
      <c r="M40" s="6"/>
      <c r="N40" s="7">
        <f>ROUND(316.25,2)</f>
        <v>316.25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7">
        <f>ROUND(2.75,2)</f>
        <v>2.75</v>
      </c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7">
        <f>ROUND(4.25,2)</f>
        <v>4.25</v>
      </c>
      <c r="AQ40" s="6"/>
      <c r="AR40" s="6"/>
      <c r="AS40" s="6"/>
      <c r="AT40" s="6"/>
      <c r="AU40" s="7">
        <f>ROUND(15,2)</f>
        <v>15</v>
      </c>
      <c r="AV40" s="6"/>
      <c r="AW40" s="6"/>
      <c r="AX40" s="6"/>
      <c r="AY40" s="6"/>
      <c r="AZ40" s="6"/>
      <c r="BA40" s="6"/>
      <c r="BB40" s="6"/>
      <c r="BC40" s="6"/>
      <c r="BD40" s="7">
        <f>ROUND(335.8,2)</f>
        <v>335.8</v>
      </c>
      <c r="BE40" s="6"/>
      <c r="BF40" s="7">
        <f>ROUND(17.65,2)</f>
        <v>17.649999999999999</v>
      </c>
      <c r="BG40" s="6"/>
      <c r="BH40" s="6"/>
      <c r="BI40" s="7">
        <f>ROUND(61.03,2)</f>
        <v>61.03</v>
      </c>
      <c r="BJ40" s="7">
        <f>ROUND(11.47,2)</f>
        <v>11.47</v>
      </c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7">
        <f>ROUND(764.2,2)</f>
        <v>764.2</v>
      </c>
      <c r="CR40" s="6"/>
      <c r="CS40" s="6"/>
      <c r="CT40" s="6"/>
      <c r="CU40" s="6"/>
      <c r="CV40" s="7">
        <f>ROUND(8041.96,2)</f>
        <v>8041.96</v>
      </c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7">
        <f>ROUND(72.71,2)</f>
        <v>72.709999999999994</v>
      </c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7">
        <f>ROUND(112.37,2)</f>
        <v>112.37</v>
      </c>
      <c r="DZ40" s="6"/>
      <c r="EA40" s="6"/>
      <c r="EB40" s="6"/>
      <c r="EC40" s="6"/>
      <c r="ED40" s="7">
        <f>ROUND(353.2,2)</f>
        <v>353.2</v>
      </c>
      <c r="EE40" s="6"/>
      <c r="EF40" s="6"/>
      <c r="EG40" s="6"/>
      <c r="EH40" s="6"/>
      <c r="EI40" s="6"/>
      <c r="EJ40" s="6"/>
      <c r="EK40" s="6"/>
      <c r="EL40" s="6"/>
      <c r="EM40" s="6"/>
      <c r="EN40" s="7">
        <f>ROUND(5876.51,2)</f>
        <v>5876.51</v>
      </c>
      <c r="EO40" s="6"/>
      <c r="EP40" s="7">
        <f>ROUND(463.31,2)</f>
        <v>463.31</v>
      </c>
      <c r="EQ40" s="6"/>
      <c r="ER40" s="6"/>
      <c r="ES40" s="6"/>
      <c r="ET40" s="7">
        <f>ROUND(1068.04,2)</f>
        <v>1068.04</v>
      </c>
      <c r="EU40" s="7">
        <f>ROUND(301.09,2)</f>
        <v>301.08999999999997</v>
      </c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7">
        <f>ROUND(150,2)</f>
        <v>150</v>
      </c>
      <c r="FK40" s="6"/>
      <c r="FL40" s="6"/>
      <c r="FM40" s="6"/>
      <c r="FN40" s="6"/>
      <c r="FO40" s="6"/>
      <c r="FP40" s="6"/>
      <c r="FQ40" s="6"/>
      <c r="FR40" s="6"/>
      <c r="FS40" s="6"/>
      <c r="FT40" s="7">
        <f>ROUND(1500,2)</f>
        <v>1500</v>
      </c>
      <c r="FU40" s="6"/>
      <c r="FV40" s="6"/>
      <c r="FW40" s="6"/>
      <c r="FX40" s="6"/>
      <c r="FY40" s="7">
        <f>ROUND(17939.19,2)</f>
        <v>17939.189999999999</v>
      </c>
    </row>
    <row r="41" spans="1:181" x14ac:dyDescent="0.3">
      <c r="A41" s="4" t="s">
        <v>279</v>
      </c>
      <c r="B41" s="5" t="s">
        <v>1029</v>
      </c>
      <c r="C41" s="5" t="s">
        <v>181</v>
      </c>
      <c r="D41" s="5" t="s">
        <v>257</v>
      </c>
      <c r="E41" s="5" t="s">
        <v>0</v>
      </c>
      <c r="F41" s="5" t="s">
        <v>0</v>
      </c>
      <c r="G41" s="5" t="s">
        <v>183</v>
      </c>
      <c r="H41" s="8">
        <v>33.880000000000003</v>
      </c>
      <c r="I41" s="7">
        <f>ROUND(88291.61,2)</f>
        <v>88291.61</v>
      </c>
      <c r="J41" s="6"/>
      <c r="K41" s="6"/>
      <c r="L41" s="6"/>
      <c r="M41" s="6"/>
      <c r="N41" s="7">
        <f>ROUND(1827.6,2)</f>
        <v>1827.6</v>
      </c>
      <c r="O41" s="6"/>
      <c r="P41" s="6"/>
      <c r="Q41" s="7">
        <f>ROUND(264.01,2)</f>
        <v>264.01</v>
      </c>
      <c r="R41" s="6"/>
      <c r="S41" s="6"/>
      <c r="T41" s="6"/>
      <c r="U41" s="6"/>
      <c r="V41" s="6"/>
      <c r="W41" s="6"/>
      <c r="X41" s="7">
        <f>ROUND(0.22,2)</f>
        <v>0.22</v>
      </c>
      <c r="Y41" s="6"/>
      <c r="Z41" s="6"/>
      <c r="AA41" s="6"/>
      <c r="AB41" s="6"/>
      <c r="AC41" s="6"/>
      <c r="AD41" s="6"/>
      <c r="AE41" s="7">
        <f>ROUND(8,2)</f>
        <v>8</v>
      </c>
      <c r="AF41" s="6"/>
      <c r="AG41" s="7">
        <f>ROUND(6.25,2)</f>
        <v>6.25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7">
        <f>ROUND(4.75,2)</f>
        <v>4.75</v>
      </c>
      <c r="AS41" s="6"/>
      <c r="AT41" s="6"/>
      <c r="AU41" s="7">
        <f>ROUND(52,2)</f>
        <v>52</v>
      </c>
      <c r="AV41" s="6"/>
      <c r="AW41" s="7">
        <f>ROUND(27.23,2)</f>
        <v>27.23</v>
      </c>
      <c r="AX41" s="7">
        <f>ROUND(12.77,2)</f>
        <v>12.77</v>
      </c>
      <c r="AY41" s="7">
        <f>ROUND(70.5399999999999,2)</f>
        <v>70.540000000000006</v>
      </c>
      <c r="AZ41" s="7">
        <f>ROUND(17.46,2)</f>
        <v>17.46</v>
      </c>
      <c r="BA41" s="6"/>
      <c r="BB41" s="7">
        <f>ROUND(8,2)</f>
        <v>8</v>
      </c>
      <c r="BC41" s="6"/>
      <c r="BD41" s="7">
        <f>ROUND(8,2)</f>
        <v>8</v>
      </c>
      <c r="BE41" s="7">
        <f>ROUND(5.33,2)</f>
        <v>5.33</v>
      </c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7">
        <f>ROUND(0.67,2)</f>
        <v>0.67</v>
      </c>
      <c r="BU41" s="6"/>
      <c r="BV41" s="6"/>
      <c r="BW41" s="7">
        <f>ROUND(16,2)</f>
        <v>16</v>
      </c>
      <c r="BX41" s="7">
        <f>ROUND(48,2)</f>
        <v>48</v>
      </c>
      <c r="BY41" s="6"/>
      <c r="BZ41" s="7">
        <f>ROUND(76.67,2)</f>
        <v>76.67</v>
      </c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7">
        <f>ROUND(112,2)</f>
        <v>112</v>
      </c>
      <c r="CQ41" s="7">
        <f>ROUND(2565.49999999999,2)</f>
        <v>2565.5</v>
      </c>
      <c r="CR41" s="6"/>
      <c r="CS41" s="6"/>
      <c r="CT41" s="6"/>
      <c r="CU41" s="6"/>
      <c r="CV41" s="7">
        <f>ROUND(59636.2299999999,2)</f>
        <v>59636.23</v>
      </c>
      <c r="CW41" s="6"/>
      <c r="CX41" s="6"/>
      <c r="CY41" s="7">
        <f>ROUND(12947.19,2)</f>
        <v>12947.19</v>
      </c>
      <c r="CZ41" s="6"/>
      <c r="DA41" s="6"/>
      <c r="DB41" s="6"/>
      <c r="DC41" s="6"/>
      <c r="DD41" s="6"/>
      <c r="DE41" s="6"/>
      <c r="DF41" s="7">
        <f>ROUND(7.06,2)</f>
        <v>7.06</v>
      </c>
      <c r="DG41" s="6"/>
      <c r="DH41" s="6"/>
      <c r="DI41" s="6"/>
      <c r="DJ41" s="6"/>
      <c r="DK41" s="6"/>
      <c r="DL41" s="6"/>
      <c r="DM41" s="6"/>
      <c r="DN41" s="7">
        <f>ROUND(256.72,2)</f>
        <v>256.72000000000003</v>
      </c>
      <c r="DO41" s="6"/>
      <c r="DP41" s="7">
        <f>ROUND(309.84,2)</f>
        <v>309.83999999999997</v>
      </c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7">
        <f>ROUND(235.48,2)</f>
        <v>235.48</v>
      </c>
      <c r="EB41" s="6"/>
      <c r="EC41" s="6"/>
      <c r="ED41" s="7">
        <f>ROUND(1706.04,2)</f>
        <v>1706.04</v>
      </c>
      <c r="EE41" s="6"/>
      <c r="EF41" s="7">
        <f>ROUND(899.579999999999,2)</f>
        <v>899.58</v>
      </c>
      <c r="EG41" s="7">
        <f>ROUND(632.069999999999,2)</f>
        <v>632.07000000000005</v>
      </c>
      <c r="EH41" s="7">
        <f>ROUND(2274.50999999999,2)</f>
        <v>2274.5100000000002</v>
      </c>
      <c r="EI41" s="7">
        <f>ROUND(847.17,2)</f>
        <v>847.17</v>
      </c>
      <c r="EJ41" s="6"/>
      <c r="EK41" s="7">
        <f>ROUND(256.72,2)</f>
        <v>256.72000000000003</v>
      </c>
      <c r="EL41" s="6"/>
      <c r="EM41" s="6"/>
      <c r="EN41" s="7">
        <f>ROUND(256.72,2)</f>
        <v>256.72000000000003</v>
      </c>
      <c r="EO41" s="7">
        <f>ROUND(171.04,2)</f>
        <v>171.04</v>
      </c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7">
        <f>ROUND(1075,2)</f>
        <v>1075</v>
      </c>
      <c r="FK41" s="6"/>
      <c r="FL41" s="6"/>
      <c r="FM41" s="6"/>
      <c r="FN41" s="6"/>
      <c r="FO41" s="6"/>
      <c r="FP41" s="6"/>
      <c r="FQ41" s="6"/>
      <c r="FR41" s="6"/>
      <c r="FS41" s="6"/>
      <c r="FT41" s="7">
        <f>ROUND(3000,2)</f>
        <v>3000</v>
      </c>
      <c r="FU41" s="6"/>
      <c r="FV41" s="6"/>
      <c r="FW41" s="6"/>
      <c r="FX41" s="7">
        <f>ROUND(3780.24,2)</f>
        <v>3780.24</v>
      </c>
      <c r="FY41" s="7">
        <f>ROUND(88291.61,2)</f>
        <v>88291.61</v>
      </c>
    </row>
    <row r="42" spans="1:181" ht="26.4" x14ac:dyDescent="0.3">
      <c r="A42" s="4" t="s">
        <v>280</v>
      </c>
      <c r="B42" s="5"/>
      <c r="C42" s="5" t="s">
        <v>281</v>
      </c>
      <c r="D42" s="5" t="s">
        <v>282</v>
      </c>
      <c r="E42" s="5" t="s">
        <v>0</v>
      </c>
      <c r="F42" s="5" t="s">
        <v>0</v>
      </c>
      <c r="G42" s="5" t="s">
        <v>283</v>
      </c>
      <c r="H42" s="8">
        <f>ROUND(3183,2)</f>
        <v>3183</v>
      </c>
      <c r="I42" s="7">
        <f>ROUND(186339.76,2)</f>
        <v>186339.76</v>
      </c>
      <c r="J42" s="7">
        <f>ROUND(1708,2)</f>
        <v>1708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7">
        <f>ROUND(-16,2)</f>
        <v>-16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7">
        <f>ROUND(8,2)</f>
        <v>8</v>
      </c>
      <c r="BX42" s="6"/>
      <c r="BY42" s="6"/>
      <c r="BZ42" s="6"/>
      <c r="CA42" s="6"/>
      <c r="CB42" s="6"/>
      <c r="CC42" s="6"/>
      <c r="CD42" s="6"/>
      <c r="CE42" s="6"/>
      <c r="CF42" s="6"/>
      <c r="CG42" s="7">
        <f>ROUND(13,2)</f>
        <v>13</v>
      </c>
      <c r="CH42" s="7">
        <f>ROUND(56,2)</f>
        <v>56</v>
      </c>
      <c r="CI42" s="7">
        <f>ROUND(28,2)</f>
        <v>28</v>
      </c>
      <c r="CJ42" s="6"/>
      <c r="CK42" s="6"/>
      <c r="CL42" s="6"/>
      <c r="CM42" s="6"/>
      <c r="CN42" s="7">
        <f>ROUND(140,2)</f>
        <v>140</v>
      </c>
      <c r="CO42" s="6"/>
      <c r="CP42" s="7">
        <f>ROUND(52,2)</f>
        <v>52</v>
      </c>
      <c r="CQ42" s="7">
        <f>ROUND(1989,2)</f>
        <v>1989</v>
      </c>
      <c r="CR42" s="7">
        <f>ROUND(161378.1,2)</f>
        <v>161378.1</v>
      </c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7">
        <f>ROUND(-1273.19999999999,2)</f>
        <v>-1273.2</v>
      </c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7">
        <f>ROUND(6500,2)</f>
        <v>6500</v>
      </c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7">
        <f>ROUND(636.6,2)</f>
        <v>636.6</v>
      </c>
      <c r="FH42" s="6"/>
      <c r="FI42" s="6"/>
      <c r="FJ42" s="7">
        <f>ROUND(7639.2,2)</f>
        <v>7639.2</v>
      </c>
      <c r="FK42" s="6"/>
      <c r="FL42" s="6"/>
      <c r="FM42" s="6"/>
      <c r="FN42" s="7">
        <f>ROUND(1909.8,2)</f>
        <v>1909.8</v>
      </c>
      <c r="FO42" s="7">
        <f>ROUND(2228.1,2)</f>
        <v>2228.1</v>
      </c>
      <c r="FP42" s="6"/>
      <c r="FQ42" s="6"/>
      <c r="FR42" s="6"/>
      <c r="FS42" s="6"/>
      <c r="FT42" s="6"/>
      <c r="FU42" s="6"/>
      <c r="FV42" s="7">
        <f>ROUND(3183,2)</f>
        <v>3183</v>
      </c>
      <c r="FW42" s="6"/>
      <c r="FX42" s="7">
        <f>ROUND(4138.16,2)</f>
        <v>4138.16</v>
      </c>
      <c r="FY42" s="7">
        <f>ROUND(186339.76,2)</f>
        <v>186339.76</v>
      </c>
    </row>
    <row r="43" spans="1:181" x14ac:dyDescent="0.3">
      <c r="A43" s="4" t="s">
        <v>284</v>
      </c>
      <c r="B43" s="5"/>
      <c r="C43" s="5" t="s">
        <v>285</v>
      </c>
      <c r="D43" s="5" t="s">
        <v>286</v>
      </c>
      <c r="E43" s="5" t="s">
        <v>0</v>
      </c>
      <c r="F43" s="5" t="s">
        <v>0</v>
      </c>
      <c r="G43" s="5" t="s">
        <v>287</v>
      </c>
      <c r="H43" s="8">
        <f>ROUND(26.2547,2)</f>
        <v>26.25</v>
      </c>
      <c r="I43" s="7">
        <f>ROUND(59291.66,2)</f>
        <v>59291.66</v>
      </c>
      <c r="J43" s="7">
        <f>ROUND(1796.75,2)</f>
        <v>1796.75</v>
      </c>
      <c r="K43" s="7">
        <f>ROUND(2.5,2)</f>
        <v>2.5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7">
        <f>ROUND(8,2)</f>
        <v>8</v>
      </c>
      <c r="BX43" s="6"/>
      <c r="BY43" s="6"/>
      <c r="BZ43" s="6"/>
      <c r="CA43" s="6"/>
      <c r="CB43" s="6"/>
      <c r="CC43" s="6"/>
      <c r="CD43" s="6"/>
      <c r="CE43" s="6"/>
      <c r="CF43" s="6"/>
      <c r="CG43" s="7">
        <f>ROUND(43.75,2)</f>
        <v>43.75</v>
      </c>
      <c r="CH43" s="7">
        <f>ROUND(56,2)</f>
        <v>56</v>
      </c>
      <c r="CI43" s="7">
        <f>ROUND(40,2)</f>
        <v>40</v>
      </c>
      <c r="CJ43" s="6"/>
      <c r="CK43" s="6"/>
      <c r="CL43" s="7">
        <f>ROUND(48,2)</f>
        <v>48</v>
      </c>
      <c r="CM43" s="6"/>
      <c r="CN43" s="7">
        <f>ROUND(128,2)</f>
        <v>128</v>
      </c>
      <c r="CO43" s="6"/>
      <c r="CP43" s="6"/>
      <c r="CQ43" s="7">
        <f>ROUND(2123,2)</f>
        <v>2123</v>
      </c>
      <c r="CR43" s="7">
        <f>ROUND(47173.17,2)</f>
        <v>47173.17</v>
      </c>
      <c r="CS43" s="7">
        <f>ROUND(98.4699999999999,2)</f>
        <v>98.47</v>
      </c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7">
        <f>ROUND(500,2)</f>
        <v>500</v>
      </c>
      <c r="EX43" s="6"/>
      <c r="EY43" s="6"/>
      <c r="EZ43" s="6"/>
      <c r="FA43" s="6"/>
      <c r="FB43" s="6"/>
      <c r="FC43" s="6"/>
      <c r="FD43" s="6"/>
      <c r="FE43" s="6"/>
      <c r="FF43" s="6"/>
      <c r="FG43" s="7">
        <f>ROUND(210.04,2)</f>
        <v>210.04</v>
      </c>
      <c r="FH43" s="6"/>
      <c r="FI43" s="6"/>
      <c r="FJ43" s="7">
        <f>ROUND(3020,2)</f>
        <v>3020</v>
      </c>
      <c r="FK43" s="6"/>
      <c r="FL43" s="6"/>
      <c r="FM43" s="7">
        <f>ROUND(1148.63999999999,2)</f>
        <v>1148.6400000000001</v>
      </c>
      <c r="FN43" s="7">
        <f>ROUND(1470.28,2)</f>
        <v>1470.28</v>
      </c>
      <c r="FO43" s="7">
        <f>ROUND(1050.2,2)</f>
        <v>1050.2</v>
      </c>
      <c r="FP43" s="6"/>
      <c r="FQ43" s="6"/>
      <c r="FR43" s="6"/>
      <c r="FS43" s="7">
        <f>ROUND(1260.23,2)</f>
        <v>1260.23</v>
      </c>
      <c r="FT43" s="6"/>
      <c r="FU43" s="6"/>
      <c r="FV43" s="7">
        <f>ROUND(3360.62999999999,2)</f>
        <v>3360.63</v>
      </c>
      <c r="FW43" s="6"/>
      <c r="FX43" s="6"/>
      <c r="FY43" s="7">
        <f>ROUND(59291.66,2)</f>
        <v>59291.66</v>
      </c>
    </row>
    <row r="44" spans="1:181" x14ac:dyDescent="0.3">
      <c r="A44" s="4" t="s">
        <v>288</v>
      </c>
      <c r="B44" s="5" t="s">
        <v>1029</v>
      </c>
      <c r="C44" s="5" t="s">
        <v>181</v>
      </c>
      <c r="D44" s="5" t="s">
        <v>289</v>
      </c>
      <c r="E44" s="5" t="s">
        <v>0</v>
      </c>
      <c r="F44" s="5" t="s">
        <v>0</v>
      </c>
      <c r="G44" s="5" t="s">
        <v>183</v>
      </c>
      <c r="H44" s="8">
        <v>33.880000000000003</v>
      </c>
      <c r="I44" s="7">
        <f>ROUND(52612.28,2)</f>
        <v>52612.28</v>
      </c>
      <c r="J44" s="6"/>
      <c r="K44" s="6"/>
      <c r="L44" s="6"/>
      <c r="M44" s="6"/>
      <c r="N44" s="7">
        <f>ROUND(611.349999999999,2)</f>
        <v>611.35</v>
      </c>
      <c r="O44" s="6"/>
      <c r="P44" s="6"/>
      <c r="Q44" s="7">
        <f>ROUND(27.8099999999999,2)</f>
        <v>27.81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7">
        <f>ROUND(474.739999999999,2)</f>
        <v>474.74</v>
      </c>
      <c r="AF44" s="6"/>
      <c r="AG44" s="7">
        <f>ROUND(29.88,2)</f>
        <v>29.88</v>
      </c>
      <c r="AH44" s="6"/>
      <c r="AI44" s="6"/>
      <c r="AJ44" s="6"/>
      <c r="AK44" s="6"/>
      <c r="AL44" s="6"/>
      <c r="AM44" s="6"/>
      <c r="AN44" s="6"/>
      <c r="AO44" s="6"/>
      <c r="AP44" s="7">
        <f>ROUND(98.33,2)</f>
        <v>98.33</v>
      </c>
      <c r="AQ44" s="6"/>
      <c r="AR44" s="7">
        <f>ROUND(13,2)</f>
        <v>13</v>
      </c>
      <c r="AS44" s="6"/>
      <c r="AT44" s="6"/>
      <c r="AU44" s="7">
        <f>ROUND(56,2)</f>
        <v>56</v>
      </c>
      <c r="AV44" s="6"/>
      <c r="AW44" s="7">
        <f>ROUND(32,2)</f>
        <v>32</v>
      </c>
      <c r="AX44" s="6"/>
      <c r="AY44" s="6"/>
      <c r="AZ44" s="7">
        <f>ROUND(10,2)</f>
        <v>10</v>
      </c>
      <c r="BA44" s="6"/>
      <c r="BB44" s="7">
        <f>ROUND(16,2)</f>
        <v>16</v>
      </c>
      <c r="BC44" s="6"/>
      <c r="BD44" s="7">
        <f>ROUND(8,2)</f>
        <v>8</v>
      </c>
      <c r="BE44" s="7">
        <f>ROUND(2.67,2)</f>
        <v>2.67</v>
      </c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7">
        <f>ROUND(9.3,2)</f>
        <v>9.3000000000000007</v>
      </c>
      <c r="BR44" s="7">
        <f>ROUND(0.7,2)</f>
        <v>0.7</v>
      </c>
      <c r="BS44" s="7">
        <f>ROUND(104,2)</f>
        <v>104</v>
      </c>
      <c r="BT44" s="7">
        <f>ROUND(6.59,2)</f>
        <v>6.59</v>
      </c>
      <c r="BU44" s="7">
        <f>ROUND(80,2)</f>
        <v>80</v>
      </c>
      <c r="BV44" s="6"/>
      <c r="BW44" s="7">
        <f>ROUND(16,2)</f>
        <v>16</v>
      </c>
      <c r="BX44" s="6"/>
      <c r="BY44" s="7">
        <f>ROUND(24,2)</f>
        <v>24</v>
      </c>
      <c r="BZ44" s="6"/>
      <c r="CA44" s="7">
        <f>ROUND(32,2)</f>
        <v>32</v>
      </c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7">
        <f>ROUND(64,2)</f>
        <v>64</v>
      </c>
      <c r="CQ44" s="7">
        <f>ROUND(1716.37,2)</f>
        <v>1716.37</v>
      </c>
      <c r="CR44" s="6"/>
      <c r="CS44" s="6"/>
      <c r="CT44" s="6"/>
      <c r="CU44" s="6"/>
      <c r="CV44" s="7">
        <f>ROUND(19762.42,2)</f>
        <v>19762.419999999998</v>
      </c>
      <c r="CW44" s="6"/>
      <c r="CX44" s="6"/>
      <c r="CY44" s="7">
        <f>ROUND(1338.62999999999,2)</f>
        <v>1338.63</v>
      </c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7">
        <f>ROUND(15453.78,2)</f>
        <v>15453.78</v>
      </c>
      <c r="DO44" s="6"/>
      <c r="DP44" s="7">
        <f>ROUND(1447.42999999999,2)</f>
        <v>1447.43</v>
      </c>
      <c r="DQ44" s="6"/>
      <c r="DR44" s="6"/>
      <c r="DS44" s="6"/>
      <c r="DT44" s="6"/>
      <c r="DU44" s="6"/>
      <c r="DV44" s="6"/>
      <c r="DW44" s="6"/>
      <c r="DX44" s="6"/>
      <c r="DY44" s="7">
        <f>ROUND(3251.3,2)</f>
        <v>3251.3</v>
      </c>
      <c r="DZ44" s="6"/>
      <c r="EA44" s="7">
        <f>ROUND(628.46,2)</f>
        <v>628.46</v>
      </c>
      <c r="EB44" s="6"/>
      <c r="EC44" s="6"/>
      <c r="ED44" s="7">
        <f>ROUND(1812.4,2)</f>
        <v>1812.4</v>
      </c>
      <c r="EE44" s="6"/>
      <c r="EF44" s="7">
        <f>ROUND(1026.88,2)</f>
        <v>1026.8800000000001</v>
      </c>
      <c r="EG44" s="6"/>
      <c r="EH44" s="6"/>
      <c r="EI44" s="7">
        <f>ROUND(481.35,2)</f>
        <v>481.35</v>
      </c>
      <c r="EJ44" s="6"/>
      <c r="EK44" s="7">
        <f>ROUND(513.44,2)</f>
        <v>513.44000000000005</v>
      </c>
      <c r="EL44" s="6"/>
      <c r="EM44" s="6"/>
      <c r="EN44" s="7">
        <f>ROUND(256.72,2)</f>
        <v>256.72000000000003</v>
      </c>
      <c r="EO44" s="7">
        <f>ROUND(86.08,2)</f>
        <v>86.08</v>
      </c>
      <c r="EP44" s="6"/>
      <c r="EQ44" s="6"/>
      <c r="ER44" s="6"/>
      <c r="ES44" s="6"/>
      <c r="ET44" s="6"/>
      <c r="EU44" s="6"/>
      <c r="EV44" s="7">
        <f>ROUND(500,2)</f>
        <v>500</v>
      </c>
      <c r="EW44" s="6"/>
      <c r="EX44" s="6"/>
      <c r="EY44" s="6"/>
      <c r="EZ44" s="6"/>
      <c r="FA44" s="6"/>
      <c r="FB44" s="6"/>
      <c r="FC44" s="6"/>
      <c r="FD44" s="7">
        <f>ROUND(307.37,2)</f>
        <v>307.37</v>
      </c>
      <c r="FE44" s="7">
        <f>ROUND(34.7,2)</f>
        <v>34.700000000000003</v>
      </c>
      <c r="FF44" s="6"/>
      <c r="FG44" s="6"/>
      <c r="FH44" s="6"/>
      <c r="FI44" s="6"/>
      <c r="FJ44" s="7">
        <f>ROUND(575,2)</f>
        <v>575</v>
      </c>
      <c r="FK44" s="6"/>
      <c r="FL44" s="6"/>
      <c r="FM44" s="6"/>
      <c r="FN44" s="6"/>
      <c r="FO44" s="6"/>
      <c r="FP44" s="6"/>
      <c r="FQ44" s="6"/>
      <c r="FR44" s="6"/>
      <c r="FS44" s="6"/>
      <c r="FT44" s="7">
        <f>ROUND(3000,2)</f>
        <v>3000</v>
      </c>
      <c r="FU44" s="6"/>
      <c r="FV44" s="6"/>
      <c r="FW44" s="6"/>
      <c r="FX44" s="7">
        <f>ROUND(2136.32,2)</f>
        <v>2136.3200000000002</v>
      </c>
      <c r="FY44" s="7">
        <f>ROUND(52612.28,2)</f>
        <v>52612.28</v>
      </c>
    </row>
    <row r="45" spans="1:181" ht="26.4" x14ac:dyDescent="0.3">
      <c r="A45" s="4" t="s">
        <v>290</v>
      </c>
      <c r="B45" s="5"/>
      <c r="C45" s="5" t="s">
        <v>201</v>
      </c>
      <c r="D45" s="5" t="s">
        <v>291</v>
      </c>
      <c r="E45" s="5" t="s">
        <v>292</v>
      </c>
      <c r="F45" s="5" t="s">
        <v>0</v>
      </c>
      <c r="G45" s="5" t="s">
        <v>203</v>
      </c>
      <c r="H45" s="8">
        <f>ROUND(18,2)</f>
        <v>18</v>
      </c>
      <c r="I45" s="7">
        <f>ROUND(13788,2)</f>
        <v>13788</v>
      </c>
      <c r="J45" s="7">
        <f>ROUND(688.25,2)</f>
        <v>688.25</v>
      </c>
      <c r="K45" s="7">
        <f>ROUND(18.5,2)</f>
        <v>18.5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7">
        <f>ROUND(10,2)</f>
        <v>10</v>
      </c>
      <c r="BX45" s="6"/>
      <c r="BY45" s="6"/>
      <c r="BZ45" s="6"/>
      <c r="CA45" s="6"/>
      <c r="CB45" s="6"/>
      <c r="CC45" s="6"/>
      <c r="CD45" s="6"/>
      <c r="CE45" s="6"/>
      <c r="CF45" s="6"/>
      <c r="CG45" s="7">
        <f>ROUND(10,2)</f>
        <v>10</v>
      </c>
      <c r="CH45" s="6"/>
      <c r="CI45" s="6"/>
      <c r="CJ45" s="6"/>
      <c r="CK45" s="6"/>
      <c r="CL45" s="6"/>
      <c r="CM45" s="6"/>
      <c r="CN45" s="7">
        <f>ROUND(30,2)</f>
        <v>30</v>
      </c>
      <c r="CO45" s="6"/>
      <c r="CP45" s="6"/>
      <c r="CQ45" s="7">
        <f>ROUND(756.75,2)</f>
        <v>756.75</v>
      </c>
      <c r="CR45" s="7">
        <f>ROUND(12388.5,2)</f>
        <v>12388.5</v>
      </c>
      <c r="CS45" s="7">
        <f>ROUND(499.5,2)</f>
        <v>499.5</v>
      </c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7">
        <f>ROUND(180,2)</f>
        <v>180</v>
      </c>
      <c r="FH45" s="6"/>
      <c r="FI45" s="6"/>
      <c r="FJ45" s="6"/>
      <c r="FK45" s="6"/>
      <c r="FL45" s="6"/>
      <c r="FM45" s="7">
        <f>ROUND(180,2)</f>
        <v>180</v>
      </c>
      <c r="FN45" s="6"/>
      <c r="FO45" s="6"/>
      <c r="FP45" s="6"/>
      <c r="FQ45" s="6"/>
      <c r="FR45" s="6"/>
      <c r="FS45" s="6"/>
      <c r="FT45" s="6"/>
      <c r="FU45" s="6"/>
      <c r="FV45" s="7">
        <f>ROUND(540,2)</f>
        <v>540</v>
      </c>
      <c r="FW45" s="6"/>
      <c r="FX45" s="6"/>
      <c r="FY45" s="7">
        <f>ROUND(13788,2)</f>
        <v>13788</v>
      </c>
    </row>
    <row r="46" spans="1:181" x14ac:dyDescent="0.3">
      <c r="A46" s="4" t="s">
        <v>293</v>
      </c>
      <c r="B46" s="5"/>
      <c r="C46" s="5" t="s">
        <v>294</v>
      </c>
      <c r="D46" s="5" t="s">
        <v>295</v>
      </c>
      <c r="E46" s="5" t="s">
        <v>0</v>
      </c>
      <c r="F46" s="5" t="s">
        <v>0</v>
      </c>
      <c r="G46" s="5" t="s">
        <v>296</v>
      </c>
      <c r="H46" s="8">
        <f>ROUND(2916.21,2)</f>
        <v>2916.21</v>
      </c>
      <c r="I46" s="7">
        <f>ROUND(157283.52,2)</f>
        <v>157283.51999999999</v>
      </c>
      <c r="J46" s="7">
        <f>ROUND(1684,2)</f>
        <v>1684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7">
        <f>ROUND(-8,2)</f>
        <v>-8</v>
      </c>
      <c r="AC46" s="7">
        <f>ROUND(9,2)</f>
        <v>9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7">
        <f>ROUND(56,2)</f>
        <v>56</v>
      </c>
      <c r="BX46" s="6"/>
      <c r="BY46" s="6"/>
      <c r="BZ46" s="6"/>
      <c r="CA46" s="6"/>
      <c r="CB46" s="6"/>
      <c r="CC46" s="6"/>
      <c r="CD46" s="6"/>
      <c r="CE46" s="6"/>
      <c r="CF46" s="6"/>
      <c r="CG46" s="7">
        <f>ROUND(4,2)</f>
        <v>4</v>
      </c>
      <c r="CH46" s="7">
        <f>ROUND(48,2)</f>
        <v>48</v>
      </c>
      <c r="CI46" s="7">
        <f>ROUND(32,2)</f>
        <v>32</v>
      </c>
      <c r="CJ46" s="6"/>
      <c r="CK46" s="6"/>
      <c r="CL46" s="6"/>
      <c r="CM46" s="6"/>
      <c r="CN46" s="7">
        <f>ROUND(144,2)</f>
        <v>144</v>
      </c>
      <c r="CO46" s="7">
        <f>ROUND(8,2)</f>
        <v>8</v>
      </c>
      <c r="CP46" s="7">
        <f>ROUND(40,2)</f>
        <v>40</v>
      </c>
      <c r="CQ46" s="7">
        <f>ROUND(2017,2)</f>
        <v>2017</v>
      </c>
      <c r="CR46" s="7">
        <f>ROUND(138892.82,2)</f>
        <v>138892.82</v>
      </c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>
        <f>ROUND(-583.24,2)</f>
        <v>-583.24</v>
      </c>
      <c r="DL46" s="7">
        <f>ROUND(3375,2)</f>
        <v>3375</v>
      </c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7">
        <f>ROUND(6998.91,2)</f>
        <v>6998.91</v>
      </c>
      <c r="FK46" s="6"/>
      <c r="FL46" s="6"/>
      <c r="FM46" s="7">
        <f>ROUND(291.62,2)</f>
        <v>291.62</v>
      </c>
      <c r="FN46" s="7">
        <f>ROUND(1166.48,2)</f>
        <v>1166.48</v>
      </c>
      <c r="FO46" s="6"/>
      <c r="FP46" s="6"/>
      <c r="FQ46" s="6"/>
      <c r="FR46" s="6"/>
      <c r="FS46" s="6"/>
      <c r="FT46" s="6"/>
      <c r="FU46" s="6"/>
      <c r="FV46" s="7">
        <f>ROUND(4665.93,2)</f>
        <v>4665.93</v>
      </c>
      <c r="FW46" s="6"/>
      <c r="FX46" s="7">
        <f>ROUND(2476,2)</f>
        <v>2476</v>
      </c>
      <c r="FY46" s="7">
        <f>ROUND(157283.52,2)</f>
        <v>157283.51999999999</v>
      </c>
    </row>
    <row r="47" spans="1:181" x14ac:dyDescent="0.3">
      <c r="A47" s="4" t="s">
        <v>297</v>
      </c>
      <c r="B47" s="5" t="s">
        <v>1029</v>
      </c>
      <c r="C47" s="5" t="s">
        <v>181</v>
      </c>
      <c r="D47" s="5" t="s">
        <v>298</v>
      </c>
      <c r="E47" s="5" t="s">
        <v>299</v>
      </c>
      <c r="F47" s="5" t="s">
        <v>0</v>
      </c>
      <c r="G47" s="5" t="s">
        <v>183</v>
      </c>
      <c r="H47" s="8">
        <v>32.090000000000003</v>
      </c>
      <c r="I47" s="7">
        <f>ROUND(16356.1499999999,2)</f>
        <v>16356.15</v>
      </c>
      <c r="J47" s="6"/>
      <c r="K47" s="6"/>
      <c r="L47" s="6"/>
      <c r="M47" s="6"/>
      <c r="N47" s="7">
        <f>ROUND(249.8,2)</f>
        <v>249.8</v>
      </c>
      <c r="O47" s="6"/>
      <c r="P47" s="6"/>
      <c r="Q47" s="7">
        <f>ROUND(3.66,2)</f>
        <v>3.66</v>
      </c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7">
        <f>ROUND(16,2)</f>
        <v>16</v>
      </c>
      <c r="AV47" s="6"/>
      <c r="AW47" s="7">
        <f>ROUND(29.33,2)</f>
        <v>29.33</v>
      </c>
      <c r="AX47" s="7">
        <f>ROUND(2.67,2)</f>
        <v>2.67</v>
      </c>
      <c r="AY47" s="7">
        <f>ROUND(152,2)</f>
        <v>152</v>
      </c>
      <c r="AZ47" s="6"/>
      <c r="BA47" s="6"/>
      <c r="BB47" s="7">
        <f>ROUND(40,2)</f>
        <v>40</v>
      </c>
      <c r="BC47" s="6"/>
      <c r="BD47" s="7">
        <f>ROUND(8,2)</f>
        <v>8</v>
      </c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7">
        <f>ROUND(344,2)</f>
        <v>344</v>
      </c>
      <c r="BT47" s="6"/>
      <c r="BU47" s="6"/>
      <c r="BV47" s="6"/>
      <c r="BW47" s="7">
        <f>ROUND(8,2)</f>
        <v>8</v>
      </c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7">
        <f>ROUND(853.46,2)</f>
        <v>853.46</v>
      </c>
      <c r="CR47" s="6"/>
      <c r="CS47" s="6"/>
      <c r="CT47" s="6"/>
      <c r="CU47" s="6"/>
      <c r="CV47" s="7">
        <f>ROUND(8053.82,2)</f>
        <v>8053.82</v>
      </c>
      <c r="CW47" s="6"/>
      <c r="CX47" s="6"/>
      <c r="CY47" s="7">
        <f>ROUND(176.17,2)</f>
        <v>176.17</v>
      </c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7">
        <f>ROUND(513.44,2)</f>
        <v>513.44000000000005</v>
      </c>
      <c r="EE47" s="6"/>
      <c r="EF47" s="7">
        <f>ROUND(941.2,2)</f>
        <v>941.2</v>
      </c>
      <c r="EG47" s="7">
        <f>ROUND(128.52,2)</f>
        <v>128.52000000000001</v>
      </c>
      <c r="EH47" s="7">
        <f>ROUND(4877.68,2)</f>
        <v>4877.68</v>
      </c>
      <c r="EI47" s="6"/>
      <c r="EJ47" s="6"/>
      <c r="EK47" s="7">
        <f>ROUND(1283.6,2)</f>
        <v>1283.5999999999999</v>
      </c>
      <c r="EL47" s="6"/>
      <c r="EM47" s="6"/>
      <c r="EN47" s="7">
        <f>ROUND(256.72,2)</f>
        <v>256.72000000000003</v>
      </c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7">
        <f>ROUND(125,2)</f>
        <v>125</v>
      </c>
      <c r="FS47" s="6"/>
      <c r="FT47" s="6"/>
      <c r="FU47" s="6"/>
      <c r="FV47" s="6"/>
      <c r="FW47" s="6"/>
      <c r="FX47" s="6"/>
      <c r="FY47" s="7">
        <f>ROUND(16356.15,2)</f>
        <v>16356.15</v>
      </c>
    </row>
    <row r="48" spans="1:181" x14ac:dyDescent="0.3">
      <c r="A48" s="4" t="s">
        <v>300</v>
      </c>
      <c r="B48" s="5" t="s">
        <v>1029</v>
      </c>
      <c r="C48" s="5" t="s">
        <v>181</v>
      </c>
      <c r="D48" s="5" t="s">
        <v>301</v>
      </c>
      <c r="E48" s="5" t="s">
        <v>292</v>
      </c>
      <c r="F48" s="5" t="s">
        <v>0</v>
      </c>
      <c r="G48" s="5" t="s">
        <v>183</v>
      </c>
      <c r="H48" s="9">
        <v>17.5</v>
      </c>
      <c r="I48" s="7">
        <f>ROUND(2612.93,2)</f>
        <v>2612.9299999999998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7">
        <f>ROUND(149.31,2)</f>
        <v>149.31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7">
        <f>ROUND(5,2)</f>
        <v>5</v>
      </c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7">
        <f>ROUND(154.31,2)</f>
        <v>154.31</v>
      </c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7">
        <f>ROUND(2612.93,2)</f>
        <v>2612.9299999999998</v>
      </c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7">
        <f>ROUND(2612.93,2)</f>
        <v>2612.9299999999998</v>
      </c>
    </row>
    <row r="49" spans="1:181" x14ac:dyDescent="0.3">
      <c r="A49" s="4" t="s">
        <v>302</v>
      </c>
      <c r="B49" s="5" t="s">
        <v>1029</v>
      </c>
      <c r="C49" s="5" t="s">
        <v>181</v>
      </c>
      <c r="D49" s="5" t="s">
        <v>303</v>
      </c>
      <c r="E49" s="5" t="s">
        <v>0</v>
      </c>
      <c r="F49" s="5" t="s">
        <v>0</v>
      </c>
      <c r="G49" s="5" t="s">
        <v>183</v>
      </c>
      <c r="H49" s="9">
        <v>33.380000000000003</v>
      </c>
      <c r="I49" s="7">
        <f>ROUND(79724.78,2)</f>
        <v>79724.78</v>
      </c>
      <c r="J49" s="6"/>
      <c r="K49" s="6"/>
      <c r="L49" s="6"/>
      <c r="M49" s="6"/>
      <c r="N49" s="7">
        <f>ROUND(830.899999999999,2)</f>
        <v>830.9</v>
      </c>
      <c r="O49" s="6"/>
      <c r="P49" s="6"/>
      <c r="Q49" s="7">
        <f>ROUND(102.1,2)</f>
        <v>102.1</v>
      </c>
      <c r="R49" s="6"/>
      <c r="S49" s="6"/>
      <c r="T49" s="6"/>
      <c r="U49" s="6"/>
      <c r="V49" s="7">
        <f>ROUND(21.4799999999999,2)</f>
        <v>21.48</v>
      </c>
      <c r="W49" s="6"/>
      <c r="X49" s="6"/>
      <c r="Y49" s="6"/>
      <c r="Z49" s="6"/>
      <c r="AA49" s="6"/>
      <c r="AB49" s="6"/>
      <c r="AC49" s="6"/>
      <c r="AD49" s="6"/>
      <c r="AE49" s="7">
        <f>ROUND(375.92,2)</f>
        <v>375.92</v>
      </c>
      <c r="AF49" s="6"/>
      <c r="AG49" s="7">
        <f>ROUND(27.9,2)</f>
        <v>27.9</v>
      </c>
      <c r="AH49" s="6"/>
      <c r="AI49" s="6"/>
      <c r="AJ49" s="6"/>
      <c r="AK49" s="6"/>
      <c r="AL49" s="6"/>
      <c r="AM49" s="6"/>
      <c r="AN49" s="6"/>
      <c r="AO49" s="6"/>
      <c r="AP49" s="7">
        <f>ROUND(724.64,2)</f>
        <v>724.64</v>
      </c>
      <c r="AQ49" s="6"/>
      <c r="AR49" s="7">
        <f>ROUND(81.69,2)</f>
        <v>81.69</v>
      </c>
      <c r="AS49" s="6"/>
      <c r="AT49" s="6"/>
      <c r="AU49" s="7">
        <f>ROUND(76,2)</f>
        <v>76</v>
      </c>
      <c r="AV49" s="6"/>
      <c r="AW49" s="7">
        <f>ROUND(28.83,2)</f>
        <v>28.83</v>
      </c>
      <c r="AX49" s="7">
        <f>ROUND(1.17,2)</f>
        <v>1.17</v>
      </c>
      <c r="AY49" s="7">
        <f>ROUND(20.83,2)</f>
        <v>20.83</v>
      </c>
      <c r="AZ49" s="7">
        <f>ROUND(3.17,2)</f>
        <v>3.17</v>
      </c>
      <c r="BA49" s="6"/>
      <c r="BB49" s="7">
        <f>ROUND(16,2)</f>
        <v>16</v>
      </c>
      <c r="BC49" s="6"/>
      <c r="BD49" s="7">
        <f>ROUND(8,2)</f>
        <v>8</v>
      </c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7">
        <f>ROUND(18.58,2)</f>
        <v>18.579999999999998</v>
      </c>
      <c r="BP49" s="6"/>
      <c r="BQ49" s="7">
        <f>ROUND(16,2)</f>
        <v>16</v>
      </c>
      <c r="BR49" s="6"/>
      <c r="BS49" s="6"/>
      <c r="BT49" s="6"/>
      <c r="BU49" s="6"/>
      <c r="BV49" s="6"/>
      <c r="BW49" s="6"/>
      <c r="BX49" s="6"/>
      <c r="BY49" s="7">
        <f>ROUND(16,2)</f>
        <v>16</v>
      </c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7">
        <f>ROUND(2369.21,2)</f>
        <v>2369.21</v>
      </c>
      <c r="CR49" s="6"/>
      <c r="CS49" s="6"/>
      <c r="CT49" s="6"/>
      <c r="CU49" s="6"/>
      <c r="CV49" s="7">
        <f>ROUND(25496.7899999999,2)</f>
        <v>25496.79</v>
      </c>
      <c r="CW49" s="6"/>
      <c r="CX49" s="6"/>
      <c r="CY49" s="7">
        <f>ROUND(4778.66999999999,2)</f>
        <v>4778.67</v>
      </c>
      <c r="CZ49" s="6"/>
      <c r="DA49" s="6"/>
      <c r="DB49" s="6"/>
      <c r="DC49" s="6"/>
      <c r="DD49" s="7">
        <f>ROUND(694.42,2)</f>
        <v>694.42</v>
      </c>
      <c r="DE49" s="6"/>
      <c r="DF49" s="6"/>
      <c r="DG49" s="6"/>
      <c r="DH49" s="6"/>
      <c r="DI49" s="6"/>
      <c r="DJ49" s="6"/>
      <c r="DK49" s="6"/>
      <c r="DL49" s="6"/>
      <c r="DM49" s="6"/>
      <c r="DN49" s="7">
        <f>ROUND(11510.81,2)</f>
        <v>11510.81</v>
      </c>
      <c r="DO49" s="6"/>
      <c r="DP49" s="7">
        <f>ROUND(1318.18,2)</f>
        <v>1318.18</v>
      </c>
      <c r="DQ49" s="6"/>
      <c r="DR49" s="6"/>
      <c r="DS49" s="6"/>
      <c r="DT49" s="6"/>
      <c r="DU49" s="6"/>
      <c r="DV49" s="6"/>
      <c r="DW49" s="6"/>
      <c r="DX49" s="6"/>
      <c r="DY49" s="7">
        <f>ROUND(22143.0699999999,2)</f>
        <v>22143.07</v>
      </c>
      <c r="DZ49" s="6"/>
      <c r="EA49" s="7">
        <f>ROUND(3721.62,2)</f>
        <v>3721.62</v>
      </c>
      <c r="EB49" s="6"/>
      <c r="EC49" s="6"/>
      <c r="ED49" s="7">
        <f>ROUND(2325.7,2)</f>
        <v>2325.6999999999998</v>
      </c>
      <c r="EE49" s="6"/>
      <c r="EF49" s="7">
        <f>ROUND(888.13,2)</f>
        <v>888.13</v>
      </c>
      <c r="EG49" s="7">
        <f>ROUND(53.51,2)</f>
        <v>53.51</v>
      </c>
      <c r="EH49" s="7">
        <f>ROUND(667.26,2)</f>
        <v>667.26</v>
      </c>
      <c r="EI49" s="7">
        <f>ROUND(149.31,2)</f>
        <v>149.31</v>
      </c>
      <c r="EJ49" s="6"/>
      <c r="EK49" s="7">
        <f>ROUND(462.08,2)</f>
        <v>462.08</v>
      </c>
      <c r="EL49" s="6"/>
      <c r="EM49" s="6"/>
      <c r="EN49" s="7">
        <f>ROUND(243.92,2)</f>
        <v>243.92</v>
      </c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7">
        <f>ROUND(600.87,2)</f>
        <v>600.87</v>
      </c>
      <c r="FC49" s="6"/>
      <c r="FD49" s="7">
        <f>ROUND(495.439999999999,2)</f>
        <v>495.44</v>
      </c>
      <c r="FE49" s="6"/>
      <c r="FF49" s="6"/>
      <c r="FG49" s="6"/>
      <c r="FH49" s="6"/>
      <c r="FI49" s="6"/>
      <c r="FJ49" s="7">
        <f>ROUND(1175,2)</f>
        <v>1175</v>
      </c>
      <c r="FK49" s="6"/>
      <c r="FL49" s="6"/>
      <c r="FM49" s="6"/>
      <c r="FN49" s="6"/>
      <c r="FO49" s="6"/>
      <c r="FP49" s="6"/>
      <c r="FQ49" s="6"/>
      <c r="FR49" s="6"/>
      <c r="FS49" s="6"/>
      <c r="FT49" s="7">
        <f>ROUND(3000,2)</f>
        <v>3000</v>
      </c>
      <c r="FU49" s="6"/>
      <c r="FV49" s="6"/>
      <c r="FW49" s="6"/>
      <c r="FX49" s="6"/>
      <c r="FY49" s="7">
        <f>ROUND(79724.78,2)</f>
        <v>79724.78</v>
      </c>
    </row>
    <row r="50" spans="1:181" x14ac:dyDescent="0.3">
      <c r="A50" s="4" t="s">
        <v>304</v>
      </c>
      <c r="B50" s="5"/>
      <c r="C50" s="5" t="s">
        <v>305</v>
      </c>
      <c r="D50" s="5" t="s">
        <v>306</v>
      </c>
      <c r="E50" s="5" t="s">
        <v>0</v>
      </c>
      <c r="F50" s="5" t="s">
        <v>0</v>
      </c>
      <c r="G50" s="5" t="s">
        <v>307</v>
      </c>
      <c r="H50" s="8">
        <f>ROUND(2715.05,2)</f>
        <v>2715.05</v>
      </c>
      <c r="I50" s="7">
        <f>ROUND(150729.49,2)</f>
        <v>150729.49</v>
      </c>
      <c r="J50" s="7">
        <f>ROUND(1639,2)</f>
        <v>1639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>
        <f>ROUND(-8,2)</f>
        <v>-8</v>
      </c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7">
        <f>ROUND(8,2)</f>
        <v>8</v>
      </c>
      <c r="BX50" s="6"/>
      <c r="BY50" s="6"/>
      <c r="BZ50" s="6"/>
      <c r="CA50" s="6"/>
      <c r="CB50" s="6"/>
      <c r="CC50" s="6"/>
      <c r="CD50" s="6"/>
      <c r="CE50" s="6"/>
      <c r="CF50" s="6"/>
      <c r="CG50" s="7">
        <f>ROUND(30,2)</f>
        <v>30</v>
      </c>
      <c r="CH50" s="7">
        <f>ROUND(56,2)</f>
        <v>56</v>
      </c>
      <c r="CI50" s="7">
        <f>ROUND(40,2)</f>
        <v>40</v>
      </c>
      <c r="CJ50" s="6"/>
      <c r="CK50" s="6"/>
      <c r="CL50" s="6"/>
      <c r="CM50" s="6"/>
      <c r="CN50" s="7">
        <f>ROUND(107,2)</f>
        <v>107</v>
      </c>
      <c r="CO50" s="6"/>
      <c r="CP50" s="6"/>
      <c r="CQ50" s="7">
        <f>ROUND(1872,2)</f>
        <v>1872</v>
      </c>
      <c r="CR50" s="7">
        <f>ROUND(135684.62,2)</f>
        <v>135684.62</v>
      </c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7">
        <f>ROUND(-543.01,2)</f>
        <v>-543.01</v>
      </c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7">
        <f>ROUND(315.72,2)</f>
        <v>315.72000000000003</v>
      </c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7">
        <f>ROUND(6516.12,2)</f>
        <v>6516.12</v>
      </c>
      <c r="FK50" s="6"/>
      <c r="FL50" s="6"/>
      <c r="FM50" s="7">
        <f>ROUND(2036.29,2)</f>
        <v>2036.29</v>
      </c>
      <c r="FN50" s="7">
        <f>ROUND(1629.03,2)</f>
        <v>1629.03</v>
      </c>
      <c r="FO50" s="6"/>
      <c r="FP50" s="6"/>
      <c r="FQ50" s="6"/>
      <c r="FR50" s="6"/>
      <c r="FS50" s="6"/>
      <c r="FT50" s="6"/>
      <c r="FU50" s="6"/>
      <c r="FV50" s="7">
        <f>ROUND(5090.72,2)</f>
        <v>5090.72</v>
      </c>
      <c r="FW50" s="6"/>
      <c r="FX50" s="6"/>
      <c r="FY50" s="7">
        <f>ROUND(150729.49,2)</f>
        <v>150729.49</v>
      </c>
    </row>
    <row r="51" spans="1:181" x14ac:dyDescent="0.3">
      <c r="A51" s="4" t="s">
        <v>308</v>
      </c>
      <c r="B51" s="5" t="s">
        <v>1029</v>
      </c>
      <c r="C51" s="5" t="s">
        <v>181</v>
      </c>
      <c r="D51" s="5" t="s">
        <v>309</v>
      </c>
      <c r="E51" s="5" t="s">
        <v>0</v>
      </c>
      <c r="F51" s="5" t="s">
        <v>0</v>
      </c>
      <c r="G51" s="5" t="s">
        <v>183</v>
      </c>
      <c r="H51" s="8">
        <v>33.380000000000003</v>
      </c>
      <c r="I51" s="7">
        <f>ROUND(94378.0199999999,2)</f>
        <v>94378.02</v>
      </c>
      <c r="J51" s="6"/>
      <c r="K51" s="6"/>
      <c r="L51" s="6"/>
      <c r="M51" s="6"/>
      <c r="N51" s="7">
        <f>ROUND(1248.89,2)</f>
        <v>1248.8900000000001</v>
      </c>
      <c r="O51" s="6"/>
      <c r="P51" s="6"/>
      <c r="Q51" s="7">
        <f>ROUND(298.88,2)</f>
        <v>298.88</v>
      </c>
      <c r="R51" s="6"/>
      <c r="S51" s="6"/>
      <c r="T51" s="6"/>
      <c r="U51" s="6"/>
      <c r="V51" s="6"/>
      <c r="W51" s="6"/>
      <c r="X51" s="7">
        <f>ROUND(4.65999999999999,2)</f>
        <v>4.66</v>
      </c>
      <c r="Y51" s="7">
        <f>ROUND(1.1,2)</f>
        <v>1.1000000000000001</v>
      </c>
      <c r="Z51" s="6"/>
      <c r="AA51" s="6"/>
      <c r="AB51" s="6"/>
      <c r="AC51" s="6"/>
      <c r="AD51" s="6"/>
      <c r="AE51" s="7">
        <f>ROUND(124.92,2)</f>
        <v>124.92</v>
      </c>
      <c r="AF51" s="6"/>
      <c r="AG51" s="7">
        <f>ROUND(9.75,2)</f>
        <v>9.75</v>
      </c>
      <c r="AH51" s="6"/>
      <c r="AI51" s="6"/>
      <c r="AJ51" s="6"/>
      <c r="AK51" s="6"/>
      <c r="AL51" s="6"/>
      <c r="AM51" s="6"/>
      <c r="AN51" s="6"/>
      <c r="AO51" s="6"/>
      <c r="AP51" s="7">
        <f>ROUND(442.46,2)</f>
        <v>442.46</v>
      </c>
      <c r="AQ51" s="6"/>
      <c r="AR51" s="7">
        <f>ROUND(16.96,2)</f>
        <v>16.96</v>
      </c>
      <c r="AS51" s="6"/>
      <c r="AT51" s="6"/>
      <c r="AU51" s="7">
        <f>ROUND(68,2)</f>
        <v>68</v>
      </c>
      <c r="AV51" s="7">
        <f>ROUND(8,2)</f>
        <v>8</v>
      </c>
      <c r="AW51" s="7">
        <f>ROUND(26,2)</f>
        <v>26</v>
      </c>
      <c r="AX51" s="7">
        <f>ROUND(8,2)</f>
        <v>8</v>
      </c>
      <c r="AY51" s="7">
        <f>ROUND(50,2)</f>
        <v>50</v>
      </c>
      <c r="AZ51" s="6"/>
      <c r="BA51" s="6"/>
      <c r="BB51" s="7">
        <f>ROUND(34,2)</f>
        <v>34</v>
      </c>
      <c r="BC51" s="6"/>
      <c r="BD51" s="7">
        <f>ROUND(8,2)</f>
        <v>8</v>
      </c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7">
        <f>ROUND(5,2)</f>
        <v>5</v>
      </c>
      <c r="BQ51" s="7">
        <f>ROUND(120.609999999999,2)</f>
        <v>120.61</v>
      </c>
      <c r="BR51" s="7">
        <f>ROUND(78.22,2)</f>
        <v>78.22</v>
      </c>
      <c r="BS51" s="7">
        <f>ROUND(43.42,2)</f>
        <v>43.42</v>
      </c>
      <c r="BT51" s="7">
        <f>ROUND(0.73,2)</f>
        <v>0.73</v>
      </c>
      <c r="BU51" s="6"/>
      <c r="BV51" s="6"/>
      <c r="BW51" s="6"/>
      <c r="BX51" s="6"/>
      <c r="BY51" s="6"/>
      <c r="BZ51" s="6"/>
      <c r="CA51" s="7">
        <f>ROUND(8,2)</f>
        <v>8</v>
      </c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7">
        <f>ROUND(2605.59999999999,2)</f>
        <v>2605.6</v>
      </c>
      <c r="CR51" s="6"/>
      <c r="CS51" s="6"/>
      <c r="CT51" s="6"/>
      <c r="CU51" s="6"/>
      <c r="CV51" s="7">
        <f>ROUND(40705.93,2)</f>
        <v>40705.93</v>
      </c>
      <c r="CW51" s="6"/>
      <c r="CX51" s="6"/>
      <c r="CY51" s="7">
        <f>ROUND(14656.08,2)</f>
        <v>14656.08</v>
      </c>
      <c r="CZ51" s="6"/>
      <c r="DA51" s="6"/>
      <c r="DB51" s="6"/>
      <c r="DC51" s="6"/>
      <c r="DD51" s="6"/>
      <c r="DE51" s="6"/>
      <c r="DF51" s="7">
        <f>ROUND(151.049999999999,2)</f>
        <v>151.05000000000001</v>
      </c>
      <c r="DG51" s="7">
        <f>ROUND(53.5599999999999,2)</f>
        <v>53.56</v>
      </c>
      <c r="DH51" s="6"/>
      <c r="DI51" s="6"/>
      <c r="DJ51" s="6"/>
      <c r="DK51" s="6"/>
      <c r="DL51" s="6"/>
      <c r="DM51" s="6"/>
      <c r="DN51" s="7">
        <f>ROUND(4111.76999999999,2)</f>
        <v>4111.7700000000004</v>
      </c>
      <c r="DO51" s="6"/>
      <c r="DP51" s="7">
        <f>ROUND(475.25,2)</f>
        <v>475.25</v>
      </c>
      <c r="DQ51" s="6"/>
      <c r="DR51" s="6"/>
      <c r="DS51" s="6"/>
      <c r="DT51" s="6"/>
      <c r="DU51" s="6"/>
      <c r="DV51" s="6"/>
      <c r="DW51" s="6"/>
      <c r="DX51" s="6"/>
      <c r="DY51" s="7">
        <f>ROUND(14420.93,2)</f>
        <v>14420.93</v>
      </c>
      <c r="DZ51" s="6"/>
      <c r="EA51" s="7">
        <f>ROUND(821.41,2)</f>
        <v>821.41</v>
      </c>
      <c r="EB51" s="6"/>
      <c r="EC51" s="6"/>
      <c r="ED51" s="7">
        <f>ROUND(2210.38,2)</f>
        <v>2210.38</v>
      </c>
      <c r="EE51" s="7">
        <f>ROUND(396.64,2)</f>
        <v>396.64</v>
      </c>
      <c r="EF51" s="7">
        <f>ROUND(842.02,2)</f>
        <v>842.02</v>
      </c>
      <c r="EG51" s="7">
        <f>ROUND(385.08,2)</f>
        <v>385.08</v>
      </c>
      <c r="EH51" s="7">
        <f>ROUND(1642.9,2)</f>
        <v>1642.9</v>
      </c>
      <c r="EI51" s="6"/>
      <c r="EJ51" s="6"/>
      <c r="EK51" s="7">
        <f>ROUND(1091.06,2)</f>
        <v>1091.06</v>
      </c>
      <c r="EL51" s="6"/>
      <c r="EM51" s="6"/>
      <c r="EN51" s="7">
        <f>ROUND(256.72,2)</f>
        <v>256.72000000000003</v>
      </c>
      <c r="EO51" s="6"/>
      <c r="EP51" s="6"/>
      <c r="EQ51" s="6"/>
      <c r="ER51" s="6"/>
      <c r="ES51" s="6"/>
      <c r="ET51" s="6"/>
      <c r="EU51" s="6"/>
      <c r="EV51" s="7">
        <f>ROUND(500,2)</f>
        <v>500</v>
      </c>
      <c r="EW51" s="6"/>
      <c r="EX51" s="6"/>
      <c r="EY51" s="6"/>
      <c r="EZ51" s="6"/>
      <c r="FA51" s="6"/>
      <c r="FB51" s="6"/>
      <c r="FC51" s="7">
        <f>ROUND(240.68,2)</f>
        <v>240.68</v>
      </c>
      <c r="FD51" s="7">
        <f>ROUND(3909.91,2)</f>
        <v>3909.91</v>
      </c>
      <c r="FE51" s="7">
        <f>ROUND(3806.64999999999,2)</f>
        <v>3806.65</v>
      </c>
      <c r="FF51" s="6"/>
      <c r="FG51" s="6"/>
      <c r="FH51" s="6"/>
      <c r="FI51" s="6"/>
      <c r="FJ51" s="7">
        <f>ROUND(700,2)</f>
        <v>700</v>
      </c>
      <c r="FK51" s="6"/>
      <c r="FL51" s="6"/>
      <c r="FM51" s="6"/>
      <c r="FN51" s="6"/>
      <c r="FO51" s="6"/>
      <c r="FP51" s="6"/>
      <c r="FQ51" s="6"/>
      <c r="FR51" s="6"/>
      <c r="FS51" s="6"/>
      <c r="FT51" s="7">
        <f>ROUND(3000,2)</f>
        <v>3000</v>
      </c>
      <c r="FU51" s="6"/>
      <c r="FV51" s="6"/>
      <c r="FW51" s="6"/>
      <c r="FX51" s="6"/>
      <c r="FY51" s="7">
        <f>ROUND(94378.0199999999,2)</f>
        <v>94378.02</v>
      </c>
    </row>
    <row r="52" spans="1:181" ht="26.4" x14ac:dyDescent="0.3">
      <c r="A52" s="4" t="s">
        <v>310</v>
      </c>
      <c r="B52" s="5"/>
      <c r="C52" s="5" t="s">
        <v>311</v>
      </c>
      <c r="D52" s="5" t="s">
        <v>268</v>
      </c>
      <c r="E52" s="5" t="s">
        <v>0</v>
      </c>
      <c r="F52" s="5" t="s">
        <v>0</v>
      </c>
      <c r="G52" s="5" t="s">
        <v>312</v>
      </c>
      <c r="H52" s="8">
        <f>ROUND(18.5,2)</f>
        <v>18.5</v>
      </c>
      <c r="I52" s="7">
        <f>ROUND(30518.08,2)</f>
        <v>30518.080000000002</v>
      </c>
      <c r="J52" s="7">
        <f>ROUND(1159.5,2)</f>
        <v>1159.5</v>
      </c>
      <c r="K52" s="7">
        <f>ROUND(262.75,2)</f>
        <v>262.75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7">
        <f>ROUND(40,2)</f>
        <v>40</v>
      </c>
      <c r="CH52" s="7">
        <f>ROUND(24,2)</f>
        <v>24</v>
      </c>
      <c r="CI52" s="6"/>
      <c r="CJ52" s="6"/>
      <c r="CK52" s="6"/>
      <c r="CL52" s="6"/>
      <c r="CM52" s="6"/>
      <c r="CN52" s="7">
        <f>ROUND(16,2)</f>
        <v>16</v>
      </c>
      <c r="CO52" s="6"/>
      <c r="CP52" s="6"/>
      <c r="CQ52" s="7">
        <f>ROUND(1502.25,2)</f>
        <v>1502.25</v>
      </c>
      <c r="CR52" s="7">
        <f>ROUND(21450.75,2)</f>
        <v>21450.75</v>
      </c>
      <c r="CS52" s="7">
        <f>ROUND(7291.33,2)</f>
        <v>7291.33</v>
      </c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7">
        <f>ROUND(296,2)</f>
        <v>296</v>
      </c>
      <c r="FK52" s="6"/>
      <c r="FL52" s="6"/>
      <c r="FM52" s="7">
        <f>ROUND(740,2)</f>
        <v>740</v>
      </c>
      <c r="FN52" s="7">
        <f>ROUND(444,2)</f>
        <v>444</v>
      </c>
      <c r="FO52" s="6"/>
      <c r="FP52" s="6"/>
      <c r="FQ52" s="6"/>
      <c r="FR52" s="6"/>
      <c r="FS52" s="6"/>
      <c r="FT52" s="6"/>
      <c r="FU52" s="6"/>
      <c r="FV52" s="7">
        <f>ROUND(296,2)</f>
        <v>296</v>
      </c>
      <c r="FW52" s="6"/>
      <c r="FX52" s="6"/>
      <c r="FY52" s="7">
        <f>ROUND(30518.08,2)</f>
        <v>30518.080000000002</v>
      </c>
    </row>
    <row r="53" spans="1:181" ht="26.4" x14ac:dyDescent="0.3">
      <c r="A53" s="4" t="s">
        <v>313</v>
      </c>
      <c r="B53" s="5"/>
      <c r="C53" s="5" t="s">
        <v>294</v>
      </c>
      <c r="D53" s="5" t="s">
        <v>295</v>
      </c>
      <c r="E53" s="5" t="s">
        <v>314</v>
      </c>
      <c r="F53" s="5" t="s">
        <v>0</v>
      </c>
      <c r="G53" s="5" t="s">
        <v>315</v>
      </c>
      <c r="H53" s="8">
        <f>ROUND(1506.16,2)</f>
        <v>1506.16</v>
      </c>
      <c r="I53" s="7">
        <f>ROUND(58532.37,2)</f>
        <v>58532.37</v>
      </c>
      <c r="J53" s="7">
        <f>ROUND(800,2)</f>
        <v>800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>
        <f>ROUND(8,2)</f>
        <v>8</v>
      </c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7">
        <f>ROUND(12,2)</f>
        <v>12</v>
      </c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7">
        <f>ROUND(32,2)</f>
        <v>32</v>
      </c>
      <c r="CI53" s="7">
        <f>ROUND(32,2)</f>
        <v>32</v>
      </c>
      <c r="CJ53" s="6"/>
      <c r="CK53" s="6"/>
      <c r="CL53" s="6"/>
      <c r="CM53" s="6"/>
      <c r="CN53" s="6"/>
      <c r="CO53" s="6"/>
      <c r="CP53" s="7">
        <f>ROUND(256,2)</f>
        <v>256</v>
      </c>
      <c r="CQ53" s="7">
        <f>ROUND(1140,2)</f>
        <v>1140</v>
      </c>
      <c r="CR53" s="7">
        <f>ROUND(43678.64,2)</f>
        <v>43678.64</v>
      </c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7">
        <f>ROUND(3000,2)</f>
        <v>3000</v>
      </c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7">
        <f>ROUND(2215.33,2)</f>
        <v>2215.33</v>
      </c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7">
        <f>ROUND(9638.4,2)</f>
        <v>9638.4</v>
      </c>
      <c r="FY53" s="7">
        <f>ROUND(58532.37,2)</f>
        <v>58532.37</v>
      </c>
    </row>
    <row r="54" spans="1:181" ht="26.4" x14ac:dyDescent="0.3">
      <c r="A54" s="4" t="s">
        <v>316</v>
      </c>
      <c r="B54" s="5"/>
      <c r="C54" s="5" t="s">
        <v>311</v>
      </c>
      <c r="D54" s="5" t="s">
        <v>317</v>
      </c>
      <c r="E54" s="5" t="s">
        <v>0</v>
      </c>
      <c r="F54" s="5" t="s">
        <v>0</v>
      </c>
      <c r="G54" s="5" t="s">
        <v>318</v>
      </c>
      <c r="H54" s="8">
        <f>ROUND(28.84,2)</f>
        <v>28.84</v>
      </c>
      <c r="I54" s="7">
        <f>ROUND(36433.62,2)</f>
        <v>36433.620000000003</v>
      </c>
      <c r="J54" s="7">
        <f>ROUND(816,2)</f>
        <v>816</v>
      </c>
      <c r="K54" s="7">
        <f>ROUND(269,2)</f>
        <v>269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7">
        <f>ROUND(20,2)</f>
        <v>20</v>
      </c>
      <c r="CH54" s="7">
        <f>ROUND(16,2)</f>
        <v>16</v>
      </c>
      <c r="CI54" s="6"/>
      <c r="CJ54" s="6"/>
      <c r="CK54" s="6"/>
      <c r="CL54" s="6"/>
      <c r="CM54" s="6"/>
      <c r="CN54" s="6"/>
      <c r="CO54" s="6"/>
      <c r="CP54" s="6"/>
      <c r="CQ54" s="7">
        <f>ROUND(1121,2)</f>
        <v>1121</v>
      </c>
      <c r="CR54" s="7">
        <f>ROUND(23533.4399999999,2)</f>
        <v>23533.439999999999</v>
      </c>
      <c r="CS54" s="7">
        <f>ROUND(11636.94,2)</f>
        <v>11636.94</v>
      </c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7">
        <f>ROUND(225,2)</f>
        <v>225</v>
      </c>
      <c r="FK54" s="6"/>
      <c r="FL54" s="6"/>
      <c r="FM54" s="7">
        <f>ROUND(576.8,2)</f>
        <v>576.79999999999995</v>
      </c>
      <c r="FN54" s="7">
        <f>ROUND(461.44,2)</f>
        <v>461.44</v>
      </c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7">
        <f>ROUND(36433.6199999999,2)</f>
        <v>36433.620000000003</v>
      </c>
    </row>
    <row r="55" spans="1:181" ht="26.4" x14ac:dyDescent="0.3">
      <c r="A55" s="4" t="s">
        <v>319</v>
      </c>
      <c r="B55" s="5"/>
      <c r="C55" s="5" t="s">
        <v>320</v>
      </c>
      <c r="D55" s="5" t="s">
        <v>321</v>
      </c>
      <c r="E55" s="5" t="s">
        <v>255</v>
      </c>
      <c r="F55" s="5" t="s">
        <v>0</v>
      </c>
      <c r="G55" s="5" t="s">
        <v>322</v>
      </c>
      <c r="H55" s="8">
        <f>ROUND(1058.02,2)</f>
        <v>1058.02</v>
      </c>
      <c r="I55" s="7">
        <f>ROUND(47414.1599999999,2)</f>
        <v>47414.16</v>
      </c>
      <c r="J55" s="7">
        <f>ROUND(1309,2)</f>
        <v>1309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7">
        <f>ROUND(-12,2)</f>
        <v>-12</v>
      </c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7">
        <f>ROUND(4,2)</f>
        <v>4</v>
      </c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7">
        <f>ROUND(8,2)</f>
        <v>8</v>
      </c>
      <c r="BX55" s="6"/>
      <c r="BY55" s="6"/>
      <c r="BZ55" s="6"/>
      <c r="CA55" s="6"/>
      <c r="CB55" s="6"/>
      <c r="CC55" s="6"/>
      <c r="CD55" s="6"/>
      <c r="CE55" s="6"/>
      <c r="CF55" s="6"/>
      <c r="CG55" s="7">
        <f>ROUND(31,2)</f>
        <v>31</v>
      </c>
      <c r="CH55" s="7">
        <f>ROUND(40,2)</f>
        <v>40</v>
      </c>
      <c r="CI55" s="7">
        <f>ROUND(24,2)</f>
        <v>24</v>
      </c>
      <c r="CJ55" s="6"/>
      <c r="CK55" s="6"/>
      <c r="CL55" s="7">
        <f>ROUND(112,2)</f>
        <v>112</v>
      </c>
      <c r="CM55" s="6"/>
      <c r="CN55" s="7">
        <f>ROUND(98,2)</f>
        <v>98</v>
      </c>
      <c r="CO55" s="6"/>
      <c r="CP55" s="6"/>
      <c r="CQ55" s="7">
        <f>ROUND(1614,2)</f>
        <v>1614</v>
      </c>
      <c r="CR55" s="7">
        <f>ROUND(44145.8799999999,2)</f>
        <v>44145.88</v>
      </c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7">
        <f>ROUND(-317.4,2)</f>
        <v>-317.39999999999998</v>
      </c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7">
        <f>ROUND(105.8,2)</f>
        <v>105.8</v>
      </c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7">
        <f>ROUND(343.85,2)</f>
        <v>343.85</v>
      </c>
      <c r="FN55" s="7">
        <f>ROUND(211.6,2)</f>
        <v>211.6</v>
      </c>
      <c r="FO55" s="6"/>
      <c r="FP55" s="6"/>
      <c r="FQ55" s="6"/>
      <c r="FR55" s="6"/>
      <c r="FS55" s="7">
        <f>ROUND(2448.32,2)</f>
        <v>2448.3200000000002</v>
      </c>
      <c r="FT55" s="6"/>
      <c r="FU55" s="6"/>
      <c r="FV55" s="7">
        <f>ROUND(476.109999999999,2)</f>
        <v>476.11</v>
      </c>
      <c r="FW55" s="6"/>
      <c r="FX55" s="6"/>
      <c r="FY55" s="7">
        <f>ROUND(47414.1599999999,2)</f>
        <v>47414.16</v>
      </c>
    </row>
    <row r="56" spans="1:181" x14ac:dyDescent="0.3">
      <c r="A56" s="4" t="s">
        <v>323</v>
      </c>
      <c r="B56" s="5" t="s">
        <v>1029</v>
      </c>
      <c r="C56" s="5" t="s">
        <v>181</v>
      </c>
      <c r="D56" s="5" t="s">
        <v>324</v>
      </c>
      <c r="E56" s="5" t="s">
        <v>0</v>
      </c>
      <c r="F56" s="5" t="s">
        <v>0</v>
      </c>
      <c r="G56" s="5" t="s">
        <v>183</v>
      </c>
      <c r="H56" s="8">
        <v>33.380000000000003</v>
      </c>
      <c r="I56" s="7">
        <f>ROUND(87894.43,2)</f>
        <v>87894.43</v>
      </c>
      <c r="J56" s="6"/>
      <c r="K56" s="6"/>
      <c r="L56" s="6"/>
      <c r="M56" s="6"/>
      <c r="N56" s="7">
        <f>ROUND(1465.28,2)</f>
        <v>1465.28</v>
      </c>
      <c r="O56" s="6"/>
      <c r="P56" s="6"/>
      <c r="Q56" s="7">
        <f>ROUND(269.929999999999,2)</f>
        <v>269.93</v>
      </c>
      <c r="R56" s="6"/>
      <c r="S56" s="6"/>
      <c r="T56" s="6"/>
      <c r="U56" s="6"/>
      <c r="V56" s="6"/>
      <c r="W56" s="7">
        <f>ROUND(20.37,2)</f>
        <v>20.37</v>
      </c>
      <c r="X56" s="7">
        <f>ROUND(2.25,2)</f>
        <v>2.25</v>
      </c>
      <c r="Y56" s="6"/>
      <c r="Z56" s="6"/>
      <c r="AA56" s="6"/>
      <c r="AB56" s="6"/>
      <c r="AC56" s="6"/>
      <c r="AD56" s="6"/>
      <c r="AE56" s="7">
        <f>ROUND(75.67,2)</f>
        <v>75.67</v>
      </c>
      <c r="AF56" s="6"/>
      <c r="AG56" s="7">
        <f>ROUND(13,2)</f>
        <v>13</v>
      </c>
      <c r="AH56" s="6"/>
      <c r="AI56" s="6"/>
      <c r="AJ56" s="6"/>
      <c r="AK56" s="6"/>
      <c r="AL56" s="6"/>
      <c r="AM56" s="6"/>
      <c r="AN56" s="6"/>
      <c r="AO56" s="6"/>
      <c r="AP56" s="7">
        <f>ROUND(182.699999999999,2)</f>
        <v>182.7</v>
      </c>
      <c r="AQ56" s="6"/>
      <c r="AR56" s="7">
        <f>ROUND(27.2,2)</f>
        <v>27.2</v>
      </c>
      <c r="AS56" s="6"/>
      <c r="AT56" s="6"/>
      <c r="AU56" s="7">
        <f>ROUND(64,2)</f>
        <v>64</v>
      </c>
      <c r="AV56" s="7">
        <f>ROUND(6,2)</f>
        <v>6</v>
      </c>
      <c r="AW56" s="7">
        <f>ROUND(24,2)</f>
        <v>24</v>
      </c>
      <c r="AX56" s="7">
        <f>ROUND(8,2)</f>
        <v>8</v>
      </c>
      <c r="AY56" s="7">
        <f>ROUND(72,2)</f>
        <v>72</v>
      </c>
      <c r="AZ56" s="6"/>
      <c r="BA56" s="6"/>
      <c r="BB56" s="7">
        <f>ROUND(44,2)</f>
        <v>44</v>
      </c>
      <c r="BC56" s="6"/>
      <c r="BD56" s="7">
        <f>ROUND(1.83,2)</f>
        <v>1.83</v>
      </c>
      <c r="BE56" s="7">
        <f>ROUND(1.02,2)</f>
        <v>1.02</v>
      </c>
      <c r="BF56" s="7">
        <f>ROUND(6.17,2)</f>
        <v>6.17</v>
      </c>
      <c r="BG56" s="6"/>
      <c r="BH56" s="6"/>
      <c r="BI56" s="6"/>
      <c r="BJ56" s="6"/>
      <c r="BK56" s="6"/>
      <c r="BL56" s="6"/>
      <c r="BM56" s="6"/>
      <c r="BN56" s="6"/>
      <c r="BO56" s="7">
        <f>ROUND(10.25,2)</f>
        <v>10.25</v>
      </c>
      <c r="BP56" s="6"/>
      <c r="BQ56" s="7">
        <f>ROUND(71.6,2)</f>
        <v>71.599999999999994</v>
      </c>
      <c r="BR56" s="7">
        <f>ROUND(7.32,2)</f>
        <v>7.32</v>
      </c>
      <c r="BS56" s="7">
        <f>ROUND(82.83,2)</f>
        <v>82.83</v>
      </c>
      <c r="BT56" s="6"/>
      <c r="BU56" s="6"/>
      <c r="BV56" s="6"/>
      <c r="BW56" s="6"/>
      <c r="BX56" s="7">
        <f>ROUND(80,2)</f>
        <v>80</v>
      </c>
      <c r="BY56" s="6"/>
      <c r="BZ56" s="6"/>
      <c r="CA56" s="7">
        <f>ROUND(20.23,2)</f>
        <v>20.23</v>
      </c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7">
        <f>ROUND(8,2)</f>
        <v>8</v>
      </c>
      <c r="CQ56" s="7">
        <f>ROUND(2563.65,2)</f>
        <v>2563.65</v>
      </c>
      <c r="CR56" s="6"/>
      <c r="CS56" s="6"/>
      <c r="CT56" s="6"/>
      <c r="CU56" s="6"/>
      <c r="CV56" s="7">
        <f>ROUND(47821.83,2)</f>
        <v>47821.83</v>
      </c>
      <c r="CW56" s="6"/>
      <c r="CX56" s="6"/>
      <c r="CY56" s="7">
        <f>ROUND(13242.99,2)</f>
        <v>13242.99</v>
      </c>
      <c r="CZ56" s="6"/>
      <c r="DA56" s="6"/>
      <c r="DB56" s="6"/>
      <c r="DC56" s="6"/>
      <c r="DD56" s="6"/>
      <c r="DE56" s="7">
        <f>ROUND(1011.25,2)</f>
        <v>1011.25</v>
      </c>
      <c r="DF56" s="7">
        <f>ROUND(72.2,2)</f>
        <v>72.2</v>
      </c>
      <c r="DG56" s="6"/>
      <c r="DH56" s="6"/>
      <c r="DI56" s="6"/>
      <c r="DJ56" s="6"/>
      <c r="DK56" s="6"/>
      <c r="DL56" s="6"/>
      <c r="DM56" s="6"/>
      <c r="DN56" s="7">
        <f>ROUND(2501.71,2)</f>
        <v>2501.71</v>
      </c>
      <c r="DO56" s="6"/>
      <c r="DP56" s="7">
        <f>ROUND(644.849999999999,2)</f>
        <v>644.85</v>
      </c>
      <c r="DQ56" s="6"/>
      <c r="DR56" s="6"/>
      <c r="DS56" s="6"/>
      <c r="DT56" s="6"/>
      <c r="DU56" s="6"/>
      <c r="DV56" s="6"/>
      <c r="DW56" s="6"/>
      <c r="DX56" s="6"/>
      <c r="DY56" s="7">
        <f>ROUND(5987.37999999999,2)</f>
        <v>5987.38</v>
      </c>
      <c r="DZ56" s="6"/>
      <c r="EA56" s="7">
        <f>ROUND(1352.09,2)</f>
        <v>1352.09</v>
      </c>
      <c r="EB56" s="6"/>
      <c r="EC56" s="6"/>
      <c r="ED56" s="7">
        <f>ROUND(2083.94,2)</f>
        <v>2083.94</v>
      </c>
      <c r="EE56" s="7">
        <f>ROUND(297.48,2)</f>
        <v>297.48</v>
      </c>
      <c r="EF56" s="7">
        <f>ROUND(777.84,2)</f>
        <v>777.84</v>
      </c>
      <c r="EG56" s="7">
        <f>ROUND(385.08,2)</f>
        <v>385.08</v>
      </c>
      <c r="EH56" s="7">
        <f>ROUND(2364.24,2)</f>
        <v>2364.2399999999998</v>
      </c>
      <c r="EI56" s="6"/>
      <c r="EJ56" s="6"/>
      <c r="EK56" s="7">
        <f>ROUND(1411.96,2)</f>
        <v>1411.96</v>
      </c>
      <c r="EL56" s="6"/>
      <c r="EM56" s="6"/>
      <c r="EN56" s="7">
        <f>ROUND(58.72,2)</f>
        <v>58.72</v>
      </c>
      <c r="EO56" s="7">
        <f>ROUND(32.73,2)</f>
        <v>32.729999999999997</v>
      </c>
      <c r="EP56" s="7">
        <f>ROUND(296.99,2)</f>
        <v>296.99</v>
      </c>
      <c r="EQ56" s="6"/>
      <c r="ER56" s="6"/>
      <c r="ES56" s="6"/>
      <c r="ET56" s="6"/>
      <c r="EU56" s="6"/>
      <c r="EV56" s="7">
        <f>ROUND(500,2)</f>
        <v>500</v>
      </c>
      <c r="EW56" s="6"/>
      <c r="EX56" s="6"/>
      <c r="EY56" s="6"/>
      <c r="EZ56" s="6"/>
      <c r="FA56" s="6"/>
      <c r="FB56" s="7">
        <f>ROUND(328.92,2)</f>
        <v>328.92</v>
      </c>
      <c r="FC56" s="6"/>
      <c r="FD56" s="7">
        <f>ROUND(2302.84,2)</f>
        <v>2302.84</v>
      </c>
      <c r="FE56" s="7">
        <f>ROUND(352.35,2)</f>
        <v>352.35</v>
      </c>
      <c r="FF56" s="6"/>
      <c r="FG56" s="6"/>
      <c r="FH56" s="6"/>
      <c r="FI56" s="6"/>
      <c r="FJ56" s="7">
        <f>ROUND(800,2)</f>
        <v>800</v>
      </c>
      <c r="FK56" s="6"/>
      <c r="FL56" s="6"/>
      <c r="FM56" s="6"/>
      <c r="FN56" s="6"/>
      <c r="FO56" s="6"/>
      <c r="FP56" s="6"/>
      <c r="FQ56" s="6"/>
      <c r="FR56" s="6"/>
      <c r="FS56" s="6"/>
      <c r="FT56" s="7">
        <f>ROUND(3000,2)</f>
        <v>3000</v>
      </c>
      <c r="FU56" s="6"/>
      <c r="FV56" s="6"/>
      <c r="FW56" s="6"/>
      <c r="FX56" s="7">
        <f>ROUND(267.04,2)</f>
        <v>267.04000000000002</v>
      </c>
      <c r="FY56" s="7">
        <f>ROUND(87894.43,2)</f>
        <v>87894.43</v>
      </c>
    </row>
    <row r="57" spans="1:181" ht="26.4" x14ac:dyDescent="0.3">
      <c r="A57" s="4" t="s">
        <v>325</v>
      </c>
      <c r="B57" s="5"/>
      <c r="C57" s="5" t="s">
        <v>244</v>
      </c>
      <c r="D57" s="5" t="s">
        <v>326</v>
      </c>
      <c r="E57" s="5" t="s">
        <v>0</v>
      </c>
      <c r="F57" s="5" t="s">
        <v>0</v>
      </c>
      <c r="G57" s="5" t="s">
        <v>247</v>
      </c>
      <c r="H57" s="8">
        <f>ROUND(18,2)</f>
        <v>18</v>
      </c>
      <c r="I57" s="7">
        <f>ROUND(5985,2)</f>
        <v>5985</v>
      </c>
      <c r="J57" s="7">
        <f>ROUND(320,2)</f>
        <v>320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7">
        <f>ROUND(320,2)</f>
        <v>320</v>
      </c>
      <c r="CR57" s="7">
        <f>ROUND(5760,2)</f>
        <v>5760</v>
      </c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7">
        <f>ROUND(225,2)</f>
        <v>225</v>
      </c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7">
        <f>ROUND(5985,2)</f>
        <v>5985</v>
      </c>
    </row>
    <row r="58" spans="1:181" x14ac:dyDescent="0.3">
      <c r="A58" s="4" t="s">
        <v>327</v>
      </c>
      <c r="B58" s="5" t="s">
        <v>1029</v>
      </c>
      <c r="C58" s="5" t="s">
        <v>236</v>
      </c>
      <c r="D58" s="5" t="s">
        <v>328</v>
      </c>
      <c r="E58" s="5" t="s">
        <v>329</v>
      </c>
      <c r="F58" s="5" t="s">
        <v>0</v>
      </c>
      <c r="G58" s="5" t="s">
        <v>330</v>
      </c>
      <c r="H58" s="9">
        <v>23.95</v>
      </c>
      <c r="I58" s="7">
        <f>ROUND(22994,2)</f>
        <v>22994</v>
      </c>
      <c r="J58" s="6"/>
      <c r="K58" s="6"/>
      <c r="L58" s="6"/>
      <c r="M58" s="6"/>
      <c r="N58" s="6"/>
      <c r="O58" s="6"/>
      <c r="P58" s="6"/>
      <c r="Q58" s="6"/>
      <c r="R58" s="7">
        <f>ROUND(976,2)</f>
        <v>976</v>
      </c>
      <c r="S58" s="7">
        <f>ROUND(80,2)</f>
        <v>80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7">
        <f>ROUND(16,2)</f>
        <v>16</v>
      </c>
      <c r="AV58" s="6"/>
      <c r="AW58" s="7">
        <f>ROUND(16,2)</f>
        <v>16</v>
      </c>
      <c r="AX58" s="6"/>
      <c r="AY58" s="7">
        <f>ROUND(8,2)</f>
        <v>8</v>
      </c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7">
        <f>ROUND(8,2)</f>
        <v>8</v>
      </c>
      <c r="BT58" s="6"/>
      <c r="BU58" s="6"/>
      <c r="BV58" s="6"/>
      <c r="BW58" s="6"/>
      <c r="BX58" s="6"/>
      <c r="BY58" s="7">
        <f>ROUND(8,2)</f>
        <v>8</v>
      </c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7">
        <f>ROUND(32,2)</f>
        <v>32</v>
      </c>
      <c r="CQ58" s="7">
        <f>ROUND(1144,2)</f>
        <v>1144</v>
      </c>
      <c r="CR58" s="6"/>
      <c r="CS58" s="6"/>
      <c r="CT58" s="6"/>
      <c r="CU58" s="6"/>
      <c r="CV58" s="6"/>
      <c r="CW58" s="6"/>
      <c r="CX58" s="6"/>
      <c r="CY58" s="6"/>
      <c r="CZ58" s="7">
        <f>ROUND(18564,2)</f>
        <v>18564</v>
      </c>
      <c r="DA58" s="7">
        <f>ROUND(2263.8,2)</f>
        <v>2263.8000000000002</v>
      </c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7">
        <f>ROUND(369.6,2)</f>
        <v>369.6</v>
      </c>
      <c r="EE58" s="6"/>
      <c r="EF58" s="7">
        <f>ROUND(369.6,2)</f>
        <v>369.6</v>
      </c>
      <c r="EG58" s="6"/>
      <c r="EH58" s="7">
        <f>ROUND(190.4,2)</f>
        <v>190.4</v>
      </c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7">
        <f>ROUND(475,2)</f>
        <v>475</v>
      </c>
      <c r="FS58" s="6"/>
      <c r="FT58" s="6"/>
      <c r="FU58" s="6"/>
      <c r="FV58" s="6"/>
      <c r="FW58" s="6"/>
      <c r="FX58" s="7">
        <f>ROUND(761.6,2)</f>
        <v>761.6</v>
      </c>
      <c r="FY58" s="7">
        <f>ROUND(22994,2)</f>
        <v>22994</v>
      </c>
    </row>
    <row r="59" spans="1:181" x14ac:dyDescent="0.3">
      <c r="A59" s="4" t="s">
        <v>331</v>
      </c>
      <c r="B59" s="5"/>
      <c r="C59" s="5" t="s">
        <v>294</v>
      </c>
      <c r="D59" s="5" t="s">
        <v>332</v>
      </c>
      <c r="E59" s="5" t="s">
        <v>0</v>
      </c>
      <c r="F59" s="5" t="s">
        <v>0</v>
      </c>
      <c r="G59" s="5" t="s">
        <v>333</v>
      </c>
      <c r="H59" s="8">
        <f>ROUND(1649.49,2)</f>
        <v>1649.49</v>
      </c>
      <c r="I59" s="7">
        <f>ROUND(47835.21,2)</f>
        <v>47835.21</v>
      </c>
      <c r="J59" s="7">
        <f>ROUND(800,2)</f>
        <v>800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7">
        <f>ROUND(200,2)</f>
        <v>200</v>
      </c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7">
        <f>ROUND(8,2)</f>
        <v>8</v>
      </c>
      <c r="BX59" s="6"/>
      <c r="BY59" s="6"/>
      <c r="BZ59" s="6"/>
      <c r="CA59" s="6"/>
      <c r="CB59" s="6"/>
      <c r="CC59" s="6"/>
      <c r="CD59" s="6"/>
      <c r="CE59" s="6"/>
      <c r="CF59" s="6"/>
      <c r="CG59" s="7">
        <f>ROUND(18.5,2)</f>
        <v>18.5</v>
      </c>
      <c r="CH59" s="7">
        <f>ROUND(24,2)</f>
        <v>24</v>
      </c>
      <c r="CI59" s="7">
        <f>ROUND(56,2)</f>
        <v>56</v>
      </c>
      <c r="CJ59" s="6"/>
      <c r="CK59" s="6"/>
      <c r="CL59" s="6"/>
      <c r="CM59" s="6"/>
      <c r="CN59" s="7">
        <f>ROUND(160,2)</f>
        <v>160</v>
      </c>
      <c r="CO59" s="6"/>
      <c r="CP59" s="6"/>
      <c r="CQ59" s="7">
        <f>ROUND(1266.5,2)</f>
        <v>1266.5</v>
      </c>
      <c r="CR59" s="7">
        <f>ROUND(47835.21,2)</f>
        <v>47835.21</v>
      </c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7">
        <f>ROUND(47835.21,2)</f>
        <v>47835.21</v>
      </c>
    </row>
    <row r="60" spans="1:181" x14ac:dyDescent="0.3">
      <c r="A60" s="4" t="s">
        <v>334</v>
      </c>
      <c r="B60" s="5" t="s">
        <v>1029</v>
      </c>
      <c r="C60" s="5" t="s">
        <v>181</v>
      </c>
      <c r="D60" s="5" t="s">
        <v>335</v>
      </c>
      <c r="E60" s="5" t="s">
        <v>0</v>
      </c>
      <c r="F60" s="5" t="s">
        <v>0</v>
      </c>
      <c r="G60" s="5" t="s">
        <v>183</v>
      </c>
      <c r="H60" s="6">
        <v>33.380000000000003</v>
      </c>
      <c r="I60" s="7">
        <f>ROUND(77240.3399999999,2)</f>
        <v>77240.34</v>
      </c>
      <c r="J60" s="6"/>
      <c r="K60" s="6"/>
      <c r="L60" s="6"/>
      <c r="M60" s="6"/>
      <c r="N60" s="7">
        <f>ROUND(971.46,2)</f>
        <v>971.46</v>
      </c>
      <c r="O60" s="6"/>
      <c r="P60" s="6"/>
      <c r="Q60" s="7">
        <f>ROUND(167.4,2)</f>
        <v>167.4</v>
      </c>
      <c r="R60" s="6"/>
      <c r="S60" s="6"/>
      <c r="T60" s="6"/>
      <c r="U60" s="6"/>
      <c r="V60" s="7">
        <f>ROUND(34.5,2)</f>
        <v>34.5</v>
      </c>
      <c r="W60" s="7">
        <f>ROUND(2.83,2)</f>
        <v>2.83</v>
      </c>
      <c r="X60" s="6"/>
      <c r="Y60" s="6"/>
      <c r="Z60" s="6"/>
      <c r="AA60" s="6"/>
      <c r="AB60" s="6"/>
      <c r="AC60" s="6"/>
      <c r="AD60" s="6"/>
      <c r="AE60" s="7">
        <f>ROUND(356.979999999999,2)</f>
        <v>356.98</v>
      </c>
      <c r="AF60" s="6"/>
      <c r="AG60" s="7">
        <f>ROUND(62.55,2)</f>
        <v>62.55</v>
      </c>
      <c r="AH60" s="6"/>
      <c r="AI60" s="6"/>
      <c r="AJ60" s="6"/>
      <c r="AK60" s="6"/>
      <c r="AL60" s="6"/>
      <c r="AM60" s="6"/>
      <c r="AN60" s="6"/>
      <c r="AO60" s="6"/>
      <c r="AP60" s="7">
        <f>ROUND(303.14,2)</f>
        <v>303.14</v>
      </c>
      <c r="AQ60" s="6"/>
      <c r="AR60" s="7">
        <f>ROUND(56.73,2)</f>
        <v>56.73</v>
      </c>
      <c r="AS60" s="6"/>
      <c r="AT60" s="6"/>
      <c r="AU60" s="7">
        <f>ROUND(66,2)</f>
        <v>66</v>
      </c>
      <c r="AV60" s="6"/>
      <c r="AW60" s="7">
        <f>ROUND(42.98,2)</f>
        <v>42.98</v>
      </c>
      <c r="AX60" s="7">
        <f>ROUND(1.02,2)</f>
        <v>1.02</v>
      </c>
      <c r="AY60" s="7">
        <f>ROUND(19.15,2)</f>
        <v>19.149999999999999</v>
      </c>
      <c r="AZ60" s="7">
        <f>ROUND(12.85,2)</f>
        <v>12.85</v>
      </c>
      <c r="BA60" s="6"/>
      <c r="BB60" s="7">
        <f>ROUND(8,2)</f>
        <v>8</v>
      </c>
      <c r="BC60" s="6"/>
      <c r="BD60" s="7">
        <f>ROUND(8,2)</f>
        <v>8</v>
      </c>
      <c r="BE60" s="7">
        <f>ROUND(5.27,2)</f>
        <v>5.27</v>
      </c>
      <c r="BF60" s="6"/>
      <c r="BG60" s="6"/>
      <c r="BH60" s="6"/>
      <c r="BI60" s="6"/>
      <c r="BJ60" s="6"/>
      <c r="BK60" s="6"/>
      <c r="BL60" s="6"/>
      <c r="BM60" s="6"/>
      <c r="BN60" s="6"/>
      <c r="BO60" s="7">
        <f>ROUND(30.25,2)</f>
        <v>30.25</v>
      </c>
      <c r="BP60" s="6"/>
      <c r="BQ60" s="7">
        <f>ROUND(8,2)</f>
        <v>8</v>
      </c>
      <c r="BR60" s="6"/>
      <c r="BS60" s="7">
        <f>ROUND(82.2499999999999,2)</f>
        <v>82.25</v>
      </c>
      <c r="BT60" s="6"/>
      <c r="BU60" s="6"/>
      <c r="BV60" s="6"/>
      <c r="BW60" s="7">
        <f>ROUND(8,2)</f>
        <v>8</v>
      </c>
      <c r="BX60" s="7">
        <f>ROUND(24,2)</f>
        <v>24</v>
      </c>
      <c r="BY60" s="7">
        <f>ROUND(34,2)</f>
        <v>34</v>
      </c>
      <c r="BZ60" s="7">
        <f>ROUND(112,2)</f>
        <v>112</v>
      </c>
      <c r="CA60" s="7">
        <f>ROUND(88.5,2)</f>
        <v>88.5</v>
      </c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7">
        <f>ROUND(2505.86,2)</f>
        <v>2505.86</v>
      </c>
      <c r="CR60" s="6"/>
      <c r="CS60" s="6"/>
      <c r="CT60" s="6"/>
      <c r="CU60" s="6"/>
      <c r="CV60" s="7">
        <f>ROUND(31470.29,2)</f>
        <v>31470.29</v>
      </c>
      <c r="CW60" s="6"/>
      <c r="CX60" s="6"/>
      <c r="CY60" s="7">
        <f>ROUND(8062.29,2)</f>
        <v>8062.29</v>
      </c>
      <c r="CZ60" s="6"/>
      <c r="DA60" s="6"/>
      <c r="DB60" s="6"/>
      <c r="DC60" s="6"/>
      <c r="DD60" s="7">
        <f>ROUND(1104.11,2)</f>
        <v>1104.1099999999999</v>
      </c>
      <c r="DE60" s="7">
        <f>ROUND(136.22,2)</f>
        <v>136.22</v>
      </c>
      <c r="DF60" s="6"/>
      <c r="DG60" s="6"/>
      <c r="DH60" s="6"/>
      <c r="DI60" s="6"/>
      <c r="DJ60" s="6"/>
      <c r="DK60" s="6"/>
      <c r="DL60" s="6"/>
      <c r="DM60" s="6"/>
      <c r="DN60" s="7">
        <f>ROUND(11394.13,2)</f>
        <v>11394.13</v>
      </c>
      <c r="DO60" s="6"/>
      <c r="DP60" s="7">
        <f>ROUND(2977.46,2)</f>
        <v>2977.46</v>
      </c>
      <c r="DQ60" s="6"/>
      <c r="DR60" s="6"/>
      <c r="DS60" s="6"/>
      <c r="DT60" s="6"/>
      <c r="DU60" s="6"/>
      <c r="DV60" s="6"/>
      <c r="DW60" s="6"/>
      <c r="DX60" s="6"/>
      <c r="DY60" s="7">
        <f>ROUND(9435.46999999999,2)</f>
        <v>9435.4699999999993</v>
      </c>
      <c r="DZ60" s="6"/>
      <c r="EA60" s="7">
        <f>ROUND(2655.79,2)</f>
        <v>2655.79</v>
      </c>
      <c r="EB60" s="6"/>
      <c r="EC60" s="6"/>
      <c r="ED60" s="7">
        <f>ROUND(2092.42,2)</f>
        <v>2092.42</v>
      </c>
      <c r="EE60" s="6"/>
      <c r="EF60" s="7">
        <f>ROUND(1382.17,2)</f>
        <v>1382.17</v>
      </c>
      <c r="EG60" s="7">
        <f>ROUND(50.57,2)</f>
        <v>50.57</v>
      </c>
      <c r="EH60" s="7">
        <f>ROUND(627.15,2)</f>
        <v>627.15</v>
      </c>
      <c r="EI60" s="7">
        <f>ROUND(614.96,2)</f>
        <v>614.96</v>
      </c>
      <c r="EJ60" s="6"/>
      <c r="EK60" s="7">
        <f>ROUND(243.92,2)</f>
        <v>243.92</v>
      </c>
      <c r="EL60" s="6"/>
      <c r="EM60" s="6"/>
      <c r="EN60" s="7">
        <f>ROUND(256.72,2)</f>
        <v>256.72000000000003</v>
      </c>
      <c r="EO60" s="7">
        <f>ROUND(188.43,2)</f>
        <v>188.43</v>
      </c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7">
        <f>ROUND(954.319999999999,2)</f>
        <v>954.32</v>
      </c>
      <c r="FC60" s="6"/>
      <c r="FD60" s="7">
        <f>ROUND(243.92,2)</f>
        <v>243.92</v>
      </c>
      <c r="FE60" s="6"/>
      <c r="FF60" s="6"/>
      <c r="FG60" s="6"/>
      <c r="FH60" s="6"/>
      <c r="FI60" s="6"/>
      <c r="FJ60" s="7">
        <f>ROUND(350,2)</f>
        <v>350</v>
      </c>
      <c r="FK60" s="6"/>
      <c r="FL60" s="6"/>
      <c r="FM60" s="6"/>
      <c r="FN60" s="6"/>
      <c r="FO60" s="6"/>
      <c r="FP60" s="6"/>
      <c r="FQ60" s="6"/>
      <c r="FR60" s="6"/>
      <c r="FS60" s="6"/>
      <c r="FT60" s="7">
        <f>ROUND(3000,2)</f>
        <v>3000</v>
      </c>
      <c r="FU60" s="6"/>
      <c r="FV60" s="6"/>
      <c r="FW60" s="6"/>
      <c r="FX60" s="6"/>
      <c r="FY60" s="7">
        <f>ROUND(77240.34,2)</f>
        <v>77240.34</v>
      </c>
    </row>
    <row r="61" spans="1:181" x14ac:dyDescent="0.3">
      <c r="A61" s="4" t="s">
        <v>336</v>
      </c>
      <c r="B61" s="5" t="s">
        <v>1029</v>
      </c>
      <c r="C61" s="5" t="s">
        <v>236</v>
      </c>
      <c r="D61" s="5" t="s">
        <v>337</v>
      </c>
      <c r="E61" s="5" t="s">
        <v>0</v>
      </c>
      <c r="F61" s="5" t="s">
        <v>0</v>
      </c>
      <c r="G61" s="5" t="s">
        <v>238</v>
      </c>
      <c r="H61" s="8">
        <v>41.75</v>
      </c>
      <c r="I61" s="7">
        <f>ROUND(147328.63,2)</f>
        <v>147328.63</v>
      </c>
      <c r="J61" s="6"/>
      <c r="K61" s="6"/>
      <c r="L61" s="7">
        <f>ROUND(1955,2)</f>
        <v>1955</v>
      </c>
      <c r="M61" s="7">
        <f>ROUND(1031.9,2)</f>
        <v>1031.9000000000001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7">
        <f>ROUND(56,2)</f>
        <v>56</v>
      </c>
      <c r="AV61" s="6"/>
      <c r="AW61" s="7">
        <f>ROUND(20,2)</f>
        <v>20</v>
      </c>
      <c r="AX61" s="7">
        <f>ROUND(20,2)</f>
        <v>20</v>
      </c>
      <c r="AY61" s="7">
        <f>ROUND(97,2)</f>
        <v>97</v>
      </c>
      <c r="AZ61" s="7">
        <f>ROUND(23,2)</f>
        <v>23</v>
      </c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7">
        <f>ROUND(3202.9,2)</f>
        <v>3202.9</v>
      </c>
      <c r="CR61" s="6"/>
      <c r="CS61" s="6"/>
      <c r="CT61" s="7">
        <f>ROUND(74816.81,2)</f>
        <v>74816.81</v>
      </c>
      <c r="CU61" s="7">
        <f>ROUND(58925.5699999999,2)</f>
        <v>58925.57</v>
      </c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7">
        <f>ROUND(2152.72,2)</f>
        <v>2152.7199999999998</v>
      </c>
      <c r="EE61" s="6"/>
      <c r="EF61" s="7">
        <f>ROUND(760.56,2)</f>
        <v>760.56</v>
      </c>
      <c r="EG61" s="7">
        <f>ROUND(1157.39999999999,2)</f>
        <v>1157.4000000000001</v>
      </c>
      <c r="EH61" s="7">
        <f>ROUND(3701.27,2)</f>
        <v>3701.27</v>
      </c>
      <c r="EI61" s="7">
        <f>ROUND(1364.3,2)</f>
        <v>1364.3</v>
      </c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7">
        <f>ROUND(1450,2)</f>
        <v>1450</v>
      </c>
      <c r="FK61" s="6"/>
      <c r="FL61" s="6"/>
      <c r="FM61" s="6"/>
      <c r="FN61" s="6"/>
      <c r="FO61" s="6"/>
      <c r="FP61" s="6"/>
      <c r="FQ61" s="6"/>
      <c r="FR61" s="6"/>
      <c r="FS61" s="6"/>
      <c r="FT61" s="7">
        <f>ROUND(3000,2)</f>
        <v>3000</v>
      </c>
      <c r="FU61" s="6"/>
      <c r="FV61" s="6"/>
      <c r="FW61" s="6"/>
      <c r="FX61" s="6"/>
      <c r="FY61" s="7">
        <f>ROUND(147328.63,2)</f>
        <v>147328.63</v>
      </c>
    </row>
    <row r="62" spans="1:181" x14ac:dyDescent="0.3">
      <c r="A62" s="4" t="s">
        <v>338</v>
      </c>
      <c r="B62" s="5"/>
      <c r="C62" s="5" t="s">
        <v>281</v>
      </c>
      <c r="D62" s="5" t="s">
        <v>339</v>
      </c>
      <c r="E62" s="5" t="s">
        <v>0</v>
      </c>
      <c r="F62" s="5" t="s">
        <v>0</v>
      </c>
      <c r="G62" s="5" t="s">
        <v>340</v>
      </c>
      <c r="H62" s="8">
        <f>ROUND(1199.29,2)</f>
        <v>1199.29</v>
      </c>
      <c r="I62" s="7">
        <f>ROUND(61238.62,2)</f>
        <v>61238.62</v>
      </c>
      <c r="J62" s="7">
        <f>ROUND(1410.5,2)</f>
        <v>1410.5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7">
        <f>ROUND(-16,2)</f>
        <v>-16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7">
        <f>ROUND(8,2)</f>
        <v>8</v>
      </c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7">
        <f>ROUND(8,2)</f>
        <v>8</v>
      </c>
      <c r="BX62" s="6"/>
      <c r="BY62" s="6"/>
      <c r="BZ62" s="6"/>
      <c r="CA62" s="6"/>
      <c r="CB62" s="6"/>
      <c r="CC62" s="6"/>
      <c r="CD62" s="6"/>
      <c r="CE62" s="6"/>
      <c r="CF62" s="6"/>
      <c r="CG62" s="7">
        <f>ROUND(48,2)</f>
        <v>48</v>
      </c>
      <c r="CH62" s="7">
        <f>ROUND(48,2)</f>
        <v>48</v>
      </c>
      <c r="CI62" s="7">
        <f>ROUND(32,2)</f>
        <v>32</v>
      </c>
      <c r="CJ62" s="6"/>
      <c r="CK62" s="6"/>
      <c r="CL62" s="6"/>
      <c r="CM62" s="6"/>
      <c r="CN62" s="7">
        <f>ROUND(176,2)</f>
        <v>176</v>
      </c>
      <c r="CO62" s="6"/>
      <c r="CP62" s="7">
        <f>ROUND(32,2)</f>
        <v>32</v>
      </c>
      <c r="CQ62" s="7">
        <f>ROUND(1746.5,2)</f>
        <v>1746.5</v>
      </c>
      <c r="CR62" s="7">
        <f>ROUND(53083.51,2)</f>
        <v>53083.51</v>
      </c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7">
        <f>ROUND(-479.72,2)</f>
        <v>-479.72</v>
      </c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7">
        <f>ROUND(2638.44,2)</f>
        <v>2638.44</v>
      </c>
      <c r="FK62" s="6"/>
      <c r="FL62" s="6"/>
      <c r="FM62" s="7">
        <f>ROUND(959.44,2)</f>
        <v>959.44</v>
      </c>
      <c r="FN62" s="7">
        <f>ROUND(479.72,2)</f>
        <v>479.72</v>
      </c>
      <c r="FO62" s="7">
        <f>ROUND(239.86,2)</f>
        <v>239.86</v>
      </c>
      <c r="FP62" s="6"/>
      <c r="FQ62" s="6"/>
      <c r="FR62" s="6"/>
      <c r="FS62" s="6"/>
      <c r="FT62" s="6"/>
      <c r="FU62" s="6"/>
      <c r="FV62" s="7">
        <f>ROUND(3358.00999999999,2)</f>
        <v>3358.01</v>
      </c>
      <c r="FW62" s="6"/>
      <c r="FX62" s="7">
        <f>ROUND(959.36,2)</f>
        <v>959.36</v>
      </c>
      <c r="FY62" s="7">
        <f>ROUND(61238.62,2)</f>
        <v>61238.62</v>
      </c>
    </row>
    <row r="63" spans="1:181" x14ac:dyDescent="0.3">
      <c r="A63" s="4" t="s">
        <v>341</v>
      </c>
      <c r="B63" s="5" t="s">
        <v>1029</v>
      </c>
      <c r="C63" s="5" t="s">
        <v>181</v>
      </c>
      <c r="D63" s="5" t="s">
        <v>342</v>
      </c>
      <c r="E63" s="5" t="s">
        <v>0</v>
      </c>
      <c r="F63" s="5" t="s">
        <v>0</v>
      </c>
      <c r="G63" s="5" t="s">
        <v>183</v>
      </c>
      <c r="H63" s="8">
        <v>33.380000000000003</v>
      </c>
      <c r="I63" s="7">
        <f>ROUND(103830.62,2)</f>
        <v>103830.62</v>
      </c>
      <c r="J63" s="6"/>
      <c r="K63" s="6"/>
      <c r="L63" s="6"/>
      <c r="M63" s="6"/>
      <c r="N63" s="7">
        <f>ROUND(1650.29,2)</f>
        <v>1650.29</v>
      </c>
      <c r="O63" s="6"/>
      <c r="P63" s="6"/>
      <c r="Q63" s="7">
        <f>ROUND(478.409999999999,2)</f>
        <v>478.41</v>
      </c>
      <c r="R63" s="6"/>
      <c r="S63" s="6"/>
      <c r="T63" s="6"/>
      <c r="U63" s="6"/>
      <c r="V63" s="7">
        <f>ROUND(12.92,2)</f>
        <v>12.92</v>
      </c>
      <c r="W63" s="6"/>
      <c r="X63" s="7">
        <f>ROUND(0.47,2)</f>
        <v>0.47</v>
      </c>
      <c r="Y63" s="6"/>
      <c r="Z63" s="6"/>
      <c r="AA63" s="6"/>
      <c r="AB63" s="6"/>
      <c r="AC63" s="6"/>
      <c r="AD63" s="6"/>
      <c r="AE63" s="7">
        <f>ROUND(327.75,2)</f>
        <v>327.75</v>
      </c>
      <c r="AF63" s="6"/>
      <c r="AG63" s="7">
        <f>ROUND(35.08,2)</f>
        <v>35.08</v>
      </c>
      <c r="AH63" s="6"/>
      <c r="AI63" s="6"/>
      <c r="AJ63" s="6"/>
      <c r="AK63" s="6"/>
      <c r="AL63" s="6"/>
      <c r="AM63" s="6"/>
      <c r="AN63" s="6"/>
      <c r="AO63" s="6"/>
      <c r="AP63" s="7">
        <f>ROUND(22.17,2)</f>
        <v>22.17</v>
      </c>
      <c r="AQ63" s="6"/>
      <c r="AR63" s="7">
        <f>ROUND(30.4,2)</f>
        <v>30.4</v>
      </c>
      <c r="AS63" s="6"/>
      <c r="AT63" s="6"/>
      <c r="AU63" s="7">
        <f>ROUND(68,2)</f>
        <v>68</v>
      </c>
      <c r="AV63" s="6"/>
      <c r="AW63" s="7">
        <f>ROUND(26.98,2)</f>
        <v>26.98</v>
      </c>
      <c r="AX63" s="7">
        <f>ROUND(5.02,2)</f>
        <v>5.0199999999999996</v>
      </c>
      <c r="AY63" s="6"/>
      <c r="AZ63" s="6"/>
      <c r="BA63" s="6"/>
      <c r="BB63" s="6"/>
      <c r="BC63" s="6"/>
      <c r="BD63" s="7">
        <f>ROUND(8,2)</f>
        <v>8</v>
      </c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7">
        <f>ROUND(10,2)</f>
        <v>10</v>
      </c>
      <c r="BP63" s="6"/>
      <c r="BQ63" s="7">
        <f>ROUND(5.42,2)</f>
        <v>5.42</v>
      </c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7">
        <f>ROUND(80,2)</f>
        <v>80</v>
      </c>
      <c r="CQ63" s="7">
        <f>ROUND(2760.90999999999,2)</f>
        <v>2760.91</v>
      </c>
      <c r="CR63" s="6"/>
      <c r="CS63" s="6"/>
      <c r="CT63" s="6"/>
      <c r="CU63" s="6"/>
      <c r="CV63" s="7">
        <f>ROUND(53605.3099999999,2)</f>
        <v>53605.31</v>
      </c>
      <c r="CW63" s="6"/>
      <c r="CX63" s="6"/>
      <c r="CY63" s="7">
        <f>ROUND(23252.72,2)</f>
        <v>23252.720000000001</v>
      </c>
      <c r="CZ63" s="6"/>
      <c r="DA63" s="6"/>
      <c r="DB63" s="6"/>
      <c r="DC63" s="6"/>
      <c r="DD63" s="7">
        <f>ROUND(421.58,2)</f>
        <v>421.58</v>
      </c>
      <c r="DE63" s="6"/>
      <c r="DF63" s="7">
        <f>ROUND(15.08,2)</f>
        <v>15.08</v>
      </c>
      <c r="DG63" s="6"/>
      <c r="DH63" s="6"/>
      <c r="DI63" s="6"/>
      <c r="DJ63" s="6"/>
      <c r="DK63" s="6"/>
      <c r="DL63" s="6"/>
      <c r="DM63" s="6"/>
      <c r="DN63" s="7">
        <f>ROUND(10832.41,2)</f>
        <v>10832.41</v>
      </c>
      <c r="DO63" s="6"/>
      <c r="DP63" s="7">
        <f>ROUND(1743.29,2)</f>
        <v>1743.29</v>
      </c>
      <c r="DQ63" s="6"/>
      <c r="DR63" s="6"/>
      <c r="DS63" s="6"/>
      <c r="DT63" s="6"/>
      <c r="DU63" s="6"/>
      <c r="DV63" s="6"/>
      <c r="DW63" s="6"/>
      <c r="DX63" s="6"/>
      <c r="DY63" s="7">
        <f>ROUND(712.339999999999,2)</f>
        <v>712.34</v>
      </c>
      <c r="DZ63" s="6"/>
      <c r="EA63" s="7">
        <f>ROUND(1468.7,2)</f>
        <v>1468.7</v>
      </c>
      <c r="EB63" s="6"/>
      <c r="EC63" s="6"/>
      <c r="ED63" s="7">
        <f>ROUND(2215.48,2)</f>
        <v>2215.48</v>
      </c>
      <c r="EE63" s="6"/>
      <c r="EF63" s="7">
        <f>ROUND(887.87,2)</f>
        <v>887.87</v>
      </c>
      <c r="EG63" s="7">
        <f>ROUND(243.079999999999,2)</f>
        <v>243.08</v>
      </c>
      <c r="EH63" s="6"/>
      <c r="EI63" s="6"/>
      <c r="EJ63" s="6"/>
      <c r="EK63" s="6"/>
      <c r="EL63" s="6"/>
      <c r="EM63" s="6"/>
      <c r="EN63" s="7">
        <f>ROUND(256.72,2)</f>
        <v>256.72000000000003</v>
      </c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7">
        <f>ROUND(325.7,2)</f>
        <v>325.7</v>
      </c>
      <c r="FC63" s="6"/>
      <c r="FD63" s="7">
        <f>ROUND(179.94,2)</f>
        <v>179.94</v>
      </c>
      <c r="FE63" s="6"/>
      <c r="FF63" s="6"/>
      <c r="FG63" s="6"/>
      <c r="FH63" s="6"/>
      <c r="FI63" s="6"/>
      <c r="FJ63" s="7">
        <f>ROUND(2000,2)</f>
        <v>2000</v>
      </c>
      <c r="FK63" s="6"/>
      <c r="FL63" s="6"/>
      <c r="FM63" s="6"/>
      <c r="FN63" s="6"/>
      <c r="FO63" s="6"/>
      <c r="FP63" s="6"/>
      <c r="FQ63" s="6"/>
      <c r="FR63" s="6"/>
      <c r="FS63" s="6"/>
      <c r="FT63" s="7">
        <f>ROUND(3000,2)</f>
        <v>3000</v>
      </c>
      <c r="FU63" s="6"/>
      <c r="FV63" s="6"/>
      <c r="FW63" s="6"/>
      <c r="FX63" s="7">
        <f>ROUND(2670.4,2)</f>
        <v>2670.4</v>
      </c>
      <c r="FY63" s="7">
        <f>ROUND(103830.62,2)</f>
        <v>103830.62</v>
      </c>
    </row>
    <row r="64" spans="1:181" x14ac:dyDescent="0.3">
      <c r="A64" s="4" t="s">
        <v>343</v>
      </c>
      <c r="B64" s="5" t="s">
        <v>1029</v>
      </c>
      <c r="C64" s="5" t="s">
        <v>181</v>
      </c>
      <c r="D64" s="5" t="s">
        <v>344</v>
      </c>
      <c r="E64" s="5" t="s">
        <v>0</v>
      </c>
      <c r="F64" s="5" t="s">
        <v>0</v>
      </c>
      <c r="G64" s="5" t="s">
        <v>183</v>
      </c>
      <c r="H64" s="8">
        <v>33.380000000000003</v>
      </c>
      <c r="I64" s="7">
        <f>ROUND(47211.25,2)</f>
        <v>47211.25</v>
      </c>
      <c r="J64" s="6"/>
      <c r="K64" s="6"/>
      <c r="L64" s="6"/>
      <c r="M64" s="6"/>
      <c r="N64" s="7">
        <f>ROUND(789.889999999999,2)</f>
        <v>789.89</v>
      </c>
      <c r="O64" s="6"/>
      <c r="P64" s="6"/>
      <c r="Q64" s="6"/>
      <c r="R64" s="6"/>
      <c r="S64" s="6"/>
      <c r="T64" s="6"/>
      <c r="U64" s="6"/>
      <c r="V64" s="6"/>
      <c r="W64" s="6"/>
      <c r="X64" s="7">
        <f>ROUND(1.54999999999999,2)</f>
        <v>1.55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7">
        <f>ROUND(6.27,2)</f>
        <v>6.27</v>
      </c>
      <c r="AQ64" s="6"/>
      <c r="AR64" s="6"/>
      <c r="AS64" s="6"/>
      <c r="AT64" s="6"/>
      <c r="AU64" s="7">
        <f>ROUND(40,2)</f>
        <v>40</v>
      </c>
      <c r="AV64" s="6"/>
      <c r="AW64" s="7">
        <f>ROUND(5,2)</f>
        <v>5</v>
      </c>
      <c r="AX64" s="6"/>
      <c r="AY64" s="7">
        <f>ROUND(20,2)</f>
        <v>20</v>
      </c>
      <c r="AZ64" s="6"/>
      <c r="BA64" s="6"/>
      <c r="BB64" s="7">
        <f>ROUND(5,2)</f>
        <v>5</v>
      </c>
      <c r="BC64" s="6"/>
      <c r="BD64" s="7">
        <f>ROUND(8,2)</f>
        <v>8</v>
      </c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7">
        <f>ROUND(520.12,2)</f>
        <v>520.12</v>
      </c>
      <c r="BP64" s="6"/>
      <c r="BQ64" s="6"/>
      <c r="BR64" s="6"/>
      <c r="BS64" s="6"/>
      <c r="BT64" s="7">
        <f>ROUND(5.02999999999999,2)</f>
        <v>5.03</v>
      </c>
      <c r="BU64" s="6"/>
      <c r="BV64" s="6"/>
      <c r="BW64" s="6"/>
      <c r="BX64" s="6"/>
      <c r="BY64" s="7">
        <f>ROUND(5,2)</f>
        <v>5</v>
      </c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7">
        <f>ROUND(1405.86,2)</f>
        <v>1405.86</v>
      </c>
      <c r="CR64" s="6"/>
      <c r="CS64" s="6"/>
      <c r="CT64" s="6"/>
      <c r="CU64" s="6"/>
      <c r="CV64" s="7">
        <f>ROUND(25698.9299999999,2)</f>
        <v>25698.93</v>
      </c>
      <c r="CW64" s="6"/>
      <c r="CX64" s="6"/>
      <c r="CY64" s="6"/>
      <c r="CZ64" s="6"/>
      <c r="DA64" s="6"/>
      <c r="DB64" s="6"/>
      <c r="DC64" s="6"/>
      <c r="DD64" s="6"/>
      <c r="DE64" s="6"/>
      <c r="DF64" s="7">
        <f>ROUND(51.23,2)</f>
        <v>51.23</v>
      </c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7">
        <f>ROUND(207.22,2)</f>
        <v>207.22</v>
      </c>
      <c r="DZ64" s="6"/>
      <c r="EA64" s="6"/>
      <c r="EB64" s="6"/>
      <c r="EC64" s="6"/>
      <c r="ED64" s="7">
        <f>ROUND(1288.45,2)</f>
        <v>1288.45</v>
      </c>
      <c r="EE64" s="6"/>
      <c r="EF64" s="7">
        <f>ROUND(165.25,2)</f>
        <v>165.25</v>
      </c>
      <c r="EG64" s="6"/>
      <c r="EH64" s="7">
        <f>ROUND(661,2)</f>
        <v>661</v>
      </c>
      <c r="EI64" s="6"/>
      <c r="EJ64" s="6"/>
      <c r="EK64" s="7">
        <f>ROUND(160.45,2)</f>
        <v>160.44999999999999</v>
      </c>
      <c r="EL64" s="6"/>
      <c r="EM64" s="6"/>
      <c r="EN64" s="7">
        <f>ROUND(256.72,2)</f>
        <v>256.72000000000003</v>
      </c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7">
        <f>ROUND(16447,2)</f>
        <v>16447</v>
      </c>
      <c r="FC64" s="6"/>
      <c r="FD64" s="6"/>
      <c r="FE64" s="6"/>
      <c r="FF64" s="6"/>
      <c r="FG64" s="6"/>
      <c r="FH64" s="6"/>
      <c r="FI64" s="6"/>
      <c r="FJ64" s="7">
        <f>ROUND(775,2)</f>
        <v>775</v>
      </c>
      <c r="FK64" s="6"/>
      <c r="FL64" s="6"/>
      <c r="FM64" s="6"/>
      <c r="FN64" s="6"/>
      <c r="FO64" s="6"/>
      <c r="FP64" s="6"/>
      <c r="FQ64" s="6"/>
      <c r="FR64" s="6"/>
      <c r="FS64" s="6"/>
      <c r="FT64" s="7">
        <f>ROUND(1500,2)</f>
        <v>1500</v>
      </c>
      <c r="FU64" s="6"/>
      <c r="FV64" s="6"/>
      <c r="FW64" s="6"/>
      <c r="FX64" s="6"/>
      <c r="FY64" s="7">
        <f>ROUND(47211.25,2)</f>
        <v>47211.25</v>
      </c>
    </row>
    <row r="65" spans="1:181" x14ac:dyDescent="0.3">
      <c r="A65" s="4" t="s">
        <v>345</v>
      </c>
      <c r="B65" s="5"/>
      <c r="C65" s="5" t="s">
        <v>285</v>
      </c>
      <c r="D65" s="5" t="s">
        <v>346</v>
      </c>
      <c r="E65" s="5" t="s">
        <v>0</v>
      </c>
      <c r="F65" s="5" t="s">
        <v>0</v>
      </c>
      <c r="G65" s="5" t="s">
        <v>347</v>
      </c>
      <c r="H65" s="8">
        <f>ROUND(1659.76,2)</f>
        <v>1659.76</v>
      </c>
      <c r="I65" s="7">
        <f>ROUND(92298.2399999999,2)</f>
        <v>92298.240000000005</v>
      </c>
      <c r="J65" s="7">
        <f>ROUND(1712,2)</f>
        <v>1712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7">
        <f>ROUND(-13,2)</f>
        <v>-13</v>
      </c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7">
        <f>ROUND(8,2)</f>
        <v>8</v>
      </c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7">
        <f>ROUND(8,2)</f>
        <v>8</v>
      </c>
      <c r="BX65" s="6"/>
      <c r="BY65" s="6"/>
      <c r="BZ65" s="6"/>
      <c r="CA65" s="6"/>
      <c r="CB65" s="6"/>
      <c r="CC65" s="6"/>
      <c r="CD65" s="6"/>
      <c r="CE65" s="6"/>
      <c r="CF65" s="7">
        <f>ROUND(36,2)</f>
        <v>36</v>
      </c>
      <c r="CG65" s="7">
        <f>ROUND(11,2)</f>
        <v>11</v>
      </c>
      <c r="CH65" s="7">
        <f>ROUND(56,2)</f>
        <v>56</v>
      </c>
      <c r="CI65" s="7">
        <f>ROUND(32,2)</f>
        <v>32</v>
      </c>
      <c r="CJ65" s="6"/>
      <c r="CK65" s="6"/>
      <c r="CL65" s="6"/>
      <c r="CM65" s="6"/>
      <c r="CN65" s="7">
        <f>ROUND(92,2)</f>
        <v>92</v>
      </c>
      <c r="CO65" s="6"/>
      <c r="CP65" s="6"/>
      <c r="CQ65" s="7">
        <f>ROUND(1942,2)</f>
        <v>1942</v>
      </c>
      <c r="CR65" s="7">
        <f>ROUND(85975.5699999999,2)</f>
        <v>85975.57</v>
      </c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7">
        <f>ROUND(-539.42,2)</f>
        <v>-539.41999999999996</v>
      </c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7">
        <f>ROUND(347.54,2)</f>
        <v>347.54</v>
      </c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7">
        <f>ROUND(3983.42,2)</f>
        <v>3983.42</v>
      </c>
      <c r="FK65" s="6"/>
      <c r="FL65" s="6"/>
      <c r="FM65" s="7">
        <f>ROUND(456.43,2)</f>
        <v>456.43</v>
      </c>
      <c r="FN65" s="7">
        <f>ROUND(995.849999999999,2)</f>
        <v>995.85</v>
      </c>
      <c r="FO65" s="6"/>
      <c r="FP65" s="6"/>
      <c r="FQ65" s="6"/>
      <c r="FR65" s="6"/>
      <c r="FS65" s="6"/>
      <c r="FT65" s="6"/>
      <c r="FU65" s="6"/>
      <c r="FV65" s="7">
        <f>ROUND(1078.85,2)</f>
        <v>1078.8499999999999</v>
      </c>
      <c r="FW65" s="6"/>
      <c r="FX65" s="6"/>
      <c r="FY65" s="7">
        <f>ROUND(92298.2399999999,2)</f>
        <v>92298.240000000005</v>
      </c>
    </row>
    <row r="66" spans="1:181" x14ac:dyDescent="0.3">
      <c r="A66" s="4" t="s">
        <v>348</v>
      </c>
      <c r="B66" s="5"/>
      <c r="C66" s="5" t="s">
        <v>294</v>
      </c>
      <c r="D66" s="5" t="s">
        <v>349</v>
      </c>
      <c r="E66" s="5" t="s">
        <v>350</v>
      </c>
      <c r="F66" s="5" t="s">
        <v>0</v>
      </c>
      <c r="G66" s="5" t="s">
        <v>351</v>
      </c>
      <c r="H66" s="8">
        <f>ROUND(1412.13,2)</f>
        <v>1412.13</v>
      </c>
      <c r="I66" s="7">
        <f>ROUND(12709.17,2)</f>
        <v>12709.17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7">
        <f>ROUND(16,2)</f>
        <v>16</v>
      </c>
      <c r="CI66" s="7">
        <f>ROUND(24,2)</f>
        <v>24</v>
      </c>
      <c r="CJ66" s="6"/>
      <c r="CK66" s="6"/>
      <c r="CL66" s="6"/>
      <c r="CM66" s="6"/>
      <c r="CN66" s="7">
        <f>ROUND(24,2)</f>
        <v>24</v>
      </c>
      <c r="CO66" s="6"/>
      <c r="CP66" s="6"/>
      <c r="CQ66" s="7">
        <f>ROUND(64,2)</f>
        <v>64</v>
      </c>
      <c r="CR66" s="7">
        <f>ROUND(12709.17,2)</f>
        <v>12709.17</v>
      </c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7">
        <f>ROUND(12709.17,2)</f>
        <v>12709.17</v>
      </c>
    </row>
    <row r="67" spans="1:181" x14ac:dyDescent="0.3">
      <c r="A67" s="4" t="s">
        <v>352</v>
      </c>
      <c r="B67" s="5" t="s">
        <v>1029</v>
      </c>
      <c r="C67" s="5" t="s">
        <v>181</v>
      </c>
      <c r="D67" s="5" t="s">
        <v>209</v>
      </c>
      <c r="E67" s="5" t="s">
        <v>0</v>
      </c>
      <c r="F67" s="5" t="s">
        <v>0</v>
      </c>
      <c r="G67" s="5" t="s">
        <v>183</v>
      </c>
      <c r="H67" s="8">
        <v>33.380000000000003</v>
      </c>
      <c r="I67" s="7">
        <f>ROUND(58649.1299999999,2)</f>
        <v>58649.13</v>
      </c>
      <c r="J67" s="6"/>
      <c r="K67" s="6"/>
      <c r="L67" s="6"/>
      <c r="M67" s="6"/>
      <c r="N67" s="7">
        <f>ROUND(749.109999999999,2)</f>
        <v>749.11</v>
      </c>
      <c r="O67" s="6"/>
      <c r="P67" s="6"/>
      <c r="Q67" s="7">
        <f>ROUND(78.34,2)</f>
        <v>78.34</v>
      </c>
      <c r="R67" s="6"/>
      <c r="S67" s="6"/>
      <c r="T67" s="6"/>
      <c r="U67" s="6"/>
      <c r="V67" s="7">
        <f>ROUND(8.15,2)</f>
        <v>8.15</v>
      </c>
      <c r="W67" s="6"/>
      <c r="X67" s="6"/>
      <c r="Y67" s="6"/>
      <c r="Z67" s="6"/>
      <c r="AA67" s="6"/>
      <c r="AB67" s="6"/>
      <c r="AC67" s="6"/>
      <c r="AD67" s="6"/>
      <c r="AE67" s="7">
        <f>ROUND(177.109999999999,2)</f>
        <v>177.11</v>
      </c>
      <c r="AF67" s="6"/>
      <c r="AG67" s="7">
        <f>ROUND(14.4,2)</f>
        <v>14.4</v>
      </c>
      <c r="AH67" s="6"/>
      <c r="AI67" s="6"/>
      <c r="AJ67" s="6"/>
      <c r="AK67" s="6"/>
      <c r="AL67" s="6"/>
      <c r="AM67" s="6"/>
      <c r="AN67" s="6"/>
      <c r="AO67" s="6"/>
      <c r="AP67" s="7">
        <f>ROUND(393.15,2)</f>
        <v>393.15</v>
      </c>
      <c r="AQ67" s="6"/>
      <c r="AR67" s="7">
        <f>ROUND(15.58,2)</f>
        <v>15.58</v>
      </c>
      <c r="AS67" s="6"/>
      <c r="AT67" s="6"/>
      <c r="AU67" s="7">
        <f>ROUND(58,2)</f>
        <v>58</v>
      </c>
      <c r="AV67" s="6"/>
      <c r="AW67" s="7">
        <f>ROUND(20,2)</f>
        <v>20</v>
      </c>
      <c r="AX67" s="6"/>
      <c r="AY67" s="7">
        <f>ROUND(68,2)</f>
        <v>68</v>
      </c>
      <c r="AZ67" s="6"/>
      <c r="BA67" s="6"/>
      <c r="BB67" s="7">
        <f>ROUND(16,2)</f>
        <v>16</v>
      </c>
      <c r="BC67" s="6"/>
      <c r="BD67" s="7">
        <f>ROUND(8,2)</f>
        <v>8</v>
      </c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7">
        <f>ROUND(15.58,2)</f>
        <v>15.58</v>
      </c>
      <c r="BP67" s="6"/>
      <c r="BQ67" s="7">
        <f>ROUND(18,2)</f>
        <v>18</v>
      </c>
      <c r="BR67" s="6"/>
      <c r="BS67" s="7">
        <f>ROUND(24,2)</f>
        <v>24</v>
      </c>
      <c r="BT67" s="7">
        <f>ROUND(3.46999999999999,2)</f>
        <v>3.47</v>
      </c>
      <c r="BU67" s="6"/>
      <c r="BV67" s="6"/>
      <c r="BW67" s="7">
        <f>ROUND(16,2)</f>
        <v>16</v>
      </c>
      <c r="BX67" s="6"/>
      <c r="BY67" s="7">
        <f>ROUND(16,2)</f>
        <v>16</v>
      </c>
      <c r="BZ67" s="6"/>
      <c r="CA67" s="7">
        <f>ROUND(16,2)</f>
        <v>16</v>
      </c>
      <c r="CB67" s="6"/>
      <c r="CC67" s="7">
        <f>ROUND(544,2)</f>
        <v>544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7">
        <f>ROUND(2258.89,2)</f>
        <v>2258.89</v>
      </c>
      <c r="CR67" s="6"/>
      <c r="CS67" s="6"/>
      <c r="CT67" s="6"/>
      <c r="CU67" s="6"/>
      <c r="CV67" s="7">
        <f>ROUND(24356.95,2)</f>
        <v>24356.95</v>
      </c>
      <c r="CW67" s="6"/>
      <c r="CX67" s="6"/>
      <c r="CY67" s="7">
        <f>ROUND(3805.2,2)</f>
        <v>3805.2</v>
      </c>
      <c r="CZ67" s="6"/>
      <c r="DA67" s="6"/>
      <c r="DB67" s="6"/>
      <c r="DC67" s="6"/>
      <c r="DD67" s="7">
        <f>ROUND(261.53,2)</f>
        <v>261.52999999999997</v>
      </c>
      <c r="DE67" s="6"/>
      <c r="DF67" s="6"/>
      <c r="DG67" s="6"/>
      <c r="DH67" s="6"/>
      <c r="DI67" s="6"/>
      <c r="DJ67" s="6"/>
      <c r="DK67" s="6"/>
      <c r="DL67" s="6"/>
      <c r="DM67" s="6"/>
      <c r="DN67" s="7">
        <f>ROUND(5736.18,2)</f>
        <v>5736.18</v>
      </c>
      <c r="DO67" s="6"/>
      <c r="DP67" s="7">
        <f>ROUND(693.15,2)</f>
        <v>693.15</v>
      </c>
      <c r="DQ67" s="6"/>
      <c r="DR67" s="6"/>
      <c r="DS67" s="6"/>
      <c r="DT67" s="6"/>
      <c r="DU67" s="6"/>
      <c r="DV67" s="6"/>
      <c r="DW67" s="6"/>
      <c r="DX67" s="6"/>
      <c r="DY67" s="7">
        <f>ROUND(12707.61,2)</f>
        <v>12707.61</v>
      </c>
      <c r="DZ67" s="6"/>
      <c r="EA67" s="7">
        <f>ROUND(749.95,2)</f>
        <v>749.95</v>
      </c>
      <c r="EB67" s="6"/>
      <c r="EC67" s="6"/>
      <c r="ED67" s="7">
        <f>ROUND(1878.5,2)</f>
        <v>1878.5</v>
      </c>
      <c r="EE67" s="6"/>
      <c r="EF67" s="7">
        <f>ROUND(661,2)</f>
        <v>661</v>
      </c>
      <c r="EG67" s="6"/>
      <c r="EH67" s="7">
        <f>ROUND(2201.31999999999,2)</f>
        <v>2201.3200000000002</v>
      </c>
      <c r="EI67" s="6"/>
      <c r="EJ67" s="6"/>
      <c r="EK67" s="7">
        <f>ROUND(513.44,2)</f>
        <v>513.44000000000005</v>
      </c>
      <c r="EL67" s="6"/>
      <c r="EM67" s="6"/>
      <c r="EN67" s="7">
        <f>ROUND(256.72,2)</f>
        <v>256.72000000000003</v>
      </c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7">
        <f>ROUND(499.96,2)</f>
        <v>499.96</v>
      </c>
      <c r="FC67" s="6"/>
      <c r="FD67" s="7">
        <f>ROUND(577.62,2)</f>
        <v>577.62</v>
      </c>
      <c r="FE67" s="6"/>
      <c r="FF67" s="6"/>
      <c r="FG67" s="6"/>
      <c r="FH67" s="6"/>
      <c r="FI67" s="6"/>
      <c r="FJ67" s="7">
        <f>ROUND(750,2)</f>
        <v>750</v>
      </c>
      <c r="FK67" s="6"/>
      <c r="FL67" s="6"/>
      <c r="FM67" s="6"/>
      <c r="FN67" s="6"/>
      <c r="FO67" s="6"/>
      <c r="FP67" s="6"/>
      <c r="FQ67" s="6"/>
      <c r="FR67" s="6"/>
      <c r="FS67" s="6"/>
      <c r="FT67" s="7">
        <f>ROUND(3000,2)</f>
        <v>3000</v>
      </c>
      <c r="FU67" s="6"/>
      <c r="FV67" s="6"/>
      <c r="FW67" s="6"/>
      <c r="FX67" s="6"/>
      <c r="FY67" s="7">
        <f>ROUND(58649.1299999999,2)</f>
        <v>58649.13</v>
      </c>
    </row>
    <row r="68" spans="1:181" x14ac:dyDescent="0.3">
      <c r="A68" s="4" t="s">
        <v>353</v>
      </c>
      <c r="B68" s="5" t="s">
        <v>1029</v>
      </c>
      <c r="C68" s="5" t="s">
        <v>181</v>
      </c>
      <c r="D68" s="5" t="s">
        <v>354</v>
      </c>
      <c r="E68" s="5" t="s">
        <v>0</v>
      </c>
      <c r="F68" s="5" t="s">
        <v>0</v>
      </c>
      <c r="G68" s="5" t="s">
        <v>183</v>
      </c>
      <c r="H68" s="9">
        <v>31.71</v>
      </c>
      <c r="I68" s="7">
        <f>ROUND(65591.04,2)</f>
        <v>65591.039999999994</v>
      </c>
      <c r="J68" s="6"/>
      <c r="K68" s="6"/>
      <c r="L68" s="6"/>
      <c r="M68" s="6"/>
      <c r="N68" s="7">
        <f>ROUND(1023.47999999999,2)</f>
        <v>1023.48</v>
      </c>
      <c r="O68" s="6"/>
      <c r="P68" s="6"/>
      <c r="Q68" s="7">
        <f>ROUND(61.83,2)</f>
        <v>61.83</v>
      </c>
      <c r="R68" s="6"/>
      <c r="S68" s="6"/>
      <c r="T68" s="6"/>
      <c r="U68" s="6"/>
      <c r="V68" s="7">
        <f>ROUND(9.77,2)</f>
        <v>9.77</v>
      </c>
      <c r="W68" s="7">
        <f>ROUND(7.23,2)</f>
        <v>7.23</v>
      </c>
      <c r="X68" s="6"/>
      <c r="Y68" s="6"/>
      <c r="Z68" s="6"/>
      <c r="AA68" s="6"/>
      <c r="AB68" s="6"/>
      <c r="AC68" s="6"/>
      <c r="AD68" s="6"/>
      <c r="AE68" s="7">
        <f>ROUND(192.39,2)</f>
        <v>192.39</v>
      </c>
      <c r="AF68" s="6"/>
      <c r="AG68" s="7">
        <f>ROUND(3.83,2)</f>
        <v>3.83</v>
      </c>
      <c r="AH68" s="6"/>
      <c r="AI68" s="6"/>
      <c r="AJ68" s="6"/>
      <c r="AK68" s="6"/>
      <c r="AL68" s="6"/>
      <c r="AM68" s="6"/>
      <c r="AN68" s="6"/>
      <c r="AO68" s="6"/>
      <c r="AP68" s="7">
        <f>ROUND(562.37,2)</f>
        <v>562.37</v>
      </c>
      <c r="AQ68" s="6"/>
      <c r="AR68" s="7">
        <f>ROUND(64.0599999999999,2)</f>
        <v>64.06</v>
      </c>
      <c r="AS68" s="6"/>
      <c r="AT68" s="6"/>
      <c r="AU68" s="7">
        <f>ROUND(56,2)</f>
        <v>56</v>
      </c>
      <c r="AV68" s="6"/>
      <c r="AW68" s="7">
        <f>ROUND(37,2)</f>
        <v>37</v>
      </c>
      <c r="AX68" s="6"/>
      <c r="AY68" s="7">
        <f>ROUND(22.07,2)</f>
        <v>22.07</v>
      </c>
      <c r="AZ68" s="7">
        <f>ROUND(6.93,2)</f>
        <v>6.93</v>
      </c>
      <c r="BA68" s="6"/>
      <c r="BB68" s="7">
        <f>ROUND(5,2)</f>
        <v>5</v>
      </c>
      <c r="BC68" s="6"/>
      <c r="BD68" s="7">
        <f>ROUND(8,2)</f>
        <v>8</v>
      </c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7">
        <f>ROUND(1.5,2)</f>
        <v>1.5</v>
      </c>
      <c r="BP68" s="6"/>
      <c r="BQ68" s="7">
        <f>ROUND(8,2)</f>
        <v>8</v>
      </c>
      <c r="BR68" s="6"/>
      <c r="BS68" s="7">
        <f>ROUND(21.2,2)</f>
        <v>21.2</v>
      </c>
      <c r="BT68" s="7">
        <f>ROUND(6.89999999999999,2)</f>
        <v>6.9</v>
      </c>
      <c r="BU68" s="6"/>
      <c r="BV68" s="6"/>
      <c r="BW68" s="7">
        <f>ROUND(8,2)</f>
        <v>8</v>
      </c>
      <c r="BX68" s="6"/>
      <c r="BY68" s="7">
        <f>ROUND(34,2)</f>
        <v>34</v>
      </c>
      <c r="BZ68" s="6"/>
      <c r="CA68" s="7">
        <f>ROUND(8,2)</f>
        <v>8</v>
      </c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7">
        <f>ROUND(2147.55999999999,2)</f>
        <v>2147.56</v>
      </c>
      <c r="CR68" s="6"/>
      <c r="CS68" s="6"/>
      <c r="CT68" s="6"/>
      <c r="CU68" s="6"/>
      <c r="CV68" s="7">
        <f>ROUND(29527.33,2)</f>
        <v>29527.33</v>
      </c>
      <c r="CW68" s="6"/>
      <c r="CX68" s="6"/>
      <c r="CY68" s="7">
        <f>ROUND(2741.46999999999,2)</f>
        <v>2741.47</v>
      </c>
      <c r="CZ68" s="6"/>
      <c r="DA68" s="6"/>
      <c r="DB68" s="6"/>
      <c r="DC68" s="6"/>
      <c r="DD68" s="7">
        <f>ROUND(272.36,2)</f>
        <v>272.36</v>
      </c>
      <c r="DE68" s="7">
        <f>ROUND(324.27,2)</f>
        <v>324.27</v>
      </c>
      <c r="DF68" s="6"/>
      <c r="DG68" s="6"/>
      <c r="DH68" s="6"/>
      <c r="DI68" s="6"/>
      <c r="DJ68" s="6"/>
      <c r="DK68" s="6"/>
      <c r="DL68" s="6"/>
      <c r="DM68" s="6"/>
      <c r="DN68" s="7">
        <f>ROUND(5547.42,2)</f>
        <v>5547.42</v>
      </c>
      <c r="DO68" s="6"/>
      <c r="DP68" s="7">
        <f>ROUND(170.92,2)</f>
        <v>170.92</v>
      </c>
      <c r="DQ68" s="6"/>
      <c r="DR68" s="6"/>
      <c r="DS68" s="6"/>
      <c r="DT68" s="6"/>
      <c r="DU68" s="6"/>
      <c r="DV68" s="6"/>
      <c r="DW68" s="6"/>
      <c r="DX68" s="6"/>
      <c r="DY68" s="7">
        <f>ROUND(15928.47,2)</f>
        <v>15928.47</v>
      </c>
      <c r="DZ68" s="6"/>
      <c r="EA68" s="7">
        <f>ROUND(2795.84,2)</f>
        <v>2795.84</v>
      </c>
      <c r="EB68" s="6"/>
      <c r="EC68" s="6"/>
      <c r="ED68" s="7">
        <f>ROUND(1602.64,2)</f>
        <v>1602.64</v>
      </c>
      <c r="EE68" s="6"/>
      <c r="EF68" s="7">
        <f>ROUND(1064.56,2)</f>
        <v>1064.56</v>
      </c>
      <c r="EG68" s="6"/>
      <c r="EH68" s="7">
        <f>ROUND(644.23,2)</f>
        <v>644.23</v>
      </c>
      <c r="EI68" s="7">
        <f>ROUND(309.26,2)</f>
        <v>309.26</v>
      </c>
      <c r="EJ68" s="6"/>
      <c r="EK68" s="7">
        <f>ROUND(136.4,2)</f>
        <v>136.4</v>
      </c>
      <c r="EL68" s="6"/>
      <c r="EM68" s="6"/>
      <c r="EN68" s="7">
        <f>ROUND(218.24,2)</f>
        <v>218.24</v>
      </c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7">
        <f>ROUND(44.63,2)</f>
        <v>44.63</v>
      </c>
      <c r="FC68" s="6"/>
      <c r="FD68" s="7">
        <f>ROUND(238,2)</f>
        <v>238</v>
      </c>
      <c r="FE68" s="6"/>
      <c r="FF68" s="6"/>
      <c r="FG68" s="6"/>
      <c r="FH68" s="6"/>
      <c r="FI68" s="6"/>
      <c r="FJ68" s="7">
        <f>ROUND(1025,2)</f>
        <v>1025</v>
      </c>
      <c r="FK68" s="6"/>
      <c r="FL68" s="6"/>
      <c r="FM68" s="6"/>
      <c r="FN68" s="6"/>
      <c r="FO68" s="6"/>
      <c r="FP68" s="6"/>
      <c r="FQ68" s="6"/>
      <c r="FR68" s="6"/>
      <c r="FS68" s="6"/>
      <c r="FT68" s="7">
        <f>ROUND(3000,2)</f>
        <v>3000</v>
      </c>
      <c r="FU68" s="6"/>
      <c r="FV68" s="6"/>
      <c r="FW68" s="6"/>
      <c r="FX68" s="6"/>
      <c r="FY68" s="7">
        <f>ROUND(65591.04,2)</f>
        <v>65591.039999999994</v>
      </c>
    </row>
    <row r="69" spans="1:181" x14ac:dyDescent="0.3">
      <c r="A69" s="4" t="s">
        <v>355</v>
      </c>
      <c r="B69" s="5" t="s">
        <v>1029</v>
      </c>
      <c r="C69" s="5" t="s">
        <v>181</v>
      </c>
      <c r="D69" s="5" t="s">
        <v>289</v>
      </c>
      <c r="E69" s="5" t="s">
        <v>0</v>
      </c>
      <c r="F69" s="5" t="s">
        <v>0</v>
      </c>
      <c r="G69" s="5" t="s">
        <v>183</v>
      </c>
      <c r="H69" s="8">
        <v>33.380000000000003</v>
      </c>
      <c r="I69" s="7">
        <f>ROUND(83954.9499999999,2)</f>
        <v>83954.95</v>
      </c>
      <c r="J69" s="6"/>
      <c r="K69" s="6"/>
      <c r="L69" s="6"/>
      <c r="M69" s="6"/>
      <c r="N69" s="7">
        <f>ROUND(1114.88999999999,2)</f>
        <v>1114.8900000000001</v>
      </c>
      <c r="O69" s="6"/>
      <c r="P69" s="6"/>
      <c r="Q69" s="7">
        <f>ROUND(148.03,2)</f>
        <v>148.03</v>
      </c>
      <c r="R69" s="6"/>
      <c r="S69" s="6"/>
      <c r="T69" s="6"/>
      <c r="U69" s="6"/>
      <c r="V69" s="7">
        <f>ROUND(19.5099999999999,2)</f>
        <v>19.510000000000002</v>
      </c>
      <c r="W69" s="6"/>
      <c r="X69" s="6"/>
      <c r="Y69" s="6"/>
      <c r="Z69" s="6"/>
      <c r="AA69" s="6"/>
      <c r="AB69" s="6"/>
      <c r="AC69" s="6"/>
      <c r="AD69" s="6"/>
      <c r="AE69" s="7">
        <f>ROUND(290.34,2)</f>
        <v>290.33999999999997</v>
      </c>
      <c r="AF69" s="6"/>
      <c r="AG69" s="7">
        <f>ROUND(26.6899999999999,2)</f>
        <v>26.69</v>
      </c>
      <c r="AH69" s="6"/>
      <c r="AI69" s="6"/>
      <c r="AJ69" s="6"/>
      <c r="AK69" s="6"/>
      <c r="AL69" s="6"/>
      <c r="AM69" s="6"/>
      <c r="AN69" s="6"/>
      <c r="AO69" s="6"/>
      <c r="AP69" s="7">
        <f>ROUND(509.059999999999,2)</f>
        <v>509.06</v>
      </c>
      <c r="AQ69" s="6"/>
      <c r="AR69" s="7">
        <f>ROUND(12.35,2)</f>
        <v>12.35</v>
      </c>
      <c r="AS69" s="6"/>
      <c r="AT69" s="6"/>
      <c r="AU69" s="7">
        <f>ROUND(76,2)</f>
        <v>76</v>
      </c>
      <c r="AV69" s="6"/>
      <c r="AW69" s="7">
        <f>ROUND(24.33,2)</f>
        <v>24.33</v>
      </c>
      <c r="AX69" s="7">
        <f>ROUND(3.67,2)</f>
        <v>3.67</v>
      </c>
      <c r="AY69" s="7">
        <f>ROUND(41.25,2)</f>
        <v>41.25</v>
      </c>
      <c r="AZ69" s="7">
        <f>ROUND(2.75,2)</f>
        <v>2.75</v>
      </c>
      <c r="BA69" s="6"/>
      <c r="BB69" s="7">
        <f>ROUND(26,2)</f>
        <v>26</v>
      </c>
      <c r="BC69" s="6"/>
      <c r="BD69" s="7">
        <f>ROUND(8,2)</f>
        <v>8</v>
      </c>
      <c r="BE69" s="7">
        <f>ROUND(0.83,2)</f>
        <v>0.83</v>
      </c>
      <c r="BF69" s="6"/>
      <c r="BG69" s="6"/>
      <c r="BH69" s="6"/>
      <c r="BI69" s="6"/>
      <c r="BJ69" s="6"/>
      <c r="BK69" s="6"/>
      <c r="BL69" s="6"/>
      <c r="BM69" s="6"/>
      <c r="BN69" s="6"/>
      <c r="BO69" s="7">
        <f>ROUND(21,2)</f>
        <v>21</v>
      </c>
      <c r="BP69" s="6"/>
      <c r="BQ69" s="6"/>
      <c r="BR69" s="6"/>
      <c r="BS69" s="6"/>
      <c r="BT69" s="7">
        <f>ROUND(7.72,2)</f>
        <v>7.72</v>
      </c>
      <c r="BU69" s="6"/>
      <c r="BV69" s="6"/>
      <c r="BW69" s="6"/>
      <c r="BX69" s="6"/>
      <c r="BY69" s="7">
        <f>ROUND(8,2)</f>
        <v>8</v>
      </c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7">
        <f>ROUND(8,2)</f>
        <v>8</v>
      </c>
      <c r="CQ69" s="7">
        <f>ROUND(2348.42,2)</f>
        <v>2348.42</v>
      </c>
      <c r="CR69" s="6"/>
      <c r="CS69" s="6"/>
      <c r="CT69" s="6"/>
      <c r="CU69" s="6"/>
      <c r="CV69" s="7">
        <f>ROUND(36402.1299999999,2)</f>
        <v>36402.129999999997</v>
      </c>
      <c r="CW69" s="6"/>
      <c r="CX69" s="6"/>
      <c r="CY69" s="7">
        <f>ROUND(7254.90999999999,2)</f>
        <v>7254.91</v>
      </c>
      <c r="CZ69" s="6"/>
      <c r="DA69" s="6"/>
      <c r="DB69" s="6"/>
      <c r="DC69" s="6"/>
      <c r="DD69" s="7">
        <f>ROUND(627.319999999999,2)</f>
        <v>627.32000000000005</v>
      </c>
      <c r="DE69" s="6"/>
      <c r="DF69" s="6"/>
      <c r="DG69" s="6"/>
      <c r="DH69" s="6"/>
      <c r="DI69" s="6"/>
      <c r="DJ69" s="6"/>
      <c r="DK69" s="6"/>
      <c r="DL69" s="6"/>
      <c r="DM69" s="6"/>
      <c r="DN69" s="7">
        <f>ROUND(9491.34999999999,2)</f>
        <v>9491.35</v>
      </c>
      <c r="DO69" s="6"/>
      <c r="DP69" s="7">
        <f>ROUND(1316.55,2)</f>
        <v>1316.55</v>
      </c>
      <c r="DQ69" s="6"/>
      <c r="DR69" s="6"/>
      <c r="DS69" s="6"/>
      <c r="DT69" s="6"/>
      <c r="DU69" s="6"/>
      <c r="DV69" s="6"/>
      <c r="DW69" s="6"/>
      <c r="DX69" s="6"/>
      <c r="DY69" s="7">
        <f>ROUND(16567.7,2)</f>
        <v>16567.7</v>
      </c>
      <c r="DZ69" s="6"/>
      <c r="EA69" s="7">
        <f>ROUND(604.15,2)</f>
        <v>604.15</v>
      </c>
      <c r="EB69" s="6"/>
      <c r="EC69" s="6"/>
      <c r="ED69" s="7">
        <f>ROUND(2476.7,2)</f>
        <v>2476.6999999999998</v>
      </c>
      <c r="EE69" s="6"/>
      <c r="EF69" s="7">
        <f>ROUND(786.83,2)</f>
        <v>786.83</v>
      </c>
      <c r="EG69" s="7">
        <f>ROUND(181.94,2)</f>
        <v>181.94</v>
      </c>
      <c r="EH69" s="7">
        <f>ROUND(1353.71,2)</f>
        <v>1353.71</v>
      </c>
      <c r="EI69" s="7">
        <f>ROUND(136.33,2)</f>
        <v>136.33000000000001</v>
      </c>
      <c r="EJ69" s="6"/>
      <c r="EK69" s="7">
        <f>ROUND(842.02,2)</f>
        <v>842.02</v>
      </c>
      <c r="EL69" s="6"/>
      <c r="EM69" s="6"/>
      <c r="EN69" s="7">
        <f>ROUND(256.72,2)</f>
        <v>256.72000000000003</v>
      </c>
      <c r="EO69" s="7">
        <f>ROUND(27.43,2)</f>
        <v>27.43</v>
      </c>
      <c r="EP69" s="6"/>
      <c r="EQ69" s="6"/>
      <c r="ER69" s="6"/>
      <c r="ES69" s="6"/>
      <c r="ET69" s="6"/>
      <c r="EU69" s="6"/>
      <c r="EV69" s="7">
        <f>ROUND(500,2)</f>
        <v>500</v>
      </c>
      <c r="EW69" s="6"/>
      <c r="EX69" s="6"/>
      <c r="EY69" s="6"/>
      <c r="EZ69" s="6"/>
      <c r="FA69" s="6"/>
      <c r="FB69" s="7">
        <f>ROUND(687.12,2)</f>
        <v>687.12</v>
      </c>
      <c r="FC69" s="6"/>
      <c r="FD69" s="6"/>
      <c r="FE69" s="6"/>
      <c r="FF69" s="6"/>
      <c r="FG69" s="6"/>
      <c r="FH69" s="6"/>
      <c r="FI69" s="6"/>
      <c r="FJ69" s="7">
        <f>ROUND(1175,2)</f>
        <v>1175</v>
      </c>
      <c r="FK69" s="6"/>
      <c r="FL69" s="6"/>
      <c r="FM69" s="6"/>
      <c r="FN69" s="6"/>
      <c r="FO69" s="6"/>
      <c r="FP69" s="6"/>
      <c r="FQ69" s="6"/>
      <c r="FR69" s="6"/>
      <c r="FS69" s="6"/>
      <c r="FT69" s="7">
        <f>ROUND(3000,2)</f>
        <v>3000</v>
      </c>
      <c r="FU69" s="6"/>
      <c r="FV69" s="6"/>
      <c r="FW69" s="6"/>
      <c r="FX69" s="7">
        <f>ROUND(267.04,2)</f>
        <v>267.04000000000002</v>
      </c>
      <c r="FY69" s="7">
        <f>ROUND(83954.9499999999,2)</f>
        <v>83954.95</v>
      </c>
    </row>
    <row r="70" spans="1:181" x14ac:dyDescent="0.3">
      <c r="A70" s="4" t="s">
        <v>356</v>
      </c>
      <c r="B70" s="5" t="s">
        <v>1029</v>
      </c>
      <c r="C70" s="5" t="s">
        <v>181</v>
      </c>
      <c r="D70" s="5" t="s">
        <v>309</v>
      </c>
      <c r="E70" s="5" t="s">
        <v>0</v>
      </c>
      <c r="F70" s="5" t="s">
        <v>0</v>
      </c>
      <c r="G70" s="5" t="s">
        <v>183</v>
      </c>
      <c r="H70" s="8">
        <v>33.380000000000003</v>
      </c>
      <c r="I70" s="7">
        <f>ROUND(73477.9199999999,2)</f>
        <v>73477.919999999998</v>
      </c>
      <c r="J70" s="6"/>
      <c r="K70" s="6"/>
      <c r="L70" s="6"/>
      <c r="M70" s="6"/>
      <c r="N70" s="7">
        <f>ROUND(606.16,2)</f>
        <v>606.16</v>
      </c>
      <c r="O70" s="6"/>
      <c r="P70" s="6"/>
      <c r="Q70" s="7">
        <f>ROUND(41.25,2)</f>
        <v>41.25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7">
        <f>ROUND(954.16,2)</f>
        <v>954.16</v>
      </c>
      <c r="AF70" s="6"/>
      <c r="AG70" s="7">
        <f>ROUND(0.4,2)</f>
        <v>0.4</v>
      </c>
      <c r="AH70" s="6"/>
      <c r="AI70" s="6"/>
      <c r="AJ70" s="6"/>
      <c r="AK70" s="6"/>
      <c r="AL70" s="6"/>
      <c r="AM70" s="6"/>
      <c r="AN70" s="6"/>
      <c r="AO70" s="6"/>
      <c r="AP70" s="7">
        <f>ROUND(262.78,2)</f>
        <v>262.77999999999997</v>
      </c>
      <c r="AQ70" s="6"/>
      <c r="AR70" s="7">
        <f>ROUND(22.34,2)</f>
        <v>22.34</v>
      </c>
      <c r="AS70" s="6"/>
      <c r="AT70" s="6"/>
      <c r="AU70" s="7">
        <f>ROUND(56,2)</f>
        <v>56</v>
      </c>
      <c r="AV70" s="6"/>
      <c r="AW70" s="7">
        <f>ROUND(30.77,2)</f>
        <v>30.77</v>
      </c>
      <c r="AX70" s="7">
        <f>ROUND(3.23,2)</f>
        <v>3.23</v>
      </c>
      <c r="AY70" s="7">
        <f>ROUND(31.07,2)</f>
        <v>31.07</v>
      </c>
      <c r="AZ70" s="7">
        <f>ROUND(10.93,2)</f>
        <v>10.93</v>
      </c>
      <c r="BA70" s="6"/>
      <c r="BB70" s="7">
        <f>ROUND(18,2)</f>
        <v>18</v>
      </c>
      <c r="BC70" s="6"/>
      <c r="BD70" s="7">
        <f>ROUND(8,2)</f>
        <v>8</v>
      </c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7">
        <f>ROUND(30,2)</f>
        <v>30</v>
      </c>
      <c r="BR70" s="6"/>
      <c r="BS70" s="6"/>
      <c r="BT70" s="7">
        <f>ROUND(16.51,2)</f>
        <v>16.510000000000002</v>
      </c>
      <c r="BU70" s="7">
        <f>ROUND(63.8,2)</f>
        <v>63.8</v>
      </c>
      <c r="BV70" s="7">
        <f>ROUND(12.02,2)</f>
        <v>12.02</v>
      </c>
      <c r="BW70" s="7">
        <f>ROUND(18,2)</f>
        <v>18</v>
      </c>
      <c r="BX70" s="7">
        <f>ROUND(24,2)</f>
        <v>24</v>
      </c>
      <c r="BY70" s="7">
        <f>ROUND(8,2)</f>
        <v>8</v>
      </c>
      <c r="BZ70" s="6"/>
      <c r="CA70" s="7">
        <f>ROUND(21.08,2)</f>
        <v>21.08</v>
      </c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7">
        <f>ROUND(2238.5,2)</f>
        <v>2238.5</v>
      </c>
      <c r="CR70" s="6"/>
      <c r="CS70" s="6"/>
      <c r="CT70" s="6"/>
      <c r="CU70" s="6"/>
      <c r="CV70" s="7">
        <f>ROUND(19898.79,2)</f>
        <v>19898.79</v>
      </c>
      <c r="CW70" s="6"/>
      <c r="CX70" s="6"/>
      <c r="CY70" s="7">
        <f>ROUND(2040.43,2)</f>
        <v>2040.43</v>
      </c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7">
        <f>ROUND(31200.7299999999,2)</f>
        <v>31200.73</v>
      </c>
      <c r="DO70" s="6"/>
      <c r="DP70" s="7">
        <f>ROUND(19.9,2)</f>
        <v>19.899999999999999</v>
      </c>
      <c r="DQ70" s="6"/>
      <c r="DR70" s="6"/>
      <c r="DS70" s="6"/>
      <c r="DT70" s="6"/>
      <c r="DU70" s="6"/>
      <c r="DV70" s="6"/>
      <c r="DW70" s="6"/>
      <c r="DX70" s="6"/>
      <c r="DY70" s="7">
        <f>ROUND(8551.52,2)</f>
        <v>8551.52</v>
      </c>
      <c r="DZ70" s="6"/>
      <c r="EA70" s="7">
        <f>ROUND(1112.65999999999,2)</f>
        <v>1112.6600000000001</v>
      </c>
      <c r="EB70" s="6"/>
      <c r="EC70" s="6"/>
      <c r="ED70" s="7">
        <f>ROUND(1834.9,2)</f>
        <v>1834.9</v>
      </c>
      <c r="EE70" s="6"/>
      <c r="EF70" s="7">
        <f>ROUND(1002.31,2)</f>
        <v>1002.31</v>
      </c>
      <c r="EG70" s="7">
        <f>ROUND(160.13,2)</f>
        <v>160.13</v>
      </c>
      <c r="EH70" s="7">
        <f>ROUND(1024.93999999999,2)</f>
        <v>1024.94</v>
      </c>
      <c r="EI70" s="7">
        <f>ROUND(533.21,2)</f>
        <v>533.21</v>
      </c>
      <c r="EJ70" s="6"/>
      <c r="EK70" s="7">
        <f>ROUND(587.22,2)</f>
        <v>587.22</v>
      </c>
      <c r="EL70" s="6"/>
      <c r="EM70" s="6"/>
      <c r="EN70" s="7">
        <f>ROUND(256.72,2)</f>
        <v>256.72000000000003</v>
      </c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7">
        <f>ROUND(962.7,2)</f>
        <v>962.7</v>
      </c>
      <c r="FE70" s="6"/>
      <c r="FF70" s="7">
        <f>ROUND(1141.76,2)</f>
        <v>1141.76</v>
      </c>
      <c r="FG70" s="6"/>
      <c r="FH70" s="6"/>
      <c r="FI70" s="6"/>
      <c r="FJ70" s="7">
        <f>ROUND(150,2)</f>
        <v>150</v>
      </c>
      <c r="FK70" s="6"/>
      <c r="FL70" s="6"/>
      <c r="FM70" s="6"/>
      <c r="FN70" s="6"/>
      <c r="FO70" s="6"/>
      <c r="FP70" s="6"/>
      <c r="FQ70" s="6"/>
      <c r="FR70" s="6"/>
      <c r="FS70" s="6"/>
      <c r="FT70" s="7">
        <f>ROUND(3000,2)</f>
        <v>3000</v>
      </c>
      <c r="FU70" s="6"/>
      <c r="FV70" s="6"/>
      <c r="FW70" s="6"/>
      <c r="FX70" s="6"/>
      <c r="FY70" s="7">
        <f>ROUND(73477.9199999999,2)</f>
        <v>73477.919999999998</v>
      </c>
    </row>
    <row r="71" spans="1:181" x14ac:dyDescent="0.3">
      <c r="A71" s="4" t="s">
        <v>357</v>
      </c>
      <c r="B71" s="5"/>
      <c r="C71" s="5" t="s">
        <v>181</v>
      </c>
      <c r="D71" s="5" t="s">
        <v>358</v>
      </c>
      <c r="E71" s="5" t="s">
        <v>0</v>
      </c>
      <c r="F71" s="5" t="s">
        <v>0</v>
      </c>
      <c r="G71" s="5" t="s">
        <v>351</v>
      </c>
      <c r="H71" s="8">
        <f>ROUND(50,2)</f>
        <v>50</v>
      </c>
      <c r="I71" s="7">
        <f>ROUND(8237.5,2)</f>
        <v>8237.5</v>
      </c>
      <c r="J71" s="7">
        <f>ROUND(164.75,2)</f>
        <v>164.75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7">
        <f>ROUND(164.75,2)</f>
        <v>164.75</v>
      </c>
      <c r="CR71" s="7">
        <f>ROUND(8237.5,2)</f>
        <v>8237.5</v>
      </c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7">
        <f>ROUND(8237.5,2)</f>
        <v>8237.5</v>
      </c>
    </row>
    <row r="72" spans="1:181" ht="26.4" x14ac:dyDescent="0.3">
      <c r="A72" s="4" t="s">
        <v>359</v>
      </c>
      <c r="B72" s="5"/>
      <c r="C72" s="5" t="s">
        <v>360</v>
      </c>
      <c r="D72" s="5" t="s">
        <v>361</v>
      </c>
      <c r="E72" s="5" t="s">
        <v>0</v>
      </c>
      <c r="F72" s="5" t="s">
        <v>0</v>
      </c>
      <c r="G72" s="5" t="s">
        <v>362</v>
      </c>
      <c r="H72" s="8">
        <f>ROUND(1592.69,2)</f>
        <v>1592.69</v>
      </c>
      <c r="I72" s="7">
        <f>ROUND(90282.11,2)</f>
        <v>90282.11</v>
      </c>
      <c r="J72" s="7">
        <f>ROUND(1644,2)</f>
        <v>1644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7">
        <f>ROUND(-14,2)</f>
        <v>-14</v>
      </c>
      <c r="AT72" s="6"/>
      <c r="AU72" s="6"/>
      <c r="AV72" s="6"/>
      <c r="AW72" s="6"/>
      <c r="AX72" s="6"/>
      <c r="AY72" s="6"/>
      <c r="AZ72" s="6"/>
      <c r="BA72" s="6"/>
      <c r="BB72" s="6"/>
      <c r="BC72" s="7">
        <f>ROUND(8,2)</f>
        <v>8</v>
      </c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7">
        <f>ROUND(8,2)</f>
        <v>8</v>
      </c>
      <c r="BX72" s="6"/>
      <c r="BY72" s="6"/>
      <c r="BZ72" s="6"/>
      <c r="CA72" s="6"/>
      <c r="CB72" s="6"/>
      <c r="CC72" s="6"/>
      <c r="CD72" s="6"/>
      <c r="CE72" s="6"/>
      <c r="CF72" s="6"/>
      <c r="CG72" s="7">
        <f>ROUND(4,2)</f>
        <v>4</v>
      </c>
      <c r="CH72" s="7">
        <f>ROUND(56,2)</f>
        <v>56</v>
      </c>
      <c r="CI72" s="7">
        <f>ROUND(32,2)</f>
        <v>32</v>
      </c>
      <c r="CJ72" s="6"/>
      <c r="CK72" s="6"/>
      <c r="CL72" s="6"/>
      <c r="CM72" s="6"/>
      <c r="CN72" s="7">
        <f>ROUND(120,2)</f>
        <v>120</v>
      </c>
      <c r="CO72" s="6"/>
      <c r="CP72" s="7">
        <f>ROUND(44,2)</f>
        <v>44</v>
      </c>
      <c r="CQ72" s="7">
        <f>ROUND(1902,2)</f>
        <v>1902</v>
      </c>
      <c r="CR72" s="7">
        <f>ROUND(79793.75,2)</f>
        <v>79793.75</v>
      </c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7">
        <f>ROUND(-557.44,2)</f>
        <v>-557.44000000000005</v>
      </c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7">
        <f>ROUND(295,2)</f>
        <v>295</v>
      </c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7">
        <f>ROUND(159.27,2)</f>
        <v>159.27000000000001</v>
      </c>
      <c r="FH72" s="6"/>
      <c r="FI72" s="6"/>
      <c r="FJ72" s="7">
        <f>ROUND(3822.46,2)</f>
        <v>3822.46</v>
      </c>
      <c r="FK72" s="6"/>
      <c r="FL72" s="6"/>
      <c r="FM72" s="6"/>
      <c r="FN72" s="7">
        <f>ROUND(955.62,2)</f>
        <v>955.62</v>
      </c>
      <c r="FO72" s="7">
        <f>ROUND(238.9,2)</f>
        <v>238.9</v>
      </c>
      <c r="FP72" s="6"/>
      <c r="FQ72" s="6"/>
      <c r="FR72" s="6"/>
      <c r="FS72" s="6"/>
      <c r="FT72" s="6"/>
      <c r="FU72" s="6"/>
      <c r="FV72" s="7">
        <f>ROUND(3822.47,2)</f>
        <v>3822.47</v>
      </c>
      <c r="FW72" s="6"/>
      <c r="FX72" s="7">
        <f>ROUND(1752.08,2)</f>
        <v>1752.08</v>
      </c>
      <c r="FY72" s="7">
        <f>ROUND(90282.11,2)</f>
        <v>90282.11</v>
      </c>
    </row>
    <row r="73" spans="1:181" x14ac:dyDescent="0.3">
      <c r="A73" s="4" t="s">
        <v>363</v>
      </c>
      <c r="B73" s="5" t="s">
        <v>1029</v>
      </c>
      <c r="C73" s="5" t="s">
        <v>181</v>
      </c>
      <c r="D73" s="5" t="s">
        <v>301</v>
      </c>
      <c r="E73" s="5" t="s">
        <v>0</v>
      </c>
      <c r="F73" s="5" t="s">
        <v>0</v>
      </c>
      <c r="G73" s="5" t="s">
        <v>183</v>
      </c>
      <c r="H73" s="9">
        <v>28.37</v>
      </c>
      <c r="I73" s="7">
        <f>ROUND(29798.91,2)</f>
        <v>29798.91</v>
      </c>
      <c r="J73" s="6"/>
      <c r="K73" s="6"/>
      <c r="L73" s="6"/>
      <c r="M73" s="6"/>
      <c r="N73" s="7">
        <f>ROUND(619.269999999999,2)</f>
        <v>619.27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7">
        <f>ROUND(90,2)</f>
        <v>90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7">
        <f>ROUND(22.33,2)</f>
        <v>22.33</v>
      </c>
      <c r="AV73" s="7">
        <f>ROUND(2.67,2)</f>
        <v>2.67</v>
      </c>
      <c r="AW73" s="6"/>
      <c r="AX73" s="6"/>
      <c r="AY73" s="6"/>
      <c r="AZ73" s="6"/>
      <c r="BA73" s="6"/>
      <c r="BB73" s="6"/>
      <c r="BC73" s="6"/>
      <c r="BD73" s="7">
        <f>ROUND(413.67,2)</f>
        <v>413.67</v>
      </c>
      <c r="BE73" s="6"/>
      <c r="BF73" s="7">
        <f>ROUND(22.65,2)</f>
        <v>22.65</v>
      </c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7">
        <f>ROUND(5,2)</f>
        <v>5</v>
      </c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7">
        <f>ROUND(15,2)</f>
        <v>15</v>
      </c>
      <c r="CQ73" s="7">
        <f>ROUND(1190.58999999999,2)</f>
        <v>1190.5899999999999</v>
      </c>
      <c r="CR73" s="6"/>
      <c r="CS73" s="6"/>
      <c r="CT73" s="6"/>
      <c r="CU73" s="6"/>
      <c r="CV73" s="7">
        <f>ROUND(16616.2099999999,2)</f>
        <v>16616.21</v>
      </c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7">
        <f>ROUND(2460.47999999999,2)</f>
        <v>2460.48</v>
      </c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7">
        <f>ROUND(542.78,2)</f>
        <v>542.78</v>
      </c>
      <c r="EE73" s="7">
        <f>ROUND(70.09,2)</f>
        <v>70.09</v>
      </c>
      <c r="EF73" s="6"/>
      <c r="EG73" s="6"/>
      <c r="EH73" s="6"/>
      <c r="EI73" s="6"/>
      <c r="EJ73" s="6"/>
      <c r="EK73" s="6"/>
      <c r="EL73" s="6"/>
      <c r="EM73" s="6"/>
      <c r="EN73" s="7">
        <f>ROUND(7239.23,2)</f>
        <v>7239.23</v>
      </c>
      <c r="EO73" s="6"/>
      <c r="EP73" s="7">
        <f>ROUND(594.57,2)</f>
        <v>594.57000000000005</v>
      </c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7">
        <f>ROUND(350,2)</f>
        <v>350</v>
      </c>
      <c r="FK73" s="6"/>
      <c r="FL73" s="6"/>
      <c r="FM73" s="6"/>
      <c r="FN73" s="6"/>
      <c r="FO73" s="6"/>
      <c r="FP73" s="6"/>
      <c r="FQ73" s="6"/>
      <c r="FR73" s="6"/>
      <c r="FS73" s="6"/>
      <c r="FT73" s="7">
        <f>ROUND(1500,2)</f>
        <v>1500</v>
      </c>
      <c r="FU73" s="6"/>
      <c r="FV73" s="6"/>
      <c r="FW73" s="6"/>
      <c r="FX73" s="7">
        <f>ROUND(425.55,2)</f>
        <v>425.55</v>
      </c>
      <c r="FY73" s="7">
        <f>ROUND(29798.91,2)</f>
        <v>29798.91</v>
      </c>
    </row>
    <row r="74" spans="1:181" ht="26.4" x14ac:dyDescent="0.3">
      <c r="A74" s="4" t="s">
        <v>364</v>
      </c>
      <c r="B74" s="5"/>
      <c r="C74" s="5" t="s">
        <v>244</v>
      </c>
      <c r="D74" s="5" t="s">
        <v>365</v>
      </c>
      <c r="E74" s="5" t="s">
        <v>0</v>
      </c>
      <c r="F74" s="5" t="s">
        <v>0</v>
      </c>
      <c r="G74" s="5" t="s">
        <v>366</v>
      </c>
      <c r="H74" s="8">
        <f>ROUND(21,2)</f>
        <v>21</v>
      </c>
      <c r="I74" s="7">
        <f>ROUND(53849.9299999999,2)</f>
        <v>53849.93</v>
      </c>
      <c r="J74" s="7">
        <f>ROUND(1982,2)</f>
        <v>1982</v>
      </c>
      <c r="K74" s="7">
        <f>ROUND(261.25,2)</f>
        <v>261.25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7">
        <f>ROUND(16,2)</f>
        <v>16</v>
      </c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7">
        <f>ROUND(40,2)</f>
        <v>40</v>
      </c>
      <c r="CI74" s="7">
        <f>ROUND(24,2)</f>
        <v>24</v>
      </c>
      <c r="CJ74" s="7">
        <f>ROUND(19.5,2)</f>
        <v>19.5</v>
      </c>
      <c r="CK74" s="7">
        <f>ROUND(6,2)</f>
        <v>6</v>
      </c>
      <c r="CL74" s="6"/>
      <c r="CM74" s="6"/>
      <c r="CN74" s="7">
        <f>ROUND(40,2)</f>
        <v>40</v>
      </c>
      <c r="CO74" s="6"/>
      <c r="CP74" s="6"/>
      <c r="CQ74" s="7">
        <f>ROUND(2388.75,2)</f>
        <v>2388.75</v>
      </c>
      <c r="CR74" s="7">
        <f>ROUND(40423.6599999999,2)</f>
        <v>40423.660000000003</v>
      </c>
      <c r="CS74" s="7">
        <f>ROUND(7992.41,2)</f>
        <v>7992.41</v>
      </c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7">
        <f>ROUND(291.67,2)</f>
        <v>291.67</v>
      </c>
      <c r="EX74" s="6"/>
      <c r="EY74" s="6"/>
      <c r="EZ74" s="6"/>
      <c r="FA74" s="6"/>
      <c r="FB74" s="6"/>
      <c r="FC74" s="6"/>
      <c r="FD74" s="6"/>
      <c r="FE74" s="6"/>
      <c r="FF74" s="6"/>
      <c r="FG74" s="7">
        <f>ROUND(336,2)</f>
        <v>336</v>
      </c>
      <c r="FH74" s="6"/>
      <c r="FI74" s="6"/>
      <c r="FJ74" s="7">
        <f>ROUND(2016,2)</f>
        <v>2016</v>
      </c>
      <c r="FK74" s="6"/>
      <c r="FL74" s="6"/>
      <c r="FM74" s="6"/>
      <c r="FN74" s="7">
        <f>ROUND(817.12,2)</f>
        <v>817.12</v>
      </c>
      <c r="FO74" s="7">
        <f>ROUND(481.12,2)</f>
        <v>481.12</v>
      </c>
      <c r="FP74" s="7">
        <f>ROUND(591.73,2)</f>
        <v>591.73</v>
      </c>
      <c r="FQ74" s="7">
        <f>ROUND(117.42,2)</f>
        <v>117.42</v>
      </c>
      <c r="FR74" s="6"/>
      <c r="FS74" s="6"/>
      <c r="FT74" s="6"/>
      <c r="FU74" s="6"/>
      <c r="FV74" s="7">
        <f>ROUND(782.8,2)</f>
        <v>782.8</v>
      </c>
      <c r="FW74" s="6"/>
      <c r="FX74" s="6"/>
      <c r="FY74" s="7">
        <f>ROUND(53849.9299999999,2)</f>
        <v>53849.93</v>
      </c>
    </row>
    <row r="75" spans="1:181" x14ac:dyDescent="0.3">
      <c r="A75" s="4" t="s">
        <v>367</v>
      </c>
      <c r="B75" s="5" t="s">
        <v>1029</v>
      </c>
      <c r="C75" s="5" t="s">
        <v>181</v>
      </c>
      <c r="D75" s="5" t="s">
        <v>368</v>
      </c>
      <c r="E75" s="5" t="s">
        <v>0</v>
      </c>
      <c r="F75" s="5" t="s">
        <v>0</v>
      </c>
      <c r="G75" s="5" t="s">
        <v>183</v>
      </c>
      <c r="H75" s="8">
        <v>33.380000000000003</v>
      </c>
      <c r="I75" s="7">
        <f>ROUND(76348.14,2)</f>
        <v>76348.14</v>
      </c>
      <c r="J75" s="6"/>
      <c r="K75" s="6"/>
      <c r="L75" s="6"/>
      <c r="M75" s="6"/>
      <c r="N75" s="7">
        <f>ROUND(1338.63999999999,2)</f>
        <v>1338.64</v>
      </c>
      <c r="O75" s="6"/>
      <c r="P75" s="6"/>
      <c r="Q75" s="7">
        <f>ROUND(139.299999999999,2)</f>
        <v>139.30000000000001</v>
      </c>
      <c r="R75" s="6"/>
      <c r="S75" s="6"/>
      <c r="T75" s="6"/>
      <c r="U75" s="6"/>
      <c r="V75" s="7">
        <f>ROUND(33.59,2)</f>
        <v>33.590000000000003</v>
      </c>
      <c r="W75" s="7">
        <f>ROUND(13.25,2)</f>
        <v>13.25</v>
      </c>
      <c r="X75" s="7">
        <f>ROUND(3,2)</f>
        <v>3</v>
      </c>
      <c r="Y75" s="6"/>
      <c r="Z75" s="6"/>
      <c r="AA75" s="6"/>
      <c r="AB75" s="6"/>
      <c r="AC75" s="6"/>
      <c r="AD75" s="6"/>
      <c r="AE75" s="7">
        <f>ROUND(10,2)</f>
        <v>10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7">
        <f>ROUND(21.22,2)</f>
        <v>21.22</v>
      </c>
      <c r="AQ75" s="6"/>
      <c r="AR75" s="7">
        <f>ROUND(15.83,2)</f>
        <v>15.83</v>
      </c>
      <c r="AS75" s="6"/>
      <c r="AT75" s="6"/>
      <c r="AU75" s="7">
        <f>ROUND(62,2)</f>
        <v>62</v>
      </c>
      <c r="AV75" s="7">
        <f>ROUND(8,2)</f>
        <v>8</v>
      </c>
      <c r="AW75" s="7">
        <f>ROUND(29.52,2)</f>
        <v>29.52</v>
      </c>
      <c r="AX75" s="7">
        <f>ROUND(2.48,2)</f>
        <v>2.48</v>
      </c>
      <c r="AY75" s="7">
        <f>ROUND(107.43,2)</f>
        <v>107.43</v>
      </c>
      <c r="AZ75" s="7">
        <f>ROUND(12.57,2)</f>
        <v>12.57</v>
      </c>
      <c r="BA75" s="6"/>
      <c r="BB75" s="6"/>
      <c r="BC75" s="6"/>
      <c r="BD75" s="7">
        <f>ROUND(55.14,2)</f>
        <v>55.14</v>
      </c>
      <c r="BE75" s="6"/>
      <c r="BF75" s="7">
        <f>ROUND(33.86,2)</f>
        <v>33.86</v>
      </c>
      <c r="BG75" s="6"/>
      <c r="BH75" s="6"/>
      <c r="BI75" s="6"/>
      <c r="BJ75" s="6"/>
      <c r="BK75" s="7">
        <f>ROUND(125.279999999999,2)</f>
        <v>125.28</v>
      </c>
      <c r="BL75" s="6"/>
      <c r="BM75" s="6"/>
      <c r="BN75" s="6"/>
      <c r="BO75" s="7">
        <f>ROUND(10,2)</f>
        <v>10</v>
      </c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7">
        <f>ROUND(471.9,2)</f>
        <v>471.9</v>
      </c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7">
        <f>ROUND(40,2)</f>
        <v>40</v>
      </c>
      <c r="CQ75" s="7">
        <f>ROUND(2533.00999999999,2)</f>
        <v>2533.0100000000002</v>
      </c>
      <c r="CR75" s="6"/>
      <c r="CS75" s="6"/>
      <c r="CT75" s="6"/>
      <c r="CU75" s="6"/>
      <c r="CV75" s="7">
        <f>ROUND(43644.8499999999,2)</f>
        <v>43644.85</v>
      </c>
      <c r="CW75" s="6"/>
      <c r="CX75" s="6"/>
      <c r="CY75" s="7">
        <f>ROUND(6776.4,2)</f>
        <v>6776.4</v>
      </c>
      <c r="CZ75" s="6"/>
      <c r="DA75" s="6"/>
      <c r="DB75" s="6"/>
      <c r="DC75" s="6"/>
      <c r="DD75" s="7">
        <f>ROUND(1109.22,2)</f>
        <v>1109.22</v>
      </c>
      <c r="DE75" s="7">
        <f>ROUND(639.59,2)</f>
        <v>639.59</v>
      </c>
      <c r="DF75" s="7">
        <f>ROUND(96.62,2)</f>
        <v>96.62</v>
      </c>
      <c r="DG75" s="6"/>
      <c r="DH75" s="6"/>
      <c r="DI75" s="6"/>
      <c r="DJ75" s="6"/>
      <c r="DK75" s="6"/>
      <c r="DL75" s="6"/>
      <c r="DM75" s="6"/>
      <c r="DN75" s="7">
        <f>ROUND(333.8,2)</f>
        <v>333.8</v>
      </c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7">
        <f>ROUND(708.32,2)</f>
        <v>708.32</v>
      </c>
      <c r="DZ75" s="6"/>
      <c r="EA75" s="7">
        <f>ROUND(763.33,2)</f>
        <v>763.33</v>
      </c>
      <c r="EB75" s="6"/>
      <c r="EC75" s="6"/>
      <c r="ED75" s="7">
        <f>ROUND(2017.84,2)</f>
        <v>2017.84</v>
      </c>
      <c r="EE75" s="7">
        <f>ROUND(396.64,2)</f>
        <v>396.64</v>
      </c>
      <c r="EF75" s="7">
        <f>ROUND(947.3,2)</f>
        <v>947.3</v>
      </c>
      <c r="EG75" s="7">
        <f>ROUND(119.37,2)</f>
        <v>119.37</v>
      </c>
      <c r="EH75" s="7">
        <f>ROUND(3493.50999999999,2)</f>
        <v>3493.51</v>
      </c>
      <c r="EI75" s="7">
        <f>ROUND(616.58,2)</f>
        <v>616.58000000000004</v>
      </c>
      <c r="EJ75" s="6"/>
      <c r="EK75" s="6"/>
      <c r="EL75" s="6"/>
      <c r="EM75" s="6"/>
      <c r="EN75" s="7">
        <f>ROUND(1778.08,2)</f>
        <v>1778.08</v>
      </c>
      <c r="EO75" s="6"/>
      <c r="EP75" s="7">
        <f>ROUND(1629.86,2)</f>
        <v>1629.86</v>
      </c>
      <c r="EQ75" s="6"/>
      <c r="ER75" s="6"/>
      <c r="ES75" s="6"/>
      <c r="ET75" s="6"/>
      <c r="EU75" s="6"/>
      <c r="EV75" s="7">
        <f>ROUND(500,2)</f>
        <v>500</v>
      </c>
      <c r="EW75" s="6"/>
      <c r="EX75" s="7">
        <f>ROUND(4120.73,2)</f>
        <v>4120.7299999999996</v>
      </c>
      <c r="EY75" s="6"/>
      <c r="EZ75" s="6"/>
      <c r="FA75" s="6"/>
      <c r="FB75" s="7">
        <f>ROUND(320.9,2)</f>
        <v>320.89999999999998</v>
      </c>
      <c r="FC75" s="6"/>
      <c r="FD75" s="6"/>
      <c r="FE75" s="6"/>
      <c r="FF75" s="6"/>
      <c r="FG75" s="6"/>
      <c r="FH75" s="6"/>
      <c r="FI75" s="6"/>
      <c r="FJ75" s="7">
        <f>ROUND(2000,2)</f>
        <v>2000</v>
      </c>
      <c r="FK75" s="6"/>
      <c r="FL75" s="6"/>
      <c r="FM75" s="6"/>
      <c r="FN75" s="6"/>
      <c r="FO75" s="6"/>
      <c r="FP75" s="6"/>
      <c r="FQ75" s="6"/>
      <c r="FR75" s="6"/>
      <c r="FS75" s="6"/>
      <c r="FT75" s="7">
        <f>ROUND(3000,2)</f>
        <v>3000</v>
      </c>
      <c r="FU75" s="6"/>
      <c r="FV75" s="6"/>
      <c r="FW75" s="6"/>
      <c r="FX75" s="7">
        <f>ROUND(1335.2,2)</f>
        <v>1335.2</v>
      </c>
      <c r="FY75" s="7">
        <f>ROUND(76348.14,2)</f>
        <v>76348.14</v>
      </c>
    </row>
    <row r="76" spans="1:181" x14ac:dyDescent="0.3">
      <c r="A76" s="4" t="s">
        <v>369</v>
      </c>
      <c r="B76" s="5" t="s">
        <v>1029</v>
      </c>
      <c r="C76" s="5" t="s">
        <v>181</v>
      </c>
      <c r="D76" s="5" t="s">
        <v>370</v>
      </c>
      <c r="E76" s="5" t="s">
        <v>0</v>
      </c>
      <c r="F76" s="5" t="s">
        <v>0</v>
      </c>
      <c r="G76" s="5" t="s">
        <v>183</v>
      </c>
      <c r="H76" s="8">
        <v>33.380000000000003</v>
      </c>
      <c r="I76" s="7">
        <f>ROUND(11968.5399999999,2)</f>
        <v>11968.54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7">
        <f>ROUND(82.42,2)</f>
        <v>82.42</v>
      </c>
      <c r="AF76" s="6"/>
      <c r="AG76" s="7">
        <f>ROUND(8,2)</f>
        <v>8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7">
        <f>ROUND(16,2)</f>
        <v>16</v>
      </c>
      <c r="AV76" s="6"/>
      <c r="AW76" s="6"/>
      <c r="AX76" s="6"/>
      <c r="AY76" s="7">
        <f>ROUND(16,2)</f>
        <v>16</v>
      </c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7">
        <f>ROUND(48,2)</f>
        <v>48</v>
      </c>
      <c r="BX76" s="6"/>
      <c r="BY76" s="7">
        <f>ROUND(8,2)</f>
        <v>8</v>
      </c>
      <c r="BZ76" s="6"/>
      <c r="CA76" s="7">
        <f>ROUND(16,2)</f>
        <v>16</v>
      </c>
      <c r="CB76" s="6"/>
      <c r="CC76" s="7">
        <f>ROUND(1352,2)</f>
        <v>1352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7">
        <f>ROUND(144,2)</f>
        <v>144</v>
      </c>
      <c r="CQ76" s="7">
        <f>ROUND(1690.42,2)</f>
        <v>1690.42</v>
      </c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7">
        <f>ROUND(2674.86,2)</f>
        <v>2674.86</v>
      </c>
      <c r="DO76" s="6"/>
      <c r="DP76" s="7">
        <f>ROUND(385.08,2)</f>
        <v>385.08</v>
      </c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7">
        <f>ROUND(513.44,2)</f>
        <v>513.44000000000005</v>
      </c>
      <c r="EE76" s="6"/>
      <c r="EF76" s="6"/>
      <c r="EG76" s="6"/>
      <c r="EH76" s="7">
        <f>ROUND(513.44,2)</f>
        <v>513.44000000000005</v>
      </c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7">
        <f>ROUND(75,2)</f>
        <v>75</v>
      </c>
      <c r="FK76" s="6"/>
      <c r="FL76" s="6"/>
      <c r="FM76" s="6"/>
      <c r="FN76" s="6"/>
      <c r="FO76" s="6"/>
      <c r="FP76" s="6"/>
      <c r="FQ76" s="6"/>
      <c r="FR76" s="6"/>
      <c r="FS76" s="6"/>
      <c r="FT76" s="7">
        <f>ROUND(3000,2)</f>
        <v>3000</v>
      </c>
      <c r="FU76" s="6"/>
      <c r="FV76" s="6"/>
      <c r="FW76" s="6"/>
      <c r="FX76" s="7">
        <f>ROUND(4806.72,2)</f>
        <v>4806.72</v>
      </c>
      <c r="FY76" s="7">
        <f>ROUND(11968.5399999999,2)</f>
        <v>11968.54</v>
      </c>
    </row>
    <row r="77" spans="1:181" x14ac:dyDescent="0.3">
      <c r="A77" s="4" t="s">
        <v>371</v>
      </c>
      <c r="B77" s="5" t="s">
        <v>1029</v>
      </c>
      <c r="C77" s="5" t="s">
        <v>181</v>
      </c>
      <c r="D77" s="5" t="s">
        <v>372</v>
      </c>
      <c r="E77" s="5" t="s">
        <v>0</v>
      </c>
      <c r="F77" s="5" t="s">
        <v>0</v>
      </c>
      <c r="G77" s="5" t="s">
        <v>183</v>
      </c>
      <c r="H77" s="8">
        <v>33.380000000000003</v>
      </c>
      <c r="I77" s="7">
        <f>ROUND(98632.7399999999,2)</f>
        <v>98632.74</v>
      </c>
      <c r="J77" s="6"/>
      <c r="K77" s="6"/>
      <c r="L77" s="6"/>
      <c r="M77" s="6"/>
      <c r="N77" s="7">
        <f>ROUND(1712.51,2)</f>
        <v>1712.51</v>
      </c>
      <c r="O77" s="6"/>
      <c r="P77" s="6"/>
      <c r="Q77" s="7">
        <f>ROUND(360.099999999999,2)</f>
        <v>360.1</v>
      </c>
      <c r="R77" s="6"/>
      <c r="S77" s="6"/>
      <c r="T77" s="6"/>
      <c r="U77" s="6"/>
      <c r="V77" s="6"/>
      <c r="W77" s="6"/>
      <c r="X77" s="7">
        <f>ROUND(0.33,2)</f>
        <v>0.33</v>
      </c>
      <c r="Y77" s="6"/>
      <c r="Z77" s="6"/>
      <c r="AA77" s="6"/>
      <c r="AB77" s="6"/>
      <c r="AC77" s="6"/>
      <c r="AD77" s="6"/>
      <c r="AE77" s="7">
        <f>ROUND(44.23,2)</f>
        <v>44.23</v>
      </c>
      <c r="AF77" s="6"/>
      <c r="AG77" s="7">
        <f>ROUND(120.77,2)</f>
        <v>120.77</v>
      </c>
      <c r="AH77" s="6"/>
      <c r="AI77" s="6"/>
      <c r="AJ77" s="6"/>
      <c r="AK77" s="6"/>
      <c r="AL77" s="6"/>
      <c r="AM77" s="6"/>
      <c r="AN77" s="6"/>
      <c r="AO77" s="6"/>
      <c r="AP77" s="7">
        <f>ROUND(6,2)</f>
        <v>6</v>
      </c>
      <c r="AQ77" s="6"/>
      <c r="AR77" s="6"/>
      <c r="AS77" s="6"/>
      <c r="AT77" s="6"/>
      <c r="AU77" s="7">
        <f>ROUND(68,2)</f>
        <v>68</v>
      </c>
      <c r="AV77" s="6"/>
      <c r="AW77" s="7">
        <f>ROUND(27.67,2)</f>
        <v>27.67</v>
      </c>
      <c r="AX77" s="7">
        <f>ROUND(4.33,2)</f>
        <v>4.33</v>
      </c>
      <c r="AY77" s="7">
        <f>ROUND(120,2)</f>
        <v>120</v>
      </c>
      <c r="AZ77" s="6"/>
      <c r="BA77" s="6"/>
      <c r="BB77" s="7">
        <f>ROUND(24,2)</f>
        <v>24</v>
      </c>
      <c r="BC77" s="6"/>
      <c r="BD77" s="7">
        <f>ROUND(8,2)</f>
        <v>8</v>
      </c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7">
        <f>ROUND(145.26,2)</f>
        <v>145.26</v>
      </c>
      <c r="BP77" s="7">
        <f>ROUND(10.16,2)</f>
        <v>10.16</v>
      </c>
      <c r="BQ77" s="6"/>
      <c r="BR77" s="6"/>
      <c r="BS77" s="6"/>
      <c r="BT77" s="7">
        <f>ROUND(0.13,2)</f>
        <v>0.13</v>
      </c>
      <c r="BU77" s="6"/>
      <c r="BV77" s="6"/>
      <c r="BW77" s="6"/>
      <c r="BX77" s="6"/>
      <c r="BY77" s="6"/>
      <c r="BZ77" s="6"/>
      <c r="CA77" s="7">
        <f>ROUND(8,2)</f>
        <v>8</v>
      </c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7">
        <f>ROUND(2659.48999999999,2)</f>
        <v>2659.49</v>
      </c>
      <c r="CR77" s="6"/>
      <c r="CS77" s="6"/>
      <c r="CT77" s="6"/>
      <c r="CU77" s="6"/>
      <c r="CV77" s="7">
        <f>ROUND(55823.2299999999,2)</f>
        <v>55823.23</v>
      </c>
      <c r="CW77" s="6"/>
      <c r="CX77" s="6"/>
      <c r="CY77" s="7">
        <f>ROUND(17472.6199999999,2)</f>
        <v>17472.62</v>
      </c>
      <c r="CZ77" s="6"/>
      <c r="DA77" s="6"/>
      <c r="DB77" s="6"/>
      <c r="DC77" s="6"/>
      <c r="DD77" s="6"/>
      <c r="DE77" s="6"/>
      <c r="DF77" s="7">
        <f>ROUND(10.59,2)</f>
        <v>10.59</v>
      </c>
      <c r="DG77" s="6"/>
      <c r="DH77" s="6"/>
      <c r="DI77" s="6"/>
      <c r="DJ77" s="6"/>
      <c r="DK77" s="6"/>
      <c r="DL77" s="6"/>
      <c r="DM77" s="6"/>
      <c r="DN77" s="7">
        <f>ROUND(1467.85,2)</f>
        <v>1467.85</v>
      </c>
      <c r="DO77" s="6"/>
      <c r="DP77" s="7">
        <f>ROUND(6001.91,2)</f>
        <v>6001.91</v>
      </c>
      <c r="DQ77" s="6"/>
      <c r="DR77" s="6"/>
      <c r="DS77" s="6"/>
      <c r="DT77" s="6"/>
      <c r="DU77" s="6"/>
      <c r="DV77" s="6"/>
      <c r="DW77" s="6"/>
      <c r="DX77" s="6"/>
      <c r="DY77" s="7">
        <f>ROUND(192.54,2)</f>
        <v>192.54</v>
      </c>
      <c r="DZ77" s="6"/>
      <c r="EA77" s="6"/>
      <c r="EB77" s="6"/>
      <c r="EC77" s="6"/>
      <c r="ED77" s="7">
        <f>ROUND(2215.48,2)</f>
        <v>2215.48</v>
      </c>
      <c r="EE77" s="6"/>
      <c r="EF77" s="7">
        <f>ROUND(903.29,2)</f>
        <v>903.29</v>
      </c>
      <c r="EG77" s="7">
        <f>ROUND(208.42,2)</f>
        <v>208.42</v>
      </c>
      <c r="EH77" s="7">
        <f>ROUND(3927.6,2)</f>
        <v>3927.6</v>
      </c>
      <c r="EI77" s="6"/>
      <c r="EJ77" s="6"/>
      <c r="EK77" s="7">
        <f>ROUND(793.199999999999,2)</f>
        <v>793.2</v>
      </c>
      <c r="EL77" s="6"/>
      <c r="EM77" s="6"/>
      <c r="EN77" s="7">
        <f>ROUND(256.72,2)</f>
        <v>256.72000000000003</v>
      </c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7">
        <f>ROUND(4720.23,2)</f>
        <v>4720.2299999999996</v>
      </c>
      <c r="FC77" s="7">
        <f>ROUND(489.06,2)</f>
        <v>489.06</v>
      </c>
      <c r="FD77" s="6"/>
      <c r="FE77" s="6"/>
      <c r="FF77" s="6"/>
      <c r="FG77" s="6"/>
      <c r="FH77" s="6"/>
      <c r="FI77" s="6"/>
      <c r="FJ77" s="7">
        <f>ROUND(1150,2)</f>
        <v>1150</v>
      </c>
      <c r="FK77" s="6"/>
      <c r="FL77" s="6"/>
      <c r="FM77" s="6"/>
      <c r="FN77" s="6"/>
      <c r="FO77" s="6"/>
      <c r="FP77" s="6"/>
      <c r="FQ77" s="6"/>
      <c r="FR77" s="6"/>
      <c r="FS77" s="6"/>
      <c r="FT77" s="7">
        <f>ROUND(3000,2)</f>
        <v>3000</v>
      </c>
      <c r="FU77" s="6"/>
      <c r="FV77" s="6"/>
      <c r="FW77" s="6"/>
      <c r="FX77" s="6"/>
      <c r="FY77" s="7">
        <f>ROUND(98632.7399999999,2)</f>
        <v>98632.74</v>
      </c>
    </row>
    <row r="78" spans="1:181" x14ac:dyDescent="0.3">
      <c r="A78" s="4" t="s">
        <v>373</v>
      </c>
      <c r="B78" s="5" t="s">
        <v>1029</v>
      </c>
      <c r="C78" s="5" t="s">
        <v>181</v>
      </c>
      <c r="D78" s="5" t="s">
        <v>188</v>
      </c>
      <c r="E78" s="5" t="s">
        <v>374</v>
      </c>
      <c r="F78" s="5" t="s">
        <v>0</v>
      </c>
      <c r="G78" s="5" t="s">
        <v>183</v>
      </c>
      <c r="H78" s="8">
        <v>32.090000000000003</v>
      </c>
      <c r="I78" s="7">
        <f>ROUND(20871.17,2)</f>
        <v>20871.169999999998</v>
      </c>
      <c r="J78" s="6"/>
      <c r="K78" s="6"/>
      <c r="L78" s="6"/>
      <c r="M78" s="6"/>
      <c r="N78" s="7">
        <f>ROUND(246.53,2)</f>
        <v>246.53</v>
      </c>
      <c r="O78" s="6"/>
      <c r="P78" s="6"/>
      <c r="Q78" s="7">
        <f>ROUND(11.9199999999999,2)</f>
        <v>11.92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7">
        <f>ROUND(118.179999999999,2)</f>
        <v>118.18</v>
      </c>
      <c r="AF78" s="6"/>
      <c r="AG78" s="7">
        <f>ROUND(8.4,2)</f>
        <v>8.4</v>
      </c>
      <c r="AH78" s="6"/>
      <c r="AI78" s="6"/>
      <c r="AJ78" s="6"/>
      <c r="AK78" s="6"/>
      <c r="AL78" s="6"/>
      <c r="AM78" s="6"/>
      <c r="AN78" s="6"/>
      <c r="AO78" s="6"/>
      <c r="AP78" s="7">
        <f>ROUND(163.48,2)</f>
        <v>163.47999999999999</v>
      </c>
      <c r="AQ78" s="6"/>
      <c r="AR78" s="6"/>
      <c r="AS78" s="6"/>
      <c r="AT78" s="6"/>
      <c r="AU78" s="7">
        <f>ROUND(32,2)</f>
        <v>32</v>
      </c>
      <c r="AV78" s="6"/>
      <c r="AW78" s="7">
        <f>ROUND(16.18,2)</f>
        <v>16.18</v>
      </c>
      <c r="AX78" s="7">
        <f>ROUND(1.82,2)</f>
        <v>1.82</v>
      </c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7">
        <f>ROUND(40,2)</f>
        <v>40</v>
      </c>
      <c r="BT78" s="7">
        <f>ROUND(8.25,2)</f>
        <v>8.25</v>
      </c>
      <c r="BU78" s="7">
        <f>ROUND(44.33,2)</f>
        <v>44.33</v>
      </c>
      <c r="BV78" s="6"/>
      <c r="BW78" s="6"/>
      <c r="BX78" s="6"/>
      <c r="BY78" s="7">
        <f>ROUND(16,2)</f>
        <v>16</v>
      </c>
      <c r="BZ78" s="7">
        <f>ROUND(32,2)</f>
        <v>32</v>
      </c>
      <c r="CA78" s="7">
        <f>ROUND(24,2)</f>
        <v>24</v>
      </c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7">
        <f>ROUND(40,2)</f>
        <v>40</v>
      </c>
      <c r="CQ78" s="7">
        <f>ROUND(803.089999999999,2)</f>
        <v>803.09</v>
      </c>
      <c r="CR78" s="6"/>
      <c r="CS78" s="6"/>
      <c r="CT78" s="6"/>
      <c r="CU78" s="6"/>
      <c r="CV78" s="7">
        <f>ROUND(7922.66,2)</f>
        <v>7922.66</v>
      </c>
      <c r="CW78" s="6"/>
      <c r="CX78" s="6"/>
      <c r="CY78" s="7">
        <f>ROUND(574.52,2)</f>
        <v>574.52</v>
      </c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7">
        <f>ROUND(3799.25999999999,2)</f>
        <v>3799.26</v>
      </c>
      <c r="DO78" s="6"/>
      <c r="DP78" s="7">
        <f>ROUND(404.33,2)</f>
        <v>404.33</v>
      </c>
      <c r="DQ78" s="6"/>
      <c r="DR78" s="6"/>
      <c r="DS78" s="6"/>
      <c r="DT78" s="6"/>
      <c r="DU78" s="6"/>
      <c r="DV78" s="6"/>
      <c r="DW78" s="6"/>
      <c r="DX78" s="6"/>
      <c r="DY78" s="7">
        <f>ROUND(5253.08999999999,2)</f>
        <v>5253.09</v>
      </c>
      <c r="DZ78" s="6"/>
      <c r="EA78" s="6"/>
      <c r="EB78" s="6"/>
      <c r="EC78" s="6"/>
      <c r="ED78" s="7">
        <f>ROUND(1026.88,2)</f>
        <v>1026.8800000000001</v>
      </c>
      <c r="EE78" s="6"/>
      <c r="EF78" s="7">
        <f>ROUND(519.22,2)</f>
        <v>519.22</v>
      </c>
      <c r="EG78" s="7">
        <f>ROUND(87.61,2)</f>
        <v>87.61</v>
      </c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7">
        <f>ROUND(1283.6,2)</f>
        <v>1283.5999999999999</v>
      </c>
      <c r="FY78" s="7">
        <f>ROUND(20871.17,2)</f>
        <v>20871.169999999998</v>
      </c>
    </row>
    <row r="79" spans="1:181" x14ac:dyDescent="0.3">
      <c r="A79" s="4" t="s">
        <v>375</v>
      </c>
      <c r="B79" s="5" t="s">
        <v>1029</v>
      </c>
      <c r="C79" s="5" t="s">
        <v>181</v>
      </c>
      <c r="D79" s="5" t="s">
        <v>254</v>
      </c>
      <c r="E79" s="5" t="s">
        <v>0</v>
      </c>
      <c r="F79" s="5" t="s">
        <v>0</v>
      </c>
      <c r="G79" s="5" t="s">
        <v>183</v>
      </c>
      <c r="H79" s="9">
        <v>30.04</v>
      </c>
      <c r="I79" s="7">
        <f>ROUND(40863.4599999999,2)</f>
        <v>40863.46</v>
      </c>
      <c r="J79" s="6"/>
      <c r="K79" s="6"/>
      <c r="L79" s="6"/>
      <c r="M79" s="6"/>
      <c r="N79" s="7">
        <f>ROUND(1294.92999999999,2)</f>
        <v>1294.93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7">
        <f>ROUND(54.95,2)</f>
        <v>54.95</v>
      </c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7">
        <f>ROUND(40,2)</f>
        <v>40</v>
      </c>
      <c r="AV79" s="6"/>
      <c r="AW79" s="7">
        <f>ROUND(5,2)</f>
        <v>5</v>
      </c>
      <c r="AX79" s="6"/>
      <c r="AY79" s="7">
        <f>ROUND(5,2)</f>
        <v>5</v>
      </c>
      <c r="AZ79" s="6"/>
      <c r="BA79" s="6"/>
      <c r="BB79" s="7">
        <f>ROUND(10,2)</f>
        <v>10</v>
      </c>
      <c r="BC79" s="6"/>
      <c r="BD79" s="7">
        <f>ROUND(8,2)</f>
        <v>8</v>
      </c>
      <c r="BE79" s="7">
        <f>ROUND(3.02,2)</f>
        <v>3.02</v>
      </c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7">
        <f>ROUND(15,2)</f>
        <v>15</v>
      </c>
      <c r="BT79" s="6"/>
      <c r="BU79" s="6"/>
      <c r="BV79" s="6"/>
      <c r="BW79" s="6"/>
      <c r="BX79" s="6"/>
      <c r="BY79" s="7">
        <f>ROUND(5,2)</f>
        <v>5</v>
      </c>
      <c r="BZ79" s="6"/>
      <c r="CA79" s="7">
        <f>ROUND(59.03,2)</f>
        <v>59.03</v>
      </c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7">
        <f>ROUND(1499.93,2)</f>
        <v>1499.93</v>
      </c>
      <c r="CR79" s="6"/>
      <c r="CS79" s="6"/>
      <c r="CT79" s="6"/>
      <c r="CU79" s="6"/>
      <c r="CV79" s="7">
        <f>ROUND(35475.46,2)</f>
        <v>35475.46</v>
      </c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7">
        <f>ROUND(1636.51,2)</f>
        <v>1636.51</v>
      </c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7">
        <f>ROUND(1068.5,2)</f>
        <v>1068.5</v>
      </c>
      <c r="EE79" s="6"/>
      <c r="EF79" s="7">
        <f>ROUND(148.75,2)</f>
        <v>148.75</v>
      </c>
      <c r="EG79" s="6"/>
      <c r="EH79" s="7">
        <f>ROUND(136.4,2)</f>
        <v>136.4</v>
      </c>
      <c r="EI79" s="6"/>
      <c r="EJ79" s="6"/>
      <c r="EK79" s="7">
        <f>ROUND(264.75,2)</f>
        <v>264.75</v>
      </c>
      <c r="EL79" s="6"/>
      <c r="EM79" s="6"/>
      <c r="EN79" s="7">
        <f>ROUND(218.24,2)</f>
        <v>218.24</v>
      </c>
      <c r="EO79" s="7">
        <f>ROUND(89.85,2)</f>
        <v>89.85</v>
      </c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7">
        <f>ROUND(325,2)</f>
        <v>325</v>
      </c>
      <c r="FK79" s="6"/>
      <c r="FL79" s="6"/>
      <c r="FM79" s="6"/>
      <c r="FN79" s="6"/>
      <c r="FO79" s="6"/>
      <c r="FP79" s="6"/>
      <c r="FQ79" s="6"/>
      <c r="FR79" s="6"/>
      <c r="FS79" s="6"/>
      <c r="FT79" s="7">
        <f>ROUND(1500,2)</f>
        <v>1500</v>
      </c>
      <c r="FU79" s="6"/>
      <c r="FV79" s="6"/>
      <c r="FW79" s="6"/>
      <c r="FX79" s="6"/>
      <c r="FY79" s="7">
        <f>ROUND(40863.4599999999,2)</f>
        <v>40863.46</v>
      </c>
    </row>
    <row r="80" spans="1:181" x14ac:dyDescent="0.3">
      <c r="A80" s="4" t="s">
        <v>376</v>
      </c>
      <c r="B80" s="5" t="s">
        <v>1029</v>
      </c>
      <c r="C80" s="5" t="s">
        <v>181</v>
      </c>
      <c r="D80" s="5" t="s">
        <v>377</v>
      </c>
      <c r="E80" s="5" t="s">
        <v>378</v>
      </c>
      <c r="F80" s="5" t="s">
        <v>0</v>
      </c>
      <c r="G80" s="5" t="s">
        <v>183</v>
      </c>
      <c r="H80" s="9">
        <v>17.5</v>
      </c>
      <c r="I80" s="7">
        <f>ROUND(7690.29,2)</f>
        <v>7690.29</v>
      </c>
      <c r="J80" s="6"/>
      <c r="K80" s="6"/>
      <c r="L80" s="6"/>
      <c r="M80" s="6"/>
      <c r="N80" s="7">
        <f>ROUND(25.43,2)</f>
        <v>25.43</v>
      </c>
      <c r="O80" s="6"/>
      <c r="P80" s="6"/>
      <c r="Q80" s="7">
        <f>ROUND(10.05,2)</f>
        <v>10.050000000000001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7">
        <f>ROUND(384.17,2)</f>
        <v>384.17</v>
      </c>
      <c r="BE80" s="6"/>
      <c r="BF80" s="7">
        <f>ROUND(5.47,2)</f>
        <v>5.47</v>
      </c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7">
        <f>ROUND(8.33,2)</f>
        <v>8.33</v>
      </c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7">
        <f>ROUND(433.45,2)</f>
        <v>433.45</v>
      </c>
      <c r="CR80" s="6"/>
      <c r="CS80" s="6"/>
      <c r="CT80" s="6"/>
      <c r="CU80" s="6"/>
      <c r="CV80" s="7">
        <f>ROUND(445.03,2)</f>
        <v>445.03</v>
      </c>
      <c r="CW80" s="6"/>
      <c r="CX80" s="6"/>
      <c r="CY80" s="7">
        <f>ROUND(263.81,2)</f>
        <v>263.81</v>
      </c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7">
        <f>ROUND(6837.86,2)</f>
        <v>6837.86</v>
      </c>
      <c r="EO80" s="6"/>
      <c r="EP80" s="7">
        <f>ROUND(143.59,2)</f>
        <v>143.59</v>
      </c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7">
        <f>ROUND(7690.29,2)</f>
        <v>7690.29</v>
      </c>
    </row>
    <row r="81" spans="1:181" x14ac:dyDescent="0.3">
      <c r="A81" s="4" t="s">
        <v>379</v>
      </c>
      <c r="B81" s="5" t="s">
        <v>1029</v>
      </c>
      <c r="C81" s="5" t="s">
        <v>181</v>
      </c>
      <c r="D81" s="5" t="s">
        <v>344</v>
      </c>
      <c r="E81" s="5" t="s">
        <v>0</v>
      </c>
      <c r="F81" s="5" t="s">
        <v>0</v>
      </c>
      <c r="G81" s="5" t="s">
        <v>183</v>
      </c>
      <c r="H81" s="8">
        <v>33.380000000000003</v>
      </c>
      <c r="I81" s="7">
        <f>ROUND(88832.05,2)</f>
        <v>88832.05</v>
      </c>
      <c r="J81" s="6"/>
      <c r="K81" s="6"/>
      <c r="L81" s="6"/>
      <c r="M81" s="6"/>
      <c r="N81" s="7">
        <f>ROUND(1736.65,2)</f>
        <v>1736.65</v>
      </c>
      <c r="O81" s="6"/>
      <c r="P81" s="6"/>
      <c r="Q81" s="7">
        <f>ROUND(276.239999999999,2)</f>
        <v>276.24</v>
      </c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7">
        <f>ROUND(42,2)</f>
        <v>42</v>
      </c>
      <c r="AF81" s="6"/>
      <c r="AG81" s="7">
        <f>ROUND(22.64,2)</f>
        <v>22.64</v>
      </c>
      <c r="AH81" s="6"/>
      <c r="AI81" s="6"/>
      <c r="AJ81" s="6"/>
      <c r="AK81" s="6"/>
      <c r="AL81" s="6"/>
      <c r="AM81" s="6"/>
      <c r="AN81" s="6"/>
      <c r="AO81" s="6"/>
      <c r="AP81" s="7">
        <f>ROUND(57.68,2)</f>
        <v>57.68</v>
      </c>
      <c r="AQ81" s="6"/>
      <c r="AR81" s="7">
        <f>ROUND(8.34,2)</f>
        <v>8.34</v>
      </c>
      <c r="AS81" s="6"/>
      <c r="AT81" s="6"/>
      <c r="AU81" s="7">
        <f>ROUND(68,2)</f>
        <v>68</v>
      </c>
      <c r="AV81" s="6"/>
      <c r="AW81" s="7">
        <f>ROUND(24,2)</f>
        <v>24</v>
      </c>
      <c r="AX81" s="6"/>
      <c r="AY81" s="7">
        <f>ROUND(39.07,2)</f>
        <v>39.07</v>
      </c>
      <c r="AZ81" s="7">
        <f>ROUND(0.93,2)</f>
        <v>0.93</v>
      </c>
      <c r="BA81" s="6"/>
      <c r="BB81" s="6"/>
      <c r="BC81" s="6"/>
      <c r="BD81" s="7">
        <f>ROUND(8,2)</f>
        <v>8</v>
      </c>
      <c r="BE81" s="7">
        <f>ROUND(2,2)</f>
        <v>2</v>
      </c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7">
        <f>ROUND(154.59,2)</f>
        <v>154.59</v>
      </c>
      <c r="BR81" s="7">
        <f>ROUND(8.24,2)</f>
        <v>8.24</v>
      </c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7">
        <f>ROUND(2448.38,2)</f>
        <v>2448.38</v>
      </c>
      <c r="CR81" s="6"/>
      <c r="CS81" s="6"/>
      <c r="CT81" s="6"/>
      <c r="CU81" s="6"/>
      <c r="CV81" s="7">
        <f>ROUND(56044.5999999999,2)</f>
        <v>56044.6</v>
      </c>
      <c r="CW81" s="6"/>
      <c r="CX81" s="6"/>
      <c r="CY81" s="7">
        <f>ROUND(13310.6099999999,2)</f>
        <v>13310.61</v>
      </c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7">
        <f>ROUND(1280.58,2)</f>
        <v>1280.58</v>
      </c>
      <c r="DO81" s="6"/>
      <c r="DP81" s="7">
        <f>ROUND(1035.44,2)</f>
        <v>1035.44</v>
      </c>
      <c r="DQ81" s="6"/>
      <c r="DR81" s="6"/>
      <c r="DS81" s="6"/>
      <c r="DT81" s="6"/>
      <c r="DU81" s="6"/>
      <c r="DV81" s="6"/>
      <c r="DW81" s="6"/>
      <c r="DX81" s="6"/>
      <c r="DY81" s="7">
        <f>ROUND(1762.49,2)</f>
        <v>1762.49</v>
      </c>
      <c r="DZ81" s="6"/>
      <c r="EA81" s="7">
        <f>ROUND(382.699999999999,2)</f>
        <v>382.7</v>
      </c>
      <c r="EB81" s="6"/>
      <c r="EC81" s="6"/>
      <c r="ED81" s="7">
        <f>ROUND(2189.88,2)</f>
        <v>2189.88</v>
      </c>
      <c r="EE81" s="6"/>
      <c r="EF81" s="7">
        <f>ROUND(785.52,2)</f>
        <v>785.52</v>
      </c>
      <c r="EG81" s="6"/>
      <c r="EH81" s="7">
        <f>ROUND(1304.15999999999,2)</f>
        <v>1304.1600000000001</v>
      </c>
      <c r="EI81" s="7">
        <f>ROUND(46.57,2)</f>
        <v>46.57</v>
      </c>
      <c r="EJ81" s="6"/>
      <c r="EK81" s="6"/>
      <c r="EL81" s="6"/>
      <c r="EM81" s="6"/>
      <c r="EN81" s="7">
        <f>ROUND(256.72,2)</f>
        <v>256.72000000000003</v>
      </c>
      <c r="EO81" s="7">
        <f>ROUND(64.18,2)</f>
        <v>64.180000000000007</v>
      </c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7">
        <f>ROUND(4991.73999999999,2)</f>
        <v>4991.74</v>
      </c>
      <c r="FE81" s="7">
        <f>ROUND(376.86,2)</f>
        <v>376.86</v>
      </c>
      <c r="FF81" s="6"/>
      <c r="FG81" s="6"/>
      <c r="FH81" s="6"/>
      <c r="FI81" s="6"/>
      <c r="FJ81" s="7">
        <f>ROUND(2000,2)</f>
        <v>2000</v>
      </c>
      <c r="FK81" s="6"/>
      <c r="FL81" s="6"/>
      <c r="FM81" s="6"/>
      <c r="FN81" s="6"/>
      <c r="FO81" s="6"/>
      <c r="FP81" s="6"/>
      <c r="FQ81" s="6"/>
      <c r="FR81" s="6"/>
      <c r="FS81" s="6"/>
      <c r="FT81" s="7">
        <f>ROUND(3000,2)</f>
        <v>3000</v>
      </c>
      <c r="FU81" s="6"/>
      <c r="FV81" s="6"/>
      <c r="FW81" s="6"/>
      <c r="FX81" s="6"/>
      <c r="FY81" s="7">
        <f>ROUND(88832.05,2)</f>
        <v>88832.05</v>
      </c>
    </row>
    <row r="82" spans="1:181" ht="26.4" x14ac:dyDescent="0.3">
      <c r="A82" s="4" t="s">
        <v>380</v>
      </c>
      <c r="B82" s="5"/>
      <c r="C82" s="5" t="s">
        <v>201</v>
      </c>
      <c r="D82" s="5" t="s">
        <v>381</v>
      </c>
      <c r="E82" s="5" t="s">
        <v>382</v>
      </c>
      <c r="F82" s="5" t="s">
        <v>0</v>
      </c>
      <c r="G82" s="5" t="s">
        <v>203</v>
      </c>
      <c r="H82" s="8">
        <f>ROUND(20.2601,2)</f>
        <v>20.260000000000002</v>
      </c>
      <c r="I82" s="7">
        <f>ROUND(11269.63,2)</f>
        <v>11269.63</v>
      </c>
      <c r="J82" s="7">
        <f>ROUND(313.5,2)</f>
        <v>313.5</v>
      </c>
      <c r="K82" s="7">
        <f>ROUND(36.5,2)</f>
        <v>36.5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7">
        <f>ROUND(16,2)</f>
        <v>16</v>
      </c>
      <c r="CI82" s="7">
        <f>ROUND(64,2)</f>
        <v>64</v>
      </c>
      <c r="CJ82" s="6"/>
      <c r="CK82" s="6"/>
      <c r="CL82" s="7">
        <f>ROUND(28,2)</f>
        <v>28</v>
      </c>
      <c r="CM82" s="6"/>
      <c r="CN82" s="7">
        <f>ROUND(32,2)</f>
        <v>32</v>
      </c>
      <c r="CO82" s="6"/>
      <c r="CP82" s="7">
        <f>ROUND(48,2)</f>
        <v>48</v>
      </c>
      <c r="CQ82" s="7">
        <f>ROUND(538,2)</f>
        <v>538</v>
      </c>
      <c r="CR82" s="7">
        <f>ROUND(6351.50999999999,2)</f>
        <v>6351.51</v>
      </c>
      <c r="CS82" s="7">
        <f>ROUND(1109.24,2)</f>
        <v>1109.24</v>
      </c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7">
        <f>ROUND(324.16,2)</f>
        <v>324.16000000000003</v>
      </c>
      <c r="FO82" s="7">
        <f>ROUND(1296.64,2)</f>
        <v>1296.6400000000001</v>
      </c>
      <c r="FP82" s="6"/>
      <c r="FQ82" s="6"/>
      <c r="FR82" s="6"/>
      <c r="FS82" s="7">
        <f>ROUND(567.28,2)</f>
        <v>567.28</v>
      </c>
      <c r="FT82" s="6"/>
      <c r="FU82" s="6"/>
      <c r="FV82" s="7">
        <f>ROUND(648.32,2)</f>
        <v>648.32000000000005</v>
      </c>
      <c r="FW82" s="6"/>
      <c r="FX82" s="7">
        <f>ROUND(972.48,2)</f>
        <v>972.48</v>
      </c>
      <c r="FY82" s="7">
        <f>ROUND(11269.63,2)</f>
        <v>11269.63</v>
      </c>
    </row>
    <row r="83" spans="1:181" ht="26.4" x14ac:dyDescent="0.3">
      <c r="A83" s="4" t="s">
        <v>383</v>
      </c>
      <c r="B83" s="5"/>
      <c r="C83" s="5" t="s">
        <v>294</v>
      </c>
      <c r="D83" s="5" t="s">
        <v>384</v>
      </c>
      <c r="E83" s="5" t="s">
        <v>0</v>
      </c>
      <c r="F83" s="5" t="s">
        <v>0</v>
      </c>
      <c r="G83" s="5" t="s">
        <v>315</v>
      </c>
      <c r="H83" s="8">
        <f>ROUND(1366.92,2)</f>
        <v>1366.92</v>
      </c>
      <c r="I83" s="7">
        <f>ROUND(76235.3999999999,2)</f>
        <v>76235.399999999994</v>
      </c>
      <c r="J83" s="7">
        <f>ROUND(1672,2)</f>
        <v>1672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7">
        <f>ROUND(-8,2)</f>
        <v>-8</v>
      </c>
      <c r="AC83" s="7">
        <f>ROUND(2,2)</f>
        <v>2</v>
      </c>
      <c r="AD83" s="7">
        <f>ROUND(3,2)</f>
        <v>3</v>
      </c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7">
        <f>ROUND(56,2)</f>
        <v>56</v>
      </c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7">
        <f>ROUND(24,2)</f>
        <v>24</v>
      </c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7">
        <f>ROUND(64,2)</f>
        <v>64</v>
      </c>
      <c r="CI83" s="7">
        <f>ROUND(32,2)</f>
        <v>32</v>
      </c>
      <c r="CJ83" s="6"/>
      <c r="CK83" s="6"/>
      <c r="CL83" s="6"/>
      <c r="CM83" s="6"/>
      <c r="CN83" s="7">
        <f>ROUND(96,2)</f>
        <v>96</v>
      </c>
      <c r="CO83" s="6"/>
      <c r="CP83" s="6"/>
      <c r="CQ83" s="7">
        <f>ROUND(1941,2)</f>
        <v>1941</v>
      </c>
      <c r="CR83" s="7">
        <f>ROUND(69439.4999999999,2)</f>
        <v>69439.5</v>
      </c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>
        <f>ROUND(-273.38,2)</f>
        <v>-273.38</v>
      </c>
      <c r="DL83" s="7">
        <f>ROUND(750,2)</f>
        <v>750</v>
      </c>
      <c r="DM83" s="7">
        <f>ROUND(1125,2)</f>
        <v>1125</v>
      </c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7">
        <f>ROUND(273.38,2)</f>
        <v>273.38</v>
      </c>
      <c r="FH83" s="6"/>
      <c r="FI83" s="6"/>
      <c r="FJ83" s="7">
        <f>ROUND(2733.84,2)</f>
        <v>2733.84</v>
      </c>
      <c r="FK83" s="6"/>
      <c r="FL83" s="6"/>
      <c r="FM83" s="6"/>
      <c r="FN83" s="7">
        <f>ROUND(820.14,2)</f>
        <v>820.14</v>
      </c>
      <c r="FO83" s="6"/>
      <c r="FP83" s="6"/>
      <c r="FQ83" s="6"/>
      <c r="FR83" s="6"/>
      <c r="FS83" s="6"/>
      <c r="FT83" s="6"/>
      <c r="FU83" s="6"/>
      <c r="FV83" s="7">
        <f>ROUND(1366.92,2)</f>
        <v>1366.92</v>
      </c>
      <c r="FW83" s="6"/>
      <c r="FX83" s="6"/>
      <c r="FY83" s="7">
        <f>ROUND(76235.3999999999,2)</f>
        <v>76235.399999999994</v>
      </c>
    </row>
    <row r="84" spans="1:181" x14ac:dyDescent="0.3">
      <c r="A84" s="4" t="s">
        <v>385</v>
      </c>
      <c r="B84" s="5" t="s">
        <v>1029</v>
      </c>
      <c r="C84" s="5" t="s">
        <v>181</v>
      </c>
      <c r="D84" s="5" t="s">
        <v>234</v>
      </c>
      <c r="E84" s="5" t="s">
        <v>0</v>
      </c>
      <c r="F84" s="5" t="s">
        <v>0</v>
      </c>
      <c r="G84" s="5" t="s">
        <v>183</v>
      </c>
      <c r="H84" s="8">
        <v>33.380000000000003</v>
      </c>
      <c r="I84" s="7">
        <f>ROUND(77767.5699999999,2)</f>
        <v>77767.570000000007</v>
      </c>
      <c r="J84" s="6"/>
      <c r="K84" s="6"/>
      <c r="L84" s="6"/>
      <c r="M84" s="6"/>
      <c r="N84" s="7">
        <f>ROUND(1381.38999999999,2)</f>
        <v>1381.39</v>
      </c>
      <c r="O84" s="6"/>
      <c r="P84" s="6"/>
      <c r="Q84" s="7">
        <f>ROUND(126.13,2)</f>
        <v>126.13</v>
      </c>
      <c r="R84" s="6"/>
      <c r="S84" s="6"/>
      <c r="T84" s="6"/>
      <c r="U84" s="6"/>
      <c r="V84" s="7">
        <f>ROUND(10.32,2)</f>
        <v>10.32</v>
      </c>
      <c r="W84" s="7">
        <f>ROUND(7.65,2)</f>
        <v>7.65</v>
      </c>
      <c r="X84" s="7">
        <f>ROUND(0.61,2)</f>
        <v>0.61</v>
      </c>
      <c r="Y84" s="7">
        <f>ROUND(0.35,2)</f>
        <v>0.35</v>
      </c>
      <c r="Z84" s="6"/>
      <c r="AA84" s="6"/>
      <c r="AB84" s="6"/>
      <c r="AC84" s="6"/>
      <c r="AD84" s="6"/>
      <c r="AE84" s="7">
        <f>ROUND(88.34,2)</f>
        <v>88.34</v>
      </c>
      <c r="AF84" s="6"/>
      <c r="AG84" s="7">
        <f>ROUND(19.83,2)</f>
        <v>19.829999999999998</v>
      </c>
      <c r="AH84" s="6"/>
      <c r="AI84" s="6"/>
      <c r="AJ84" s="6"/>
      <c r="AK84" s="6"/>
      <c r="AL84" s="6"/>
      <c r="AM84" s="6"/>
      <c r="AN84" s="6"/>
      <c r="AO84" s="6"/>
      <c r="AP84" s="7">
        <f>ROUND(108.97,2)</f>
        <v>108.97</v>
      </c>
      <c r="AQ84" s="6"/>
      <c r="AR84" s="7">
        <f>ROUND(4.5,2)</f>
        <v>4.5</v>
      </c>
      <c r="AS84" s="6"/>
      <c r="AT84" s="6"/>
      <c r="AU84" s="7">
        <f>ROUND(56,2)</f>
        <v>56</v>
      </c>
      <c r="AV84" s="6"/>
      <c r="AW84" s="7">
        <f>ROUND(36.5,2)</f>
        <v>36.5</v>
      </c>
      <c r="AX84" s="7">
        <f>ROUND(1.5,2)</f>
        <v>1.5</v>
      </c>
      <c r="AY84" s="7">
        <f>ROUND(39.22,2)</f>
        <v>39.22</v>
      </c>
      <c r="AZ84" s="7">
        <f>ROUND(0.78,2)</f>
        <v>0.78</v>
      </c>
      <c r="BA84" s="6"/>
      <c r="BB84" s="6"/>
      <c r="BC84" s="6"/>
      <c r="BD84" s="7">
        <f>ROUND(8,2)</f>
        <v>8</v>
      </c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7">
        <f>ROUND(202,2)</f>
        <v>202</v>
      </c>
      <c r="BR84" s="6"/>
      <c r="BS84" s="7">
        <f>ROUND(16,2)</f>
        <v>16</v>
      </c>
      <c r="BT84" s="6"/>
      <c r="BU84" s="7">
        <f>ROUND(144,2)</f>
        <v>144</v>
      </c>
      <c r="BV84" s="6"/>
      <c r="BW84" s="7">
        <f>ROUND(8,2)</f>
        <v>8</v>
      </c>
      <c r="BX84" s="6"/>
      <c r="BY84" s="7">
        <f>ROUND(24,2)</f>
        <v>24</v>
      </c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7">
        <f>ROUND(2284.09,2)</f>
        <v>2284.09</v>
      </c>
      <c r="CR84" s="6"/>
      <c r="CS84" s="6"/>
      <c r="CT84" s="6"/>
      <c r="CU84" s="6"/>
      <c r="CV84" s="7">
        <f>ROUND(45097.0999999999,2)</f>
        <v>45097.1</v>
      </c>
      <c r="CW84" s="6"/>
      <c r="CX84" s="6"/>
      <c r="CY84" s="7">
        <f>ROUND(6155.44999999999,2)</f>
        <v>6155.45</v>
      </c>
      <c r="CZ84" s="6"/>
      <c r="DA84" s="6"/>
      <c r="DB84" s="6"/>
      <c r="DC84" s="6"/>
      <c r="DD84" s="7">
        <f>ROUND(333.05,2)</f>
        <v>333.05</v>
      </c>
      <c r="DE84" s="7">
        <f>ROUND(380.97,2)</f>
        <v>380.97</v>
      </c>
      <c r="DF84" s="7">
        <f>ROUND(19.57,2)</f>
        <v>19.57</v>
      </c>
      <c r="DG84" s="7">
        <f>ROUND(17.35,2)</f>
        <v>17.350000000000001</v>
      </c>
      <c r="DH84" s="6"/>
      <c r="DI84" s="6"/>
      <c r="DJ84" s="6"/>
      <c r="DK84" s="6"/>
      <c r="DL84" s="6"/>
      <c r="DM84" s="6"/>
      <c r="DN84" s="7">
        <f>ROUND(2875.15,2)</f>
        <v>2875.15</v>
      </c>
      <c r="DO84" s="6"/>
      <c r="DP84" s="7">
        <f>ROUND(959.39,2)</f>
        <v>959.39</v>
      </c>
      <c r="DQ84" s="6"/>
      <c r="DR84" s="6"/>
      <c r="DS84" s="6"/>
      <c r="DT84" s="6"/>
      <c r="DU84" s="6"/>
      <c r="DV84" s="6"/>
      <c r="DW84" s="6"/>
      <c r="DX84" s="6"/>
      <c r="DY84" s="7">
        <f>ROUND(3601.46,2)</f>
        <v>3601.46</v>
      </c>
      <c r="DZ84" s="6"/>
      <c r="EA84" s="7">
        <f>ROUND(223.09,2)</f>
        <v>223.09</v>
      </c>
      <c r="EB84" s="6"/>
      <c r="EC84" s="6"/>
      <c r="ED84" s="7">
        <f>ROUND(1830.4,2)</f>
        <v>1830.4</v>
      </c>
      <c r="EE84" s="6"/>
      <c r="EF84" s="7">
        <f>ROUND(1206.33,2)</f>
        <v>1206.33</v>
      </c>
      <c r="EG84" s="7">
        <f>ROUND(74.36,2)</f>
        <v>74.36</v>
      </c>
      <c r="EH84" s="7">
        <f>ROUND(1258.57,2)</f>
        <v>1258.57</v>
      </c>
      <c r="EI84" s="7">
        <f>ROUND(37.55,2)</f>
        <v>37.549999999999997</v>
      </c>
      <c r="EJ84" s="6"/>
      <c r="EK84" s="6"/>
      <c r="EL84" s="6"/>
      <c r="EM84" s="6"/>
      <c r="EN84" s="7">
        <f>ROUND(256.72,2)</f>
        <v>256.72000000000003</v>
      </c>
      <c r="EO84" s="6"/>
      <c r="EP84" s="6"/>
      <c r="EQ84" s="6"/>
      <c r="ER84" s="7">
        <f>ROUND(159,2)</f>
        <v>159</v>
      </c>
      <c r="ES84" s="6"/>
      <c r="ET84" s="6"/>
      <c r="EU84" s="6"/>
      <c r="EV84" s="7">
        <f>ROUND(500,2)</f>
        <v>500</v>
      </c>
      <c r="EW84" s="6"/>
      <c r="EX84" s="6"/>
      <c r="EY84" s="6"/>
      <c r="EZ84" s="6"/>
      <c r="FA84" s="6"/>
      <c r="FB84" s="6"/>
      <c r="FC84" s="6"/>
      <c r="FD84" s="7">
        <f>ROUND(6489.86,2)</f>
        <v>6489.86</v>
      </c>
      <c r="FE84" s="6"/>
      <c r="FF84" s="7">
        <f>ROUND(2567.2,2)</f>
        <v>2567.1999999999998</v>
      </c>
      <c r="FG84" s="6"/>
      <c r="FH84" s="6"/>
      <c r="FI84" s="6"/>
      <c r="FJ84" s="7">
        <f>ROUND(725,2)</f>
        <v>725</v>
      </c>
      <c r="FK84" s="6"/>
      <c r="FL84" s="6"/>
      <c r="FM84" s="6"/>
      <c r="FN84" s="6"/>
      <c r="FO84" s="6"/>
      <c r="FP84" s="6"/>
      <c r="FQ84" s="6"/>
      <c r="FR84" s="6"/>
      <c r="FS84" s="6"/>
      <c r="FT84" s="7">
        <f>ROUND(3000,2)</f>
        <v>3000</v>
      </c>
      <c r="FU84" s="6"/>
      <c r="FV84" s="6"/>
      <c r="FW84" s="6"/>
      <c r="FX84" s="6"/>
      <c r="FY84" s="7">
        <f>ROUND(77767.5699999999,2)</f>
        <v>77767.570000000007</v>
      </c>
    </row>
    <row r="85" spans="1:181" x14ac:dyDescent="0.3">
      <c r="A85" s="4" t="s">
        <v>386</v>
      </c>
      <c r="B85" s="5" t="s">
        <v>1029</v>
      </c>
      <c r="C85" s="5" t="s">
        <v>181</v>
      </c>
      <c r="D85" s="5" t="s">
        <v>387</v>
      </c>
      <c r="E85" s="5" t="s">
        <v>0</v>
      </c>
      <c r="F85" s="5" t="s">
        <v>0</v>
      </c>
      <c r="G85" s="5" t="s">
        <v>183</v>
      </c>
      <c r="H85" s="8">
        <v>33.380000000000003</v>
      </c>
      <c r="I85" s="7">
        <f>ROUND(83781.3199999999,2)</f>
        <v>83781.320000000007</v>
      </c>
      <c r="J85" s="6"/>
      <c r="K85" s="6"/>
      <c r="L85" s="6"/>
      <c r="M85" s="6"/>
      <c r="N85" s="7">
        <f>ROUND(1857.56999999999,2)</f>
        <v>1857.57</v>
      </c>
      <c r="O85" s="6"/>
      <c r="P85" s="6"/>
      <c r="Q85" s="7">
        <f>ROUND(208.229999999999,2)</f>
        <v>208.23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7">
        <f>ROUND(64.75,2)</f>
        <v>64.75</v>
      </c>
      <c r="AV85" s="7">
        <f>ROUND(3.25,2)</f>
        <v>3.25</v>
      </c>
      <c r="AW85" s="7">
        <f>ROUND(32,2)</f>
        <v>32</v>
      </c>
      <c r="AX85" s="6"/>
      <c r="AY85" s="7">
        <f>ROUND(108.75,2)</f>
        <v>108.75</v>
      </c>
      <c r="AZ85" s="7">
        <f>ROUND(3.25,2)</f>
        <v>3.25</v>
      </c>
      <c r="BA85" s="6"/>
      <c r="BB85" s="7">
        <f>ROUND(40,2)</f>
        <v>40</v>
      </c>
      <c r="BC85" s="6"/>
      <c r="BD85" s="7">
        <f>ROUND(4.75,2)</f>
        <v>4.75</v>
      </c>
      <c r="BE85" s="6"/>
      <c r="BF85" s="7">
        <f>ROUND(3.25,2)</f>
        <v>3.25</v>
      </c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7">
        <f>ROUND(24,2)</f>
        <v>24</v>
      </c>
      <c r="BT85" s="7">
        <f>ROUND(1.12,2)</f>
        <v>1.1200000000000001</v>
      </c>
      <c r="BU85" s="7">
        <f>ROUND(16,2)</f>
        <v>16</v>
      </c>
      <c r="BV85" s="6"/>
      <c r="BW85" s="6"/>
      <c r="BX85" s="6"/>
      <c r="BY85" s="6"/>
      <c r="BZ85" s="6"/>
      <c r="CA85" s="7">
        <f>ROUND(8,2)</f>
        <v>8</v>
      </c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7">
        <f>ROUND(8,2)</f>
        <v>8</v>
      </c>
      <c r="CQ85" s="7">
        <f>ROUND(2382.92,2)</f>
        <v>2382.92</v>
      </c>
      <c r="CR85" s="6"/>
      <c r="CS85" s="6"/>
      <c r="CT85" s="6"/>
      <c r="CU85" s="6"/>
      <c r="CV85" s="7">
        <f>ROUND(60504.9899999999,2)</f>
        <v>60504.99</v>
      </c>
      <c r="CW85" s="6"/>
      <c r="CX85" s="6"/>
      <c r="CY85" s="7">
        <f>ROUND(10169.58,2)</f>
        <v>10169.58</v>
      </c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7">
        <f>ROUND(2112.07,2)</f>
        <v>2112.0700000000002</v>
      </c>
      <c r="EE85" s="7">
        <f>ROUND(161.14,2)</f>
        <v>161.13999999999999</v>
      </c>
      <c r="EF85" s="7">
        <f>ROUND(1042.24,2)</f>
        <v>1042.24</v>
      </c>
      <c r="EG85" s="6"/>
      <c r="EH85" s="7">
        <f>ROUND(3581.95,2)</f>
        <v>3581.95</v>
      </c>
      <c r="EI85" s="7">
        <f>ROUND(156.44,2)</f>
        <v>156.44</v>
      </c>
      <c r="EJ85" s="6"/>
      <c r="EK85" s="7">
        <f>ROUND(1291.28,2)</f>
        <v>1291.28</v>
      </c>
      <c r="EL85" s="6"/>
      <c r="EM85" s="6"/>
      <c r="EN85" s="7">
        <f>ROUND(152.43,2)</f>
        <v>152.43</v>
      </c>
      <c r="EO85" s="6"/>
      <c r="EP85" s="7">
        <f>ROUND(156.44,2)</f>
        <v>156.44</v>
      </c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7">
        <f>ROUND(256.72,2)</f>
        <v>256.72000000000003</v>
      </c>
      <c r="FG85" s="6"/>
      <c r="FH85" s="6"/>
      <c r="FI85" s="6"/>
      <c r="FJ85" s="7">
        <f>ROUND(925,2)</f>
        <v>925</v>
      </c>
      <c r="FK85" s="6"/>
      <c r="FL85" s="6"/>
      <c r="FM85" s="6"/>
      <c r="FN85" s="6"/>
      <c r="FO85" s="6"/>
      <c r="FP85" s="6"/>
      <c r="FQ85" s="6"/>
      <c r="FR85" s="6"/>
      <c r="FS85" s="6"/>
      <c r="FT85" s="7">
        <f>ROUND(3000,2)</f>
        <v>3000</v>
      </c>
      <c r="FU85" s="6"/>
      <c r="FV85" s="6"/>
      <c r="FW85" s="6"/>
      <c r="FX85" s="7">
        <f>ROUND(271.04,2)</f>
        <v>271.04000000000002</v>
      </c>
      <c r="FY85" s="7">
        <f>ROUND(83781.3199999999,2)</f>
        <v>83781.320000000007</v>
      </c>
    </row>
    <row r="86" spans="1:181" x14ac:dyDescent="0.3">
      <c r="A86" s="4" t="s">
        <v>388</v>
      </c>
      <c r="B86" s="5" t="s">
        <v>1029</v>
      </c>
      <c r="C86" s="5" t="s">
        <v>181</v>
      </c>
      <c r="D86" s="5" t="s">
        <v>344</v>
      </c>
      <c r="E86" s="5" t="s">
        <v>0</v>
      </c>
      <c r="F86" s="5" t="s">
        <v>0</v>
      </c>
      <c r="G86" s="5" t="s">
        <v>183</v>
      </c>
      <c r="H86" s="8">
        <v>33.380000000000003</v>
      </c>
      <c r="I86" s="7">
        <f>ROUND(90265.3199999999,2)</f>
        <v>90265.32</v>
      </c>
      <c r="J86" s="6"/>
      <c r="K86" s="6"/>
      <c r="L86" s="6"/>
      <c r="M86" s="6"/>
      <c r="N86" s="7">
        <f>ROUND(1519.66999999999,2)</f>
        <v>1519.67</v>
      </c>
      <c r="O86" s="6"/>
      <c r="P86" s="6"/>
      <c r="Q86" s="7">
        <f>ROUND(236.06,2)</f>
        <v>236.06</v>
      </c>
      <c r="R86" s="6"/>
      <c r="S86" s="6"/>
      <c r="T86" s="6"/>
      <c r="U86" s="6"/>
      <c r="V86" s="7">
        <f>ROUND(4.47,2)</f>
        <v>4.47</v>
      </c>
      <c r="W86" s="7">
        <f>ROUND(0.7,2)</f>
        <v>0.7</v>
      </c>
      <c r="X86" s="7">
        <f>ROUND(1.09,2)</f>
        <v>1.0900000000000001</v>
      </c>
      <c r="Y86" s="7">
        <f>ROUND(0.2,2)</f>
        <v>0.2</v>
      </c>
      <c r="Z86" s="6"/>
      <c r="AA86" s="6"/>
      <c r="AB86" s="6"/>
      <c r="AC86" s="6"/>
      <c r="AD86" s="6"/>
      <c r="AE86" s="7">
        <f>ROUND(411.74,2)</f>
        <v>411.74</v>
      </c>
      <c r="AF86" s="6"/>
      <c r="AG86" s="7">
        <f>ROUND(113.139999999999,2)</f>
        <v>113.14</v>
      </c>
      <c r="AH86" s="6"/>
      <c r="AI86" s="6"/>
      <c r="AJ86" s="6"/>
      <c r="AK86" s="6"/>
      <c r="AL86" s="6"/>
      <c r="AM86" s="6"/>
      <c r="AN86" s="6"/>
      <c r="AO86" s="6"/>
      <c r="AP86" s="7">
        <f>ROUND(32.53,2)</f>
        <v>32.53</v>
      </c>
      <c r="AQ86" s="6"/>
      <c r="AR86" s="7">
        <f>ROUND(1.43,2)</f>
        <v>1.43</v>
      </c>
      <c r="AS86" s="6"/>
      <c r="AT86" s="6"/>
      <c r="AU86" s="7">
        <f>ROUND(68,2)</f>
        <v>68</v>
      </c>
      <c r="AV86" s="6"/>
      <c r="AW86" s="7">
        <f>ROUND(32.53,2)</f>
        <v>32.53</v>
      </c>
      <c r="AX86" s="7">
        <f>ROUND(7.47,2)</f>
        <v>7.47</v>
      </c>
      <c r="AY86" s="7">
        <f>ROUND(2.45,2)</f>
        <v>2.4500000000000002</v>
      </c>
      <c r="AZ86" s="7">
        <f>ROUND(5.55,2)</f>
        <v>5.55</v>
      </c>
      <c r="BA86" s="6"/>
      <c r="BB86" s="7">
        <f>ROUND(16,2)</f>
        <v>16</v>
      </c>
      <c r="BC86" s="6"/>
      <c r="BD86" s="7">
        <f>ROUND(8,2)</f>
        <v>8</v>
      </c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7">
        <f>ROUND(1.04,2)</f>
        <v>1.04</v>
      </c>
      <c r="BU86" s="7">
        <f>ROUND(48,2)</f>
        <v>48</v>
      </c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7">
        <f>ROUND(16,2)</f>
        <v>16</v>
      </c>
      <c r="CQ86" s="7">
        <f>ROUND(2526.07,2)</f>
        <v>2526.0700000000002</v>
      </c>
      <c r="CR86" s="6"/>
      <c r="CS86" s="6"/>
      <c r="CT86" s="6"/>
      <c r="CU86" s="6"/>
      <c r="CV86" s="7">
        <f>ROUND(49176.0299999999,2)</f>
        <v>49176.03</v>
      </c>
      <c r="CW86" s="6"/>
      <c r="CX86" s="6"/>
      <c r="CY86" s="7">
        <f>ROUND(11532.86,2)</f>
        <v>11532.86</v>
      </c>
      <c r="CZ86" s="6"/>
      <c r="DA86" s="6"/>
      <c r="DB86" s="6"/>
      <c r="DC86" s="6"/>
      <c r="DD86" s="7">
        <f>ROUND(148.4,2)</f>
        <v>148.4</v>
      </c>
      <c r="DE86" s="7">
        <f>ROUND(34.86,2)</f>
        <v>34.86</v>
      </c>
      <c r="DF86" s="7">
        <f>ROUND(35.46,2)</f>
        <v>35.46</v>
      </c>
      <c r="DG86" s="7">
        <f>ROUND(9.92,2)</f>
        <v>9.92</v>
      </c>
      <c r="DH86" s="6"/>
      <c r="DI86" s="6"/>
      <c r="DJ86" s="6"/>
      <c r="DK86" s="6"/>
      <c r="DL86" s="6"/>
      <c r="DM86" s="6"/>
      <c r="DN86" s="7">
        <f>ROUND(12934.1099999999,2)</f>
        <v>12934.11</v>
      </c>
      <c r="DO86" s="6"/>
      <c r="DP86" s="7">
        <f>ROUND(5344.05,2)</f>
        <v>5344.05</v>
      </c>
      <c r="DQ86" s="6"/>
      <c r="DR86" s="6"/>
      <c r="DS86" s="6"/>
      <c r="DT86" s="6"/>
      <c r="DU86" s="6"/>
      <c r="DV86" s="6"/>
      <c r="DW86" s="6"/>
      <c r="DX86" s="6"/>
      <c r="DY86" s="7">
        <f>ROUND(1044.85,2)</f>
        <v>1044.8499999999999</v>
      </c>
      <c r="DZ86" s="6"/>
      <c r="EA86" s="7">
        <f>ROUND(68.83,2)</f>
        <v>68.83</v>
      </c>
      <c r="EB86" s="6"/>
      <c r="EC86" s="6"/>
      <c r="ED86" s="7">
        <f>ROUND(2189.88,2)</f>
        <v>2189.88</v>
      </c>
      <c r="EE86" s="6"/>
      <c r="EF86" s="7">
        <f>ROUND(1057.69999999999,2)</f>
        <v>1057.7</v>
      </c>
      <c r="EG86" s="7">
        <f>ROUND(369.69,2)</f>
        <v>369.69</v>
      </c>
      <c r="EH86" s="7">
        <f>ROUND(80.97,2)</f>
        <v>80.97</v>
      </c>
      <c r="EI86" s="7">
        <f>ROUND(275.14,2)</f>
        <v>275.14</v>
      </c>
      <c r="EJ86" s="6"/>
      <c r="EK86" s="7">
        <f>ROUND(513.44,2)</f>
        <v>513.44000000000005</v>
      </c>
      <c r="EL86" s="6"/>
      <c r="EM86" s="6"/>
      <c r="EN86" s="7">
        <f>ROUND(256.72,2)</f>
        <v>256.72000000000003</v>
      </c>
      <c r="EO86" s="6"/>
      <c r="EP86" s="6"/>
      <c r="EQ86" s="6"/>
      <c r="ER86" s="6"/>
      <c r="ES86" s="6"/>
      <c r="ET86" s="6"/>
      <c r="EU86" s="6"/>
      <c r="EV86" s="7">
        <f>ROUND(458.33,2)</f>
        <v>458.33</v>
      </c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7">
        <f>ROUND(1200,2)</f>
        <v>1200</v>
      </c>
      <c r="FK86" s="6"/>
      <c r="FL86" s="6"/>
      <c r="FM86" s="6"/>
      <c r="FN86" s="6"/>
      <c r="FO86" s="6"/>
      <c r="FP86" s="6"/>
      <c r="FQ86" s="6"/>
      <c r="FR86" s="6"/>
      <c r="FS86" s="6"/>
      <c r="FT86" s="7">
        <f>ROUND(3000,2)</f>
        <v>3000</v>
      </c>
      <c r="FU86" s="6"/>
      <c r="FV86" s="6"/>
      <c r="FW86" s="6"/>
      <c r="FX86" s="7">
        <f>ROUND(534.08,2)</f>
        <v>534.08000000000004</v>
      </c>
      <c r="FY86" s="7">
        <f>ROUND(90265.3199999999,2)</f>
        <v>90265.32</v>
      </c>
    </row>
    <row r="87" spans="1:181" x14ac:dyDescent="0.3">
      <c r="A87" s="4" t="s">
        <v>389</v>
      </c>
      <c r="B87" s="5" t="s">
        <v>1029</v>
      </c>
      <c r="C87" s="5" t="s">
        <v>181</v>
      </c>
      <c r="D87" s="5" t="s">
        <v>390</v>
      </c>
      <c r="E87" s="5" t="s">
        <v>0</v>
      </c>
      <c r="F87" s="5" t="s">
        <v>0</v>
      </c>
      <c r="G87" s="5" t="s">
        <v>183</v>
      </c>
      <c r="H87" s="9">
        <v>33.380000000000003</v>
      </c>
      <c r="I87" s="7">
        <f>ROUND(77999.95,2)</f>
        <v>77999.95</v>
      </c>
      <c r="J87" s="6"/>
      <c r="K87" s="6"/>
      <c r="L87" s="6"/>
      <c r="M87" s="6"/>
      <c r="N87" s="7">
        <f>ROUND(1819.37,2)</f>
        <v>1819.37</v>
      </c>
      <c r="O87" s="6"/>
      <c r="P87" s="6"/>
      <c r="Q87" s="7">
        <f>ROUND(200.35,2)</f>
        <v>200.35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7">
        <f>ROUND(25.1899999999999,2)</f>
        <v>25.19</v>
      </c>
      <c r="AF87" s="6"/>
      <c r="AG87" s="7">
        <f>ROUND(21.18,2)</f>
        <v>21.18</v>
      </c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7">
        <f>ROUND(56,2)</f>
        <v>56</v>
      </c>
      <c r="AV87" s="6"/>
      <c r="AW87" s="7">
        <f>ROUND(45.1299999999999,2)</f>
        <v>45.13</v>
      </c>
      <c r="AX87" s="7">
        <f>ROUND(2.87,2)</f>
        <v>2.87</v>
      </c>
      <c r="AY87" s="7">
        <f>ROUND(24,2)</f>
        <v>24</v>
      </c>
      <c r="AZ87" s="6"/>
      <c r="BA87" s="6"/>
      <c r="BB87" s="7">
        <f>ROUND(16,2)</f>
        <v>16</v>
      </c>
      <c r="BC87" s="6"/>
      <c r="BD87" s="7">
        <f>ROUND(8,2)</f>
        <v>8</v>
      </c>
      <c r="BE87" s="7">
        <f>ROUND(1.95,2)</f>
        <v>1.95</v>
      </c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7">
        <f>ROUND(32,2)</f>
        <v>32</v>
      </c>
      <c r="BT87" s="6"/>
      <c r="BU87" s="6"/>
      <c r="BV87" s="6"/>
      <c r="BW87" s="7">
        <f>ROUND(8,2)</f>
        <v>8</v>
      </c>
      <c r="BX87" s="6"/>
      <c r="BY87" s="7">
        <f>ROUND(24,2)</f>
        <v>24</v>
      </c>
      <c r="BZ87" s="6"/>
      <c r="CA87" s="7">
        <f>ROUND(8,2)</f>
        <v>8</v>
      </c>
      <c r="CB87" s="6"/>
      <c r="CC87" s="7">
        <f>ROUND(80,2)</f>
        <v>80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7">
        <f>ROUND(2372.03999999999,2)</f>
        <v>2372.04</v>
      </c>
      <c r="CR87" s="6"/>
      <c r="CS87" s="6"/>
      <c r="CT87" s="6"/>
      <c r="CU87" s="6"/>
      <c r="CV87" s="7">
        <f>ROUND(57900.3899999999,2)</f>
        <v>57900.39</v>
      </c>
      <c r="CW87" s="6"/>
      <c r="CX87" s="6"/>
      <c r="CY87" s="7">
        <f>ROUND(9514.09,2)</f>
        <v>9514.09</v>
      </c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7">
        <f>ROUND(759.86,2)</f>
        <v>759.86</v>
      </c>
      <c r="DO87" s="6"/>
      <c r="DP87" s="7">
        <f>ROUND(1039.28,2)</f>
        <v>1039.28</v>
      </c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7">
        <f>ROUND(1753.04,2)</f>
        <v>1753.04</v>
      </c>
      <c r="EE87" s="6"/>
      <c r="EF87" s="7">
        <f>ROUND(1457.92999999999,2)</f>
        <v>1457.93</v>
      </c>
      <c r="EG87" s="7">
        <f>ROUND(131.26,2)</f>
        <v>131.26</v>
      </c>
      <c r="EH87" s="7">
        <f>ROUND(772.719999999999,2)</f>
        <v>772.72</v>
      </c>
      <c r="EI87" s="6"/>
      <c r="EJ87" s="6"/>
      <c r="EK87" s="7">
        <f>ROUND(487.84,2)</f>
        <v>487.84</v>
      </c>
      <c r="EL87" s="6"/>
      <c r="EM87" s="6"/>
      <c r="EN87" s="7">
        <f>ROUND(243.92,2)</f>
        <v>243.92</v>
      </c>
      <c r="EO87" s="7">
        <f>ROUND(89.62,2)</f>
        <v>89.62</v>
      </c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7">
        <f>ROUND(850,2)</f>
        <v>850</v>
      </c>
      <c r="FK87" s="6"/>
      <c r="FL87" s="6"/>
      <c r="FM87" s="6"/>
      <c r="FN87" s="6"/>
      <c r="FO87" s="6"/>
      <c r="FP87" s="6"/>
      <c r="FQ87" s="6"/>
      <c r="FR87" s="6"/>
      <c r="FS87" s="6"/>
      <c r="FT87" s="7">
        <f>ROUND(3000,2)</f>
        <v>3000</v>
      </c>
      <c r="FU87" s="6"/>
      <c r="FV87" s="6"/>
      <c r="FW87" s="6"/>
      <c r="FX87" s="6"/>
      <c r="FY87" s="7">
        <f>ROUND(77999.95,2)</f>
        <v>77999.95</v>
      </c>
    </row>
    <row r="88" spans="1:181" x14ac:dyDescent="0.3">
      <c r="A88" s="4" t="s">
        <v>391</v>
      </c>
      <c r="B88" s="5" t="s">
        <v>1029</v>
      </c>
      <c r="C88" s="5" t="s">
        <v>181</v>
      </c>
      <c r="D88" s="5" t="s">
        <v>392</v>
      </c>
      <c r="E88" s="5" t="s">
        <v>0</v>
      </c>
      <c r="F88" s="5" t="s">
        <v>0</v>
      </c>
      <c r="G88" s="5" t="s">
        <v>183</v>
      </c>
      <c r="H88" s="8">
        <v>34.04</v>
      </c>
      <c r="I88" s="7">
        <f>ROUND(70480.3599999999,2)</f>
        <v>70480.36</v>
      </c>
      <c r="J88" s="6"/>
      <c r="K88" s="6"/>
      <c r="L88" s="6"/>
      <c r="M88" s="6"/>
      <c r="N88" s="7">
        <f>ROUND(1477.36,2)</f>
        <v>1477.36</v>
      </c>
      <c r="O88" s="6"/>
      <c r="P88" s="6"/>
      <c r="Q88" s="7">
        <f>ROUND(148.36,2)</f>
        <v>148.36000000000001</v>
      </c>
      <c r="R88" s="6"/>
      <c r="S88" s="6"/>
      <c r="T88" s="6"/>
      <c r="U88" s="6"/>
      <c r="V88" s="6"/>
      <c r="W88" s="6"/>
      <c r="X88" s="6"/>
      <c r="Y88" s="6"/>
      <c r="Z88" s="7">
        <f>ROUND(0.93,2)</f>
        <v>0.93</v>
      </c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7">
        <f>ROUND(48.95,2)</f>
        <v>48.95</v>
      </c>
      <c r="AV88" s="7">
        <f>ROUND(3.05,2)</f>
        <v>3.05</v>
      </c>
      <c r="AW88" s="7">
        <f>ROUND(21.07,2)</f>
        <v>21.07</v>
      </c>
      <c r="AX88" s="7">
        <f>ROUND(10.93,2)</f>
        <v>10.93</v>
      </c>
      <c r="AY88" s="7">
        <f>ROUND(193.73,2)</f>
        <v>193.73</v>
      </c>
      <c r="AZ88" s="7">
        <f>ROUND(14.27,2)</f>
        <v>14.27</v>
      </c>
      <c r="BA88" s="6"/>
      <c r="BB88" s="6"/>
      <c r="BC88" s="6"/>
      <c r="BD88" s="7">
        <f>ROUND(8,2)</f>
        <v>8</v>
      </c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7">
        <f>ROUND(6.23,2)</f>
        <v>6.23</v>
      </c>
      <c r="BU88" s="6"/>
      <c r="BV88" s="6"/>
      <c r="BW88" s="7">
        <f>ROUND(16,2)</f>
        <v>16</v>
      </c>
      <c r="BX88" s="6"/>
      <c r="BY88" s="7">
        <f>ROUND(392,2)</f>
        <v>392</v>
      </c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7">
        <f>ROUND(8,2)</f>
        <v>8</v>
      </c>
      <c r="CQ88" s="7">
        <f>ROUND(2348.87999999999,2)</f>
        <v>2348.88</v>
      </c>
      <c r="CR88" s="6"/>
      <c r="CS88" s="6"/>
      <c r="CT88" s="6"/>
      <c r="CU88" s="6"/>
      <c r="CV88" s="7">
        <f>ROUND(48275.3499999999,2)</f>
        <v>48275.35</v>
      </c>
      <c r="CW88" s="6"/>
      <c r="CX88" s="6"/>
      <c r="CY88" s="7">
        <f>ROUND(7308.65999999999,2)</f>
        <v>7308.66</v>
      </c>
      <c r="CZ88" s="6"/>
      <c r="DA88" s="6"/>
      <c r="DB88" s="6"/>
      <c r="DC88" s="6"/>
      <c r="DD88" s="6"/>
      <c r="DE88" s="6"/>
      <c r="DF88" s="6"/>
      <c r="DG88" s="6"/>
      <c r="DH88" s="7">
        <f>ROUND(59.69,2)</f>
        <v>59.69</v>
      </c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7">
        <f>ROUND(1606.52,2)</f>
        <v>1606.52</v>
      </c>
      <c r="EE88" s="7">
        <f>ROUND(151.22,2)</f>
        <v>151.22</v>
      </c>
      <c r="EF88" s="7">
        <f>ROUND(688.68,2)</f>
        <v>688.68</v>
      </c>
      <c r="EG88" s="7">
        <f>ROUND(541.85,2)</f>
        <v>541.85</v>
      </c>
      <c r="EH88" s="7">
        <f>ROUND(6372.16999999999,2)</f>
        <v>6372.17</v>
      </c>
      <c r="EI88" s="7">
        <f>ROUND(697.18,2)</f>
        <v>697.18</v>
      </c>
      <c r="EJ88" s="6"/>
      <c r="EK88" s="6"/>
      <c r="EL88" s="6"/>
      <c r="EM88" s="6"/>
      <c r="EN88" s="7">
        <f>ROUND(256.72,2)</f>
        <v>256.72000000000003</v>
      </c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7">
        <f>ROUND(1250,2)</f>
        <v>1250</v>
      </c>
      <c r="FK88" s="6"/>
      <c r="FL88" s="6"/>
      <c r="FM88" s="6"/>
      <c r="FN88" s="6"/>
      <c r="FO88" s="6"/>
      <c r="FP88" s="6"/>
      <c r="FQ88" s="6"/>
      <c r="FR88" s="6"/>
      <c r="FS88" s="6"/>
      <c r="FT88" s="7">
        <f>ROUND(3000,2)</f>
        <v>3000</v>
      </c>
      <c r="FU88" s="6"/>
      <c r="FV88" s="6"/>
      <c r="FW88" s="6"/>
      <c r="FX88" s="7">
        <f>ROUND(272.32,2)</f>
        <v>272.32</v>
      </c>
      <c r="FY88" s="7">
        <f>ROUND(70480.3599999999,2)</f>
        <v>70480.36</v>
      </c>
    </row>
    <row r="89" spans="1:181" x14ac:dyDescent="0.3">
      <c r="A89" s="4" t="s">
        <v>393</v>
      </c>
      <c r="B89" s="5"/>
      <c r="C89" s="5" t="s">
        <v>394</v>
      </c>
      <c r="D89" s="5" t="s">
        <v>395</v>
      </c>
      <c r="E89" s="5" t="s">
        <v>0</v>
      </c>
      <c r="F89" s="5" t="s">
        <v>0</v>
      </c>
      <c r="G89" s="5" t="s">
        <v>396</v>
      </c>
      <c r="H89" s="8">
        <f>ROUND(24.2462,2)</f>
        <v>24.25</v>
      </c>
      <c r="I89" s="7">
        <f>ROUND(36126.7099999999,2)</f>
        <v>36126.71</v>
      </c>
      <c r="J89" s="7">
        <f>ROUND(1297,2)</f>
        <v>1297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7">
        <f>ROUND(10,2)</f>
        <v>10</v>
      </c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7">
        <f>ROUND(20,2)</f>
        <v>20</v>
      </c>
      <c r="BX89" s="6"/>
      <c r="BY89" s="6"/>
      <c r="BZ89" s="6"/>
      <c r="CA89" s="6"/>
      <c r="CB89" s="6"/>
      <c r="CC89" s="6"/>
      <c r="CD89" s="6"/>
      <c r="CE89" s="6"/>
      <c r="CF89" s="6"/>
      <c r="CG89" s="7">
        <f>ROUND(15,2)</f>
        <v>15</v>
      </c>
      <c r="CH89" s="7">
        <f>ROUND(25,2)</f>
        <v>25</v>
      </c>
      <c r="CI89" s="6"/>
      <c r="CJ89" s="6"/>
      <c r="CK89" s="6"/>
      <c r="CL89" s="6"/>
      <c r="CM89" s="6"/>
      <c r="CN89" s="7">
        <f>ROUND(75,2)</f>
        <v>75</v>
      </c>
      <c r="CO89" s="6"/>
      <c r="CP89" s="6"/>
      <c r="CQ89" s="7">
        <f>ROUND(1442,2)</f>
        <v>1442</v>
      </c>
      <c r="CR89" s="7">
        <f>ROUND(31447.2199999999,2)</f>
        <v>31447.22</v>
      </c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7">
        <f>ROUND(242.46,2)</f>
        <v>242.46</v>
      </c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7">
        <f>ROUND(484.92,2)</f>
        <v>484.92</v>
      </c>
      <c r="FH89" s="6"/>
      <c r="FI89" s="6"/>
      <c r="FJ89" s="7">
        <f>ROUND(1163.82,2)</f>
        <v>1163.82</v>
      </c>
      <c r="FK89" s="6"/>
      <c r="FL89" s="6"/>
      <c r="FM89" s="7">
        <f>ROUND(363.69,2)</f>
        <v>363.69</v>
      </c>
      <c r="FN89" s="7">
        <f>ROUND(606.15,2)</f>
        <v>606.15</v>
      </c>
      <c r="FO89" s="6"/>
      <c r="FP89" s="6"/>
      <c r="FQ89" s="6"/>
      <c r="FR89" s="6"/>
      <c r="FS89" s="6"/>
      <c r="FT89" s="6"/>
      <c r="FU89" s="6"/>
      <c r="FV89" s="7">
        <f>ROUND(1818.45,2)</f>
        <v>1818.45</v>
      </c>
      <c r="FW89" s="6"/>
      <c r="FX89" s="6"/>
      <c r="FY89" s="7">
        <f>ROUND(36126.7099999999,2)</f>
        <v>36126.71</v>
      </c>
    </row>
    <row r="90" spans="1:181" x14ac:dyDescent="0.3">
      <c r="A90" s="4" t="s">
        <v>397</v>
      </c>
      <c r="B90" s="5" t="s">
        <v>1029</v>
      </c>
      <c r="C90" s="5" t="s">
        <v>181</v>
      </c>
      <c r="D90" s="5" t="s">
        <v>398</v>
      </c>
      <c r="E90" s="5" t="s">
        <v>0</v>
      </c>
      <c r="F90" s="5" t="s">
        <v>0</v>
      </c>
      <c r="G90" s="5" t="s">
        <v>183</v>
      </c>
      <c r="H90" s="8">
        <v>33.380000000000003</v>
      </c>
      <c r="I90" s="7">
        <f>ROUND(76877.47,2)</f>
        <v>76877.47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7">
        <f>ROUND(1738.11,2)</f>
        <v>1738.11</v>
      </c>
      <c r="AF90" s="6"/>
      <c r="AG90" s="7">
        <f>ROUND(160.759999999999,2)</f>
        <v>160.76</v>
      </c>
      <c r="AH90" s="6"/>
      <c r="AI90" s="6"/>
      <c r="AJ90" s="6"/>
      <c r="AK90" s="6"/>
      <c r="AL90" s="6"/>
      <c r="AM90" s="6"/>
      <c r="AN90" s="6"/>
      <c r="AO90" s="6"/>
      <c r="AP90" s="7">
        <f>ROUND(5,2)</f>
        <v>5</v>
      </c>
      <c r="AQ90" s="6"/>
      <c r="AR90" s="7">
        <f>ROUND(5,2)</f>
        <v>5</v>
      </c>
      <c r="AS90" s="6"/>
      <c r="AT90" s="6"/>
      <c r="AU90" s="7">
        <f>ROUND(60,2)</f>
        <v>60</v>
      </c>
      <c r="AV90" s="6"/>
      <c r="AW90" s="7">
        <f>ROUND(32,2)</f>
        <v>32</v>
      </c>
      <c r="AX90" s="6"/>
      <c r="AY90" s="7">
        <f>ROUND(67.4,2)</f>
        <v>67.400000000000006</v>
      </c>
      <c r="AZ90" s="7">
        <f>ROUND(4.6,2)</f>
        <v>4.5999999999999996</v>
      </c>
      <c r="BA90" s="6"/>
      <c r="BB90" s="6"/>
      <c r="BC90" s="6"/>
      <c r="BD90" s="7">
        <f>ROUND(8,2)</f>
        <v>8</v>
      </c>
      <c r="BE90" s="6"/>
      <c r="BF90" s="6"/>
      <c r="BG90" s="7">
        <f>ROUND(28,2)</f>
        <v>28</v>
      </c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7">
        <f>ROUND(216,2)</f>
        <v>216</v>
      </c>
      <c r="BT90" s="7">
        <f>ROUND(13.59,2)</f>
        <v>13.59</v>
      </c>
      <c r="BU90" s="6"/>
      <c r="BV90" s="6"/>
      <c r="BW90" s="7">
        <f>ROUND(8,2)</f>
        <v>8</v>
      </c>
      <c r="BX90" s="6"/>
      <c r="BY90" s="6"/>
      <c r="BZ90" s="6"/>
      <c r="CA90" s="7">
        <f>ROUND(16,2)</f>
        <v>16</v>
      </c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7">
        <f>ROUND(48,2)</f>
        <v>48</v>
      </c>
      <c r="CQ90" s="7">
        <f>ROUND(2410.46,2)</f>
        <v>2410.46</v>
      </c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7">
        <f>ROUND(56798.9199999999,2)</f>
        <v>56798.92</v>
      </c>
      <c r="DO90" s="6"/>
      <c r="DP90" s="7">
        <f>ROUND(7876.80999999999,2)</f>
        <v>7876.81</v>
      </c>
      <c r="DQ90" s="6"/>
      <c r="DR90" s="6"/>
      <c r="DS90" s="6"/>
      <c r="DT90" s="6"/>
      <c r="DU90" s="6"/>
      <c r="DV90" s="6"/>
      <c r="DW90" s="6"/>
      <c r="DX90" s="6"/>
      <c r="DY90" s="7">
        <f>ROUND(160.45,2)</f>
        <v>160.44999999999999</v>
      </c>
      <c r="DZ90" s="6"/>
      <c r="EA90" s="7">
        <f>ROUND(247.88,2)</f>
        <v>247.88</v>
      </c>
      <c r="EB90" s="6"/>
      <c r="EC90" s="6"/>
      <c r="ED90" s="7">
        <f>ROUND(1958.76,2)</f>
        <v>1958.76</v>
      </c>
      <c r="EE90" s="6"/>
      <c r="EF90" s="7">
        <f>ROUND(1049.92,2)</f>
        <v>1049.92</v>
      </c>
      <c r="EG90" s="6"/>
      <c r="EH90" s="7">
        <f>ROUND(2176.79,2)</f>
        <v>2176.79</v>
      </c>
      <c r="EI90" s="7">
        <f>ROUND(223.579999999999,2)</f>
        <v>223.58</v>
      </c>
      <c r="EJ90" s="6"/>
      <c r="EK90" s="6"/>
      <c r="EL90" s="6"/>
      <c r="EM90" s="6"/>
      <c r="EN90" s="7">
        <f>ROUND(256.72,2)</f>
        <v>256.72000000000003</v>
      </c>
      <c r="EO90" s="6"/>
      <c r="EP90" s="6"/>
      <c r="EQ90" s="7">
        <f>ROUND(925.4,2)</f>
        <v>925.4</v>
      </c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7">
        <f>ROUND(600,2)</f>
        <v>600</v>
      </c>
      <c r="FK90" s="6"/>
      <c r="FL90" s="6"/>
      <c r="FM90" s="6"/>
      <c r="FN90" s="6"/>
      <c r="FO90" s="6"/>
      <c r="FP90" s="6"/>
      <c r="FQ90" s="6"/>
      <c r="FR90" s="6"/>
      <c r="FS90" s="6"/>
      <c r="FT90" s="7">
        <f>ROUND(3000,2)</f>
        <v>3000</v>
      </c>
      <c r="FU90" s="6"/>
      <c r="FV90" s="6"/>
      <c r="FW90" s="6"/>
      <c r="FX90" s="7">
        <f>ROUND(1602.24,2)</f>
        <v>1602.24</v>
      </c>
      <c r="FY90" s="7">
        <f>ROUND(76877.4699999999,2)</f>
        <v>76877.47</v>
      </c>
    </row>
    <row r="91" spans="1:181" x14ac:dyDescent="0.3">
      <c r="A91" s="4" t="s">
        <v>399</v>
      </c>
      <c r="B91" s="5" t="s">
        <v>1029</v>
      </c>
      <c r="C91" s="5" t="s">
        <v>181</v>
      </c>
      <c r="D91" s="5" t="s">
        <v>400</v>
      </c>
      <c r="E91" s="5" t="s">
        <v>0</v>
      </c>
      <c r="F91" s="5" t="s">
        <v>0</v>
      </c>
      <c r="G91" s="5" t="s">
        <v>183</v>
      </c>
      <c r="H91" s="8">
        <v>33.880000000000003</v>
      </c>
      <c r="I91" s="7">
        <f>ROUND(117361.49,2)</f>
        <v>117361.49</v>
      </c>
      <c r="J91" s="6"/>
      <c r="K91" s="6"/>
      <c r="L91" s="6"/>
      <c r="M91" s="6"/>
      <c r="N91" s="7">
        <f>ROUND(18.92,2)</f>
        <v>18.920000000000002</v>
      </c>
      <c r="O91" s="6"/>
      <c r="P91" s="6"/>
      <c r="Q91" s="7">
        <f>ROUND(93.45,2)</f>
        <v>93.45</v>
      </c>
      <c r="R91" s="6"/>
      <c r="S91" s="6"/>
      <c r="T91" s="6"/>
      <c r="U91" s="6"/>
      <c r="V91" s="6"/>
      <c r="W91" s="7">
        <f>ROUND(54.18,2)</f>
        <v>54.18</v>
      </c>
      <c r="X91" s="7">
        <f>ROUND(0.33,2)</f>
        <v>0.33</v>
      </c>
      <c r="Y91" s="7">
        <f>ROUND(2.41,2)</f>
        <v>2.41</v>
      </c>
      <c r="Z91" s="6"/>
      <c r="AA91" s="6"/>
      <c r="AB91" s="6"/>
      <c r="AC91" s="6"/>
      <c r="AD91" s="6"/>
      <c r="AE91" s="7">
        <f>ROUND(1788.75,2)</f>
        <v>1788.75</v>
      </c>
      <c r="AF91" s="6"/>
      <c r="AG91" s="7">
        <f>ROUND(522.29,2)</f>
        <v>522.29</v>
      </c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7">
        <f>ROUND(151.079999999999,2)</f>
        <v>151.08000000000001</v>
      </c>
      <c r="AS91" s="6"/>
      <c r="AT91" s="6"/>
      <c r="AU91" s="7">
        <f>ROUND(60,2)</f>
        <v>60</v>
      </c>
      <c r="AV91" s="7">
        <f>ROUND(8,2)</f>
        <v>8</v>
      </c>
      <c r="AW91" s="7">
        <f>ROUND(24,2)</f>
        <v>24</v>
      </c>
      <c r="AX91" s="7">
        <f>ROUND(8,2)</f>
        <v>8</v>
      </c>
      <c r="AY91" s="7">
        <f>ROUND(192,2)</f>
        <v>192</v>
      </c>
      <c r="AZ91" s="7">
        <f>ROUND(8,2)</f>
        <v>8</v>
      </c>
      <c r="BA91" s="6"/>
      <c r="BB91" s="6"/>
      <c r="BC91" s="6"/>
      <c r="BD91" s="7">
        <f>ROUND(8,2)</f>
        <v>8</v>
      </c>
      <c r="BE91" s="6"/>
      <c r="BF91" s="6"/>
      <c r="BG91" s="7">
        <f>ROUND(50,2)</f>
        <v>50</v>
      </c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7">
        <f>ROUND(9,2)</f>
        <v>9</v>
      </c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7">
        <f>ROUND(2998.41,2)</f>
        <v>2998.41</v>
      </c>
      <c r="CR91" s="6"/>
      <c r="CS91" s="6"/>
      <c r="CT91" s="6"/>
      <c r="CU91" s="6"/>
      <c r="CV91" s="7">
        <f>ROUND(616.74,2)</f>
        <v>616.74</v>
      </c>
      <c r="CW91" s="6"/>
      <c r="CX91" s="6"/>
      <c r="CY91" s="7">
        <f>ROUND(4534.04,2)</f>
        <v>4534.04</v>
      </c>
      <c r="CZ91" s="6"/>
      <c r="DA91" s="6"/>
      <c r="DB91" s="6"/>
      <c r="DC91" s="6"/>
      <c r="DD91" s="6"/>
      <c r="DE91" s="7">
        <f>ROUND(2668.91,2)</f>
        <v>2668.91</v>
      </c>
      <c r="DF91" s="7">
        <f>ROUND(10.59,2)</f>
        <v>10.59</v>
      </c>
      <c r="DG91" s="7">
        <f>ROUND(116,2)</f>
        <v>116</v>
      </c>
      <c r="DH91" s="6"/>
      <c r="DI91" s="6"/>
      <c r="DJ91" s="6"/>
      <c r="DK91" s="6"/>
      <c r="DL91" s="6"/>
      <c r="DM91" s="6"/>
      <c r="DN91" s="7">
        <f>ROUND(58403.1299999999,2)</f>
        <v>58403.13</v>
      </c>
      <c r="DO91" s="6"/>
      <c r="DP91" s="7">
        <f>ROUND(25552.46,2)</f>
        <v>25552.46</v>
      </c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7">
        <f>ROUND(7456.82,2)</f>
        <v>7456.82</v>
      </c>
      <c r="EB91" s="6"/>
      <c r="EC91" s="6"/>
      <c r="ED91" s="7">
        <f>ROUND(1955.08,2)</f>
        <v>1955.08</v>
      </c>
      <c r="EE91" s="7">
        <f>ROUND(396.64,2)</f>
        <v>396.64</v>
      </c>
      <c r="EF91" s="7">
        <f>ROUND(785.52,2)</f>
        <v>785.52</v>
      </c>
      <c r="EG91" s="7">
        <f>ROUND(396.6,2)</f>
        <v>396.6</v>
      </c>
      <c r="EH91" s="7">
        <f>ROUND(6276.48,2)</f>
        <v>6276.48</v>
      </c>
      <c r="EI91" s="7">
        <f>ROUND(385.08,2)</f>
        <v>385.08</v>
      </c>
      <c r="EJ91" s="6"/>
      <c r="EK91" s="6"/>
      <c r="EL91" s="6"/>
      <c r="EM91" s="6"/>
      <c r="EN91" s="7">
        <f>ROUND(256.72,2)</f>
        <v>256.72000000000003</v>
      </c>
      <c r="EO91" s="6"/>
      <c r="EP91" s="6"/>
      <c r="EQ91" s="7">
        <f>ROUND(1604.5,2)</f>
        <v>1604.5</v>
      </c>
      <c r="ER91" s="6"/>
      <c r="ES91" s="6"/>
      <c r="ET91" s="6"/>
      <c r="EU91" s="6"/>
      <c r="EV91" s="7">
        <f>ROUND(500,2)</f>
        <v>500</v>
      </c>
      <c r="EW91" s="6"/>
      <c r="EX91" s="6"/>
      <c r="EY91" s="6"/>
      <c r="EZ91" s="6"/>
      <c r="FA91" s="6"/>
      <c r="FB91" s="6"/>
      <c r="FC91" s="6"/>
      <c r="FD91" s="6"/>
      <c r="FE91" s="7">
        <f>ROUND(446.18,2)</f>
        <v>446.18</v>
      </c>
      <c r="FF91" s="6"/>
      <c r="FG91" s="6"/>
      <c r="FH91" s="6"/>
      <c r="FI91" s="6"/>
      <c r="FJ91" s="7">
        <f>ROUND(2000,2)</f>
        <v>2000</v>
      </c>
      <c r="FK91" s="6"/>
      <c r="FL91" s="6"/>
      <c r="FM91" s="6"/>
      <c r="FN91" s="6"/>
      <c r="FO91" s="6"/>
      <c r="FP91" s="6"/>
      <c r="FQ91" s="6"/>
      <c r="FR91" s="6"/>
      <c r="FS91" s="6"/>
      <c r="FT91" s="7">
        <f>ROUND(3000,2)</f>
        <v>3000</v>
      </c>
      <c r="FU91" s="6"/>
      <c r="FV91" s="6"/>
      <c r="FW91" s="6"/>
      <c r="FX91" s="6"/>
      <c r="FY91" s="7">
        <f>ROUND(117361.49,2)</f>
        <v>117361.49</v>
      </c>
    </row>
    <row r="92" spans="1:181" x14ac:dyDescent="0.3">
      <c r="A92" s="4" t="s">
        <v>401</v>
      </c>
      <c r="B92" s="5" t="s">
        <v>1029</v>
      </c>
      <c r="C92" s="5" t="s">
        <v>181</v>
      </c>
      <c r="D92" s="5" t="s">
        <v>196</v>
      </c>
      <c r="E92" s="5" t="s">
        <v>0</v>
      </c>
      <c r="F92" s="5" t="s">
        <v>0</v>
      </c>
      <c r="G92" s="5" t="s">
        <v>183</v>
      </c>
      <c r="H92" s="8">
        <v>33.380000000000003</v>
      </c>
      <c r="I92" s="7">
        <f>ROUND(89970.63,2)</f>
        <v>89970.63</v>
      </c>
      <c r="J92" s="6"/>
      <c r="K92" s="6"/>
      <c r="L92" s="6"/>
      <c r="M92" s="6"/>
      <c r="N92" s="7">
        <f>ROUND(917.26,2)</f>
        <v>917.26</v>
      </c>
      <c r="O92" s="6"/>
      <c r="P92" s="6"/>
      <c r="Q92" s="7">
        <f>ROUND(181.95,2)</f>
        <v>181.95</v>
      </c>
      <c r="R92" s="6"/>
      <c r="S92" s="6"/>
      <c r="T92" s="6"/>
      <c r="U92" s="6"/>
      <c r="V92" s="7">
        <f>ROUND(16.73,2)</f>
        <v>16.73</v>
      </c>
      <c r="W92" s="7">
        <f>ROUND(26.45,2)</f>
        <v>26.45</v>
      </c>
      <c r="X92" s="7">
        <f>ROUND(0.42,2)</f>
        <v>0.42</v>
      </c>
      <c r="Y92" s="6"/>
      <c r="Z92" s="6"/>
      <c r="AA92" s="6"/>
      <c r="AB92" s="6"/>
      <c r="AC92" s="6"/>
      <c r="AD92" s="6"/>
      <c r="AE92" s="7">
        <f>ROUND(303.32,2)</f>
        <v>303.32</v>
      </c>
      <c r="AF92" s="6"/>
      <c r="AG92" s="7">
        <f>ROUND(28.7299999999999,2)</f>
        <v>28.73</v>
      </c>
      <c r="AH92" s="6"/>
      <c r="AI92" s="6"/>
      <c r="AJ92" s="6"/>
      <c r="AK92" s="6"/>
      <c r="AL92" s="6"/>
      <c r="AM92" s="6"/>
      <c r="AN92" s="6"/>
      <c r="AO92" s="6"/>
      <c r="AP92" s="7">
        <f>ROUND(604.88,2)</f>
        <v>604.88</v>
      </c>
      <c r="AQ92" s="6"/>
      <c r="AR92" s="7">
        <f>ROUND(71.03,2)</f>
        <v>71.03</v>
      </c>
      <c r="AS92" s="6"/>
      <c r="AT92" s="6"/>
      <c r="AU92" s="7">
        <f>ROUND(76,2)</f>
        <v>76</v>
      </c>
      <c r="AV92" s="6"/>
      <c r="AW92" s="7">
        <f>ROUND(40.65,2)</f>
        <v>40.65</v>
      </c>
      <c r="AX92" s="7">
        <f>ROUND(1.35,2)</f>
        <v>1.35</v>
      </c>
      <c r="AY92" s="7">
        <f>ROUND(64,2)</f>
        <v>64</v>
      </c>
      <c r="AZ92" s="6"/>
      <c r="BA92" s="6"/>
      <c r="BB92" s="7">
        <f>ROUND(26,2)</f>
        <v>26</v>
      </c>
      <c r="BC92" s="6"/>
      <c r="BD92" s="7">
        <f>ROUND(8,2)</f>
        <v>8</v>
      </c>
      <c r="BE92" s="7">
        <f>ROUND(2.4,2)</f>
        <v>2.4</v>
      </c>
      <c r="BF92" s="6"/>
      <c r="BG92" s="6"/>
      <c r="BH92" s="6"/>
      <c r="BI92" s="6"/>
      <c r="BJ92" s="6"/>
      <c r="BK92" s="6"/>
      <c r="BL92" s="6"/>
      <c r="BM92" s="6"/>
      <c r="BN92" s="6"/>
      <c r="BO92" s="7">
        <f>ROUND(53.08,2)</f>
        <v>53.08</v>
      </c>
      <c r="BP92" s="6"/>
      <c r="BQ92" s="7">
        <f>ROUND(23.5,2)</f>
        <v>23.5</v>
      </c>
      <c r="BR92" s="7">
        <f>ROUND(2.58,2)</f>
        <v>2.58</v>
      </c>
      <c r="BS92" s="6"/>
      <c r="BT92" s="7">
        <f>ROUND(2.15,2)</f>
        <v>2.15</v>
      </c>
      <c r="BU92" s="6"/>
      <c r="BV92" s="6"/>
      <c r="BW92" s="6"/>
      <c r="BX92" s="6"/>
      <c r="BY92" s="7">
        <f>ROUND(16,2)</f>
        <v>16</v>
      </c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7">
        <f>ROUND(2466.48,2)</f>
        <v>2466.48</v>
      </c>
      <c r="CR92" s="6"/>
      <c r="CS92" s="6"/>
      <c r="CT92" s="6"/>
      <c r="CU92" s="6"/>
      <c r="CV92" s="7">
        <f>ROUND(29899.64,2)</f>
        <v>29899.64</v>
      </c>
      <c r="CW92" s="6"/>
      <c r="CX92" s="6"/>
      <c r="CY92" s="7">
        <f>ROUND(8863.42,2)</f>
        <v>8863.42</v>
      </c>
      <c r="CZ92" s="6"/>
      <c r="DA92" s="6"/>
      <c r="DB92" s="6"/>
      <c r="DC92" s="6"/>
      <c r="DD92" s="7">
        <f>ROUND(536.87,2)</f>
        <v>536.87</v>
      </c>
      <c r="DE92" s="7">
        <f>ROUND(1303.82,2)</f>
        <v>1303.82</v>
      </c>
      <c r="DF92" s="7">
        <f>ROUND(13.48,2)</f>
        <v>13.48</v>
      </c>
      <c r="DG92" s="6"/>
      <c r="DH92" s="6"/>
      <c r="DI92" s="6"/>
      <c r="DJ92" s="6"/>
      <c r="DK92" s="6"/>
      <c r="DL92" s="6"/>
      <c r="DM92" s="6"/>
      <c r="DN92" s="7">
        <f>ROUND(9895.49,2)</f>
        <v>9895.49</v>
      </c>
      <c r="DO92" s="6"/>
      <c r="DP92" s="7">
        <f>ROUND(1393.85,2)</f>
        <v>1393.85</v>
      </c>
      <c r="DQ92" s="6"/>
      <c r="DR92" s="6"/>
      <c r="DS92" s="6"/>
      <c r="DT92" s="6"/>
      <c r="DU92" s="6"/>
      <c r="DV92" s="6"/>
      <c r="DW92" s="6"/>
      <c r="DX92" s="6"/>
      <c r="DY92" s="7">
        <f>ROUND(19721.1899999999,2)</f>
        <v>19721.189999999999</v>
      </c>
      <c r="DZ92" s="6"/>
      <c r="EA92" s="7">
        <f>ROUND(3476.34,2)</f>
        <v>3476.34</v>
      </c>
      <c r="EB92" s="6"/>
      <c r="EC92" s="6"/>
      <c r="ED92" s="7">
        <f>ROUND(2476.7,2)</f>
        <v>2476.6999999999998</v>
      </c>
      <c r="EE92" s="6"/>
      <c r="EF92" s="7">
        <f>ROUND(1325.04,2)</f>
        <v>1325.04</v>
      </c>
      <c r="EG92" s="7">
        <f>ROUND(64.98,2)</f>
        <v>64.98</v>
      </c>
      <c r="EH92" s="7">
        <f>ROUND(2117.84,2)</f>
        <v>2117.84</v>
      </c>
      <c r="EI92" s="6"/>
      <c r="EJ92" s="6"/>
      <c r="EK92" s="7">
        <f>ROUND(851.62,2)</f>
        <v>851.62</v>
      </c>
      <c r="EL92" s="6"/>
      <c r="EM92" s="6"/>
      <c r="EN92" s="7">
        <f>ROUND(256.72,2)</f>
        <v>256.72000000000003</v>
      </c>
      <c r="EO92" s="7">
        <f>ROUND(108.79,2)</f>
        <v>108.79</v>
      </c>
      <c r="EP92" s="6"/>
      <c r="EQ92" s="6"/>
      <c r="ER92" s="7">
        <f>ROUND(344,2)</f>
        <v>344</v>
      </c>
      <c r="ES92" s="6"/>
      <c r="ET92" s="6"/>
      <c r="EU92" s="6"/>
      <c r="EV92" s="7">
        <f>ROUND(500,2)</f>
        <v>500</v>
      </c>
      <c r="EW92" s="6"/>
      <c r="EX92" s="6"/>
      <c r="EY92" s="6"/>
      <c r="EZ92" s="6"/>
      <c r="FA92" s="6"/>
      <c r="FB92" s="7">
        <f>ROUND(1731.25,2)</f>
        <v>1731.25</v>
      </c>
      <c r="FC92" s="6"/>
      <c r="FD92" s="7">
        <f>ROUND(762.83,2)</f>
        <v>762.83</v>
      </c>
      <c r="FE92" s="7">
        <f>ROUND(126.76,2)</f>
        <v>126.76</v>
      </c>
      <c r="FF92" s="6"/>
      <c r="FG92" s="6"/>
      <c r="FH92" s="6"/>
      <c r="FI92" s="6"/>
      <c r="FJ92" s="7">
        <f>ROUND(1200,2)</f>
        <v>1200</v>
      </c>
      <c r="FK92" s="6"/>
      <c r="FL92" s="6"/>
      <c r="FM92" s="6"/>
      <c r="FN92" s="6"/>
      <c r="FO92" s="6"/>
      <c r="FP92" s="6"/>
      <c r="FQ92" s="6"/>
      <c r="FR92" s="6"/>
      <c r="FS92" s="6"/>
      <c r="FT92" s="7">
        <f>ROUND(3000,2)</f>
        <v>3000</v>
      </c>
      <c r="FU92" s="6"/>
      <c r="FV92" s="6"/>
      <c r="FW92" s="6"/>
      <c r="FX92" s="6"/>
      <c r="FY92" s="7">
        <f>ROUND(89970.63,2)</f>
        <v>89970.63</v>
      </c>
    </row>
    <row r="93" spans="1:181" ht="26.4" x14ac:dyDescent="0.3">
      <c r="A93" s="4" t="s">
        <v>402</v>
      </c>
      <c r="B93" s="5"/>
      <c r="C93" s="5" t="s">
        <v>244</v>
      </c>
      <c r="D93" s="5" t="s">
        <v>403</v>
      </c>
      <c r="E93" s="5" t="s">
        <v>404</v>
      </c>
      <c r="F93" s="5" t="s">
        <v>0</v>
      </c>
      <c r="G93" s="5" t="s">
        <v>247</v>
      </c>
      <c r="H93" s="8">
        <f>ROUND(20.2601,2)</f>
        <v>20.260000000000002</v>
      </c>
      <c r="I93" s="7">
        <f>ROUND(43148.77,2)</f>
        <v>43148.77</v>
      </c>
      <c r="J93" s="7">
        <f>ROUND(1522,2)</f>
        <v>1522</v>
      </c>
      <c r="K93" s="7">
        <f>ROUND(208,2)</f>
        <v>208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7">
        <f>ROUND(16,2)</f>
        <v>16</v>
      </c>
      <c r="BX93" s="6"/>
      <c r="BY93" s="6"/>
      <c r="BZ93" s="6"/>
      <c r="CA93" s="6"/>
      <c r="CB93" s="6"/>
      <c r="CC93" s="6"/>
      <c r="CD93" s="6"/>
      <c r="CE93" s="6"/>
      <c r="CF93" s="7">
        <f>ROUND(40,2)</f>
        <v>40</v>
      </c>
      <c r="CG93" s="6"/>
      <c r="CH93" s="7">
        <f>ROUND(8,2)</f>
        <v>8</v>
      </c>
      <c r="CI93" s="7">
        <f>ROUND(72,2)</f>
        <v>72</v>
      </c>
      <c r="CJ93" s="7">
        <f>ROUND(18.5,2)</f>
        <v>18.5</v>
      </c>
      <c r="CK93" s="6"/>
      <c r="CL93" s="7">
        <f>ROUND(52,2)</f>
        <v>52</v>
      </c>
      <c r="CM93" s="6"/>
      <c r="CN93" s="7">
        <f>ROUND(64,2)</f>
        <v>64</v>
      </c>
      <c r="CO93" s="6"/>
      <c r="CP93" s="7">
        <f>ROUND(16,2)</f>
        <v>16</v>
      </c>
      <c r="CQ93" s="7">
        <f>ROUND(2016.5,2)</f>
        <v>2016.5</v>
      </c>
      <c r="CR93" s="7">
        <f>ROUND(30835.72,2)</f>
        <v>30835.72</v>
      </c>
      <c r="CS93" s="7">
        <f>ROUND(6321.14,2)</f>
        <v>6321.14</v>
      </c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7">
        <f>ROUND(324.16,2)</f>
        <v>324.16000000000003</v>
      </c>
      <c r="FH93" s="6"/>
      <c r="FI93" s="6"/>
      <c r="FJ93" s="6"/>
      <c r="FK93" s="6"/>
      <c r="FL93" s="7">
        <f>ROUND(810.4,2)</f>
        <v>810.4</v>
      </c>
      <c r="FM93" s="6"/>
      <c r="FN93" s="7">
        <f>ROUND(162.08,2)</f>
        <v>162.08000000000001</v>
      </c>
      <c r="FO93" s="7">
        <f>ROUND(1458.73,2)</f>
        <v>1458.73</v>
      </c>
      <c r="FP93" s="7">
        <f>ROUND(562.22,2)</f>
        <v>562.22</v>
      </c>
      <c r="FQ93" s="6"/>
      <c r="FR93" s="6"/>
      <c r="FS93" s="7">
        <f>ROUND(1053.52,2)</f>
        <v>1053.52</v>
      </c>
      <c r="FT93" s="6"/>
      <c r="FU93" s="6"/>
      <c r="FV93" s="7">
        <f>ROUND(1296.64,2)</f>
        <v>1296.6400000000001</v>
      </c>
      <c r="FW93" s="6"/>
      <c r="FX93" s="7">
        <f>ROUND(324.16,2)</f>
        <v>324.16000000000003</v>
      </c>
      <c r="FY93" s="7">
        <f>ROUND(43148.7699999999,2)</f>
        <v>43148.77</v>
      </c>
    </row>
    <row r="94" spans="1:181" x14ac:dyDescent="0.3">
      <c r="A94" s="4" t="s">
        <v>405</v>
      </c>
      <c r="B94" s="5" t="s">
        <v>1029</v>
      </c>
      <c r="C94" s="5" t="s">
        <v>181</v>
      </c>
      <c r="D94" s="5" t="s">
        <v>406</v>
      </c>
      <c r="E94" s="5" t="s">
        <v>407</v>
      </c>
      <c r="F94" s="5" t="s">
        <v>0</v>
      </c>
      <c r="G94" s="5" t="s">
        <v>183</v>
      </c>
      <c r="H94" s="8">
        <v>32.090000000000003</v>
      </c>
      <c r="I94" s="7">
        <f>ROUND(31106.9799999999,2)</f>
        <v>31106.98</v>
      </c>
      <c r="J94" s="6"/>
      <c r="K94" s="6"/>
      <c r="L94" s="6"/>
      <c r="M94" s="6"/>
      <c r="N94" s="7">
        <f>ROUND(595.25,2)</f>
        <v>595.25</v>
      </c>
      <c r="O94" s="6"/>
      <c r="P94" s="6"/>
      <c r="Q94" s="7">
        <f>ROUND(48.2,2)</f>
        <v>48.2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7">
        <f>ROUND(28,2)</f>
        <v>28</v>
      </c>
      <c r="AV94" s="6"/>
      <c r="AW94" s="7">
        <f>ROUND(16,2)</f>
        <v>16</v>
      </c>
      <c r="AX94" s="6"/>
      <c r="AY94" s="7">
        <f>ROUND(29.2,2)</f>
        <v>29.2</v>
      </c>
      <c r="AZ94" s="7">
        <f>ROUND(2.8,2)</f>
        <v>2.8</v>
      </c>
      <c r="BA94" s="6"/>
      <c r="BB94" s="7">
        <f>ROUND(40,2)</f>
        <v>40</v>
      </c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7">
        <f>ROUND(16,2)</f>
        <v>16</v>
      </c>
      <c r="BT94" s="7">
        <f>ROUND(4.42,2)</f>
        <v>4.42</v>
      </c>
      <c r="BU94" s="6"/>
      <c r="BV94" s="6"/>
      <c r="BW94" s="6"/>
      <c r="BX94" s="6"/>
      <c r="BY94" s="6"/>
      <c r="BZ94" s="7">
        <f>ROUND(32,2)</f>
        <v>32</v>
      </c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7">
        <f>ROUND(168,2)</f>
        <v>168</v>
      </c>
      <c r="CQ94" s="7">
        <f>ROUND(979.87,2)</f>
        <v>979.87</v>
      </c>
      <c r="CR94" s="6"/>
      <c r="CS94" s="6"/>
      <c r="CT94" s="6"/>
      <c r="CU94" s="6"/>
      <c r="CV94" s="7">
        <f>ROUND(19128.38,2)</f>
        <v>19128.38</v>
      </c>
      <c r="CW94" s="6"/>
      <c r="CX94" s="6"/>
      <c r="CY94" s="7">
        <f>ROUND(2320.11,2)</f>
        <v>2320.11</v>
      </c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7">
        <f>ROUND(898.52,2)</f>
        <v>898.52</v>
      </c>
      <c r="EE94" s="6"/>
      <c r="EF94" s="7">
        <f>ROUND(513.44,2)</f>
        <v>513.44000000000005</v>
      </c>
      <c r="EG94" s="6"/>
      <c r="EH94" s="7">
        <f>ROUND(937.03,2)</f>
        <v>937.03</v>
      </c>
      <c r="EI94" s="7">
        <f>ROUND(134.78,2)</f>
        <v>134.78</v>
      </c>
      <c r="EJ94" s="6"/>
      <c r="EK94" s="7">
        <f>ROUND(1283.6,2)</f>
        <v>1283.5999999999999</v>
      </c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7">
        <f>ROUND(500,2)</f>
        <v>500</v>
      </c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7">
        <f>ROUND(5391.12,2)</f>
        <v>5391.12</v>
      </c>
      <c r="FY94" s="7">
        <f>ROUND(31106.9799999999,2)</f>
        <v>31106.98</v>
      </c>
    </row>
    <row r="95" spans="1:181" x14ac:dyDescent="0.3">
      <c r="A95" s="4" t="s">
        <v>408</v>
      </c>
      <c r="B95" s="5" t="s">
        <v>1029</v>
      </c>
      <c r="C95" s="5" t="s">
        <v>236</v>
      </c>
      <c r="D95" s="5" t="s">
        <v>309</v>
      </c>
      <c r="E95" s="5" t="s">
        <v>0</v>
      </c>
      <c r="F95" s="5" t="s">
        <v>0</v>
      </c>
      <c r="G95" s="5" t="s">
        <v>238</v>
      </c>
      <c r="H95" s="8">
        <v>37.75</v>
      </c>
      <c r="I95" s="7">
        <f>ROUND(130578.979999999,2)</f>
        <v>130578.98</v>
      </c>
      <c r="J95" s="6"/>
      <c r="K95" s="6"/>
      <c r="L95" s="7">
        <f>ROUND(2024,2)</f>
        <v>2024</v>
      </c>
      <c r="M95" s="7">
        <f>ROUND(756,2)</f>
        <v>756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7">
        <f>ROUND(56,2)</f>
        <v>56</v>
      </c>
      <c r="AV95" s="6"/>
      <c r="AW95" s="7">
        <f>ROUND(32,2)</f>
        <v>32</v>
      </c>
      <c r="AX95" s="7">
        <f>ROUND(8,2)</f>
        <v>8</v>
      </c>
      <c r="AY95" s="7">
        <f>ROUND(16,2)</f>
        <v>16</v>
      </c>
      <c r="AZ95" s="7">
        <f>ROUND(8,2)</f>
        <v>8</v>
      </c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7">
        <f>ROUND(104,2)</f>
        <v>104</v>
      </c>
      <c r="CQ95" s="7">
        <f>ROUND(3004,2)</f>
        <v>3004</v>
      </c>
      <c r="CR95" s="6"/>
      <c r="CS95" s="6"/>
      <c r="CT95" s="7">
        <f>ROUND(74652.48,2)</f>
        <v>74652.479999999996</v>
      </c>
      <c r="CU95" s="7">
        <f>ROUND(41879.7,2)</f>
        <v>41879.699999999997</v>
      </c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7">
        <f>ROUND(2063.12,2)</f>
        <v>2063.12</v>
      </c>
      <c r="EE95" s="6"/>
      <c r="EF95" s="7">
        <f>ROUND(1185.12,2)</f>
        <v>1185.1199999999999</v>
      </c>
      <c r="EG95" s="7">
        <f>ROUND(448.56,2)</f>
        <v>448.56</v>
      </c>
      <c r="EH95" s="7">
        <f>ROUND(576,2)</f>
        <v>576</v>
      </c>
      <c r="EI95" s="7">
        <f>ROUND(432,2)</f>
        <v>432</v>
      </c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7">
        <f>ROUND(500,2)</f>
        <v>500</v>
      </c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7">
        <f>ROUND(2000,2)</f>
        <v>2000</v>
      </c>
      <c r="FK95" s="6"/>
      <c r="FL95" s="6"/>
      <c r="FM95" s="6"/>
      <c r="FN95" s="6"/>
      <c r="FO95" s="6"/>
      <c r="FP95" s="6"/>
      <c r="FQ95" s="6"/>
      <c r="FR95" s="6"/>
      <c r="FS95" s="6"/>
      <c r="FT95" s="7">
        <f>ROUND(3000,2)</f>
        <v>3000</v>
      </c>
      <c r="FU95" s="6"/>
      <c r="FV95" s="6"/>
      <c r="FW95" s="6"/>
      <c r="FX95" s="7">
        <f>ROUND(3842,2)</f>
        <v>3842</v>
      </c>
      <c r="FY95" s="7">
        <f>ROUND(130578.98,2)</f>
        <v>130578.98</v>
      </c>
    </row>
    <row r="96" spans="1:181" ht="26.4" x14ac:dyDescent="0.3">
      <c r="A96" s="4" t="s">
        <v>409</v>
      </c>
      <c r="B96" s="5"/>
      <c r="C96" s="5" t="s">
        <v>294</v>
      </c>
      <c r="D96" s="5" t="s">
        <v>410</v>
      </c>
      <c r="E96" s="5" t="s">
        <v>411</v>
      </c>
      <c r="F96" s="5" t="s">
        <v>0</v>
      </c>
      <c r="G96" s="5" t="s">
        <v>315</v>
      </c>
      <c r="H96" s="8">
        <f>ROUND(1365.39,2)</f>
        <v>1365.39</v>
      </c>
      <c r="I96" s="7">
        <f>ROUND(33177.0499999999,2)</f>
        <v>33177.050000000003</v>
      </c>
      <c r="J96" s="7">
        <f>ROUND(824,2)</f>
        <v>824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7">
        <f>ROUND(-16,2)</f>
        <v>-16</v>
      </c>
      <c r="AC96" s="7">
        <f>ROUND(4,2)</f>
        <v>4</v>
      </c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7">
        <f>ROUND(8,2)</f>
        <v>8</v>
      </c>
      <c r="BX96" s="6"/>
      <c r="BY96" s="6"/>
      <c r="BZ96" s="6"/>
      <c r="CA96" s="6"/>
      <c r="CB96" s="6"/>
      <c r="CC96" s="6"/>
      <c r="CD96" s="6"/>
      <c r="CE96" s="6"/>
      <c r="CF96" s="6"/>
      <c r="CG96" s="7">
        <f>ROUND(16,2)</f>
        <v>16</v>
      </c>
      <c r="CH96" s="7">
        <f>ROUND(24,2)</f>
        <v>24</v>
      </c>
      <c r="CI96" s="6"/>
      <c r="CJ96" s="6"/>
      <c r="CK96" s="6"/>
      <c r="CL96" s="6"/>
      <c r="CM96" s="6"/>
      <c r="CN96" s="7">
        <f>ROUND(64,2)</f>
        <v>64</v>
      </c>
      <c r="CO96" s="6"/>
      <c r="CP96" s="6"/>
      <c r="CQ96" s="7">
        <f>ROUND(924,2)</f>
        <v>924</v>
      </c>
      <c r="CR96" s="7">
        <f>ROUND(28127.0099999999,2)</f>
        <v>28127.01</v>
      </c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7">
        <f>ROUND(-546.16,2)</f>
        <v>-546.16</v>
      </c>
      <c r="DL96" s="7">
        <f>ROUND(1500,2)</f>
        <v>1500</v>
      </c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7">
        <f>ROUND(273.08,2)</f>
        <v>273.08</v>
      </c>
      <c r="FH96" s="6"/>
      <c r="FI96" s="6"/>
      <c r="FJ96" s="7">
        <f>ROUND(273.08,2)</f>
        <v>273.08</v>
      </c>
      <c r="FK96" s="6"/>
      <c r="FL96" s="6"/>
      <c r="FM96" s="7">
        <f>ROUND(546.16,2)</f>
        <v>546.16</v>
      </c>
      <c r="FN96" s="7">
        <f>ROUND(819.24,2)</f>
        <v>819.24</v>
      </c>
      <c r="FO96" s="6"/>
      <c r="FP96" s="6"/>
      <c r="FQ96" s="6"/>
      <c r="FR96" s="6"/>
      <c r="FS96" s="6"/>
      <c r="FT96" s="6"/>
      <c r="FU96" s="6"/>
      <c r="FV96" s="7">
        <f>ROUND(2184.64,2)</f>
        <v>2184.64</v>
      </c>
      <c r="FW96" s="6"/>
      <c r="FX96" s="6"/>
      <c r="FY96" s="7">
        <f>ROUND(33177.0499999999,2)</f>
        <v>33177.050000000003</v>
      </c>
    </row>
    <row r="97" spans="1:181" x14ac:dyDescent="0.3">
      <c r="A97" s="4" t="s">
        <v>412</v>
      </c>
      <c r="B97" s="5" t="s">
        <v>1029</v>
      </c>
      <c r="C97" s="5" t="s">
        <v>181</v>
      </c>
      <c r="D97" s="5" t="s">
        <v>413</v>
      </c>
      <c r="E97" s="5" t="s">
        <v>0</v>
      </c>
      <c r="F97" s="5" t="s">
        <v>0</v>
      </c>
      <c r="G97" s="5" t="s">
        <v>183</v>
      </c>
      <c r="H97" s="8">
        <v>33.380000000000003</v>
      </c>
      <c r="I97" s="7">
        <f>ROUND(87246.8599999999,2)</f>
        <v>87246.86</v>
      </c>
      <c r="J97" s="6"/>
      <c r="K97" s="6"/>
      <c r="L97" s="6"/>
      <c r="M97" s="6"/>
      <c r="N97" s="7">
        <f>ROUND(357,2)</f>
        <v>357</v>
      </c>
      <c r="O97" s="6"/>
      <c r="P97" s="6"/>
      <c r="Q97" s="7">
        <f>ROUND(31.76,2)</f>
        <v>31.76</v>
      </c>
      <c r="R97" s="6"/>
      <c r="S97" s="6"/>
      <c r="T97" s="6"/>
      <c r="U97" s="6"/>
      <c r="V97" s="7">
        <f>ROUND(2.87,2)</f>
        <v>2.87</v>
      </c>
      <c r="W97" s="6"/>
      <c r="X97" s="7">
        <f>ROUND(0.9,2)</f>
        <v>0.9</v>
      </c>
      <c r="Y97" s="6"/>
      <c r="Z97" s="6"/>
      <c r="AA97" s="6"/>
      <c r="AB97" s="6"/>
      <c r="AC97" s="6"/>
      <c r="AD97" s="6"/>
      <c r="AE97" s="7">
        <f>ROUND(1174.17999999999,2)</f>
        <v>1174.18</v>
      </c>
      <c r="AF97" s="6"/>
      <c r="AG97" s="7">
        <f>ROUND(205.94,2)</f>
        <v>205.94</v>
      </c>
      <c r="AH97" s="6"/>
      <c r="AI97" s="6"/>
      <c r="AJ97" s="6"/>
      <c r="AK97" s="6"/>
      <c r="AL97" s="6"/>
      <c r="AM97" s="6"/>
      <c r="AN97" s="6"/>
      <c r="AO97" s="6"/>
      <c r="AP97" s="7">
        <f>ROUND(274.14,2)</f>
        <v>274.14</v>
      </c>
      <c r="AQ97" s="6"/>
      <c r="AR97" s="7">
        <f>ROUND(39.6999999999999,2)</f>
        <v>39.700000000000003</v>
      </c>
      <c r="AS97" s="6"/>
      <c r="AT97" s="6"/>
      <c r="AU97" s="7">
        <f>ROUND(66,2)</f>
        <v>66</v>
      </c>
      <c r="AV97" s="7">
        <f>ROUND(8,2)</f>
        <v>8</v>
      </c>
      <c r="AW97" s="7">
        <f>ROUND(43.58,2)</f>
        <v>43.58</v>
      </c>
      <c r="AX97" s="7">
        <f>ROUND(6.42,2)</f>
        <v>6.42</v>
      </c>
      <c r="AY97" s="7">
        <f>ROUND(122,2)</f>
        <v>122</v>
      </c>
      <c r="AZ97" s="6"/>
      <c r="BA97" s="6"/>
      <c r="BB97" s="7">
        <f>ROUND(38,2)</f>
        <v>38</v>
      </c>
      <c r="BC97" s="6"/>
      <c r="BD97" s="7">
        <f>ROUND(8,2)</f>
        <v>8</v>
      </c>
      <c r="BE97" s="7">
        <f>ROUND(1.58,2)</f>
        <v>1.58</v>
      </c>
      <c r="BF97" s="6"/>
      <c r="BG97" s="6"/>
      <c r="BH97" s="6"/>
      <c r="BI97" s="6"/>
      <c r="BJ97" s="6"/>
      <c r="BK97" s="6"/>
      <c r="BL97" s="6"/>
      <c r="BM97" s="6"/>
      <c r="BN97" s="6"/>
      <c r="BO97" s="7">
        <f>ROUND(8,2)</f>
        <v>8</v>
      </c>
      <c r="BP97" s="6"/>
      <c r="BQ97" s="7">
        <f>ROUND(10.83,2)</f>
        <v>10.83</v>
      </c>
      <c r="BR97" s="6"/>
      <c r="BS97" s="7">
        <f>ROUND(8,2)</f>
        <v>8</v>
      </c>
      <c r="BT97" s="6"/>
      <c r="BU97" s="6"/>
      <c r="BV97" s="6"/>
      <c r="BW97" s="6"/>
      <c r="BX97" s="6"/>
      <c r="BY97" s="6"/>
      <c r="BZ97" s="6"/>
      <c r="CA97" s="7">
        <f>ROUND(8,2)</f>
        <v>8</v>
      </c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7">
        <f>ROUND(10,2)</f>
        <v>10</v>
      </c>
      <c r="CO97" s="6"/>
      <c r="CP97" s="6"/>
      <c r="CQ97" s="7">
        <f>ROUND(2424.9,2)</f>
        <v>2424.9</v>
      </c>
      <c r="CR97" s="6"/>
      <c r="CS97" s="6"/>
      <c r="CT97" s="6"/>
      <c r="CU97" s="6"/>
      <c r="CV97" s="7">
        <f>ROUND(11717.3599999999,2)</f>
        <v>11717.36</v>
      </c>
      <c r="CW97" s="6"/>
      <c r="CX97" s="6"/>
      <c r="CY97" s="7">
        <f>ROUND(1546.77,2)</f>
        <v>1546.77</v>
      </c>
      <c r="CZ97" s="6"/>
      <c r="DA97" s="6"/>
      <c r="DB97" s="6"/>
      <c r="DC97" s="6"/>
      <c r="DD97" s="7">
        <f>ROUND(92.53,2)</f>
        <v>92.53</v>
      </c>
      <c r="DE97" s="6"/>
      <c r="DF97" s="7">
        <f>ROUND(28.88,2)</f>
        <v>28.88</v>
      </c>
      <c r="DG97" s="6"/>
      <c r="DH97" s="6"/>
      <c r="DI97" s="6"/>
      <c r="DJ97" s="6"/>
      <c r="DK97" s="6"/>
      <c r="DL97" s="6"/>
      <c r="DM97" s="6"/>
      <c r="DN97" s="7">
        <f>ROUND(38296.4399999999,2)</f>
        <v>38296.44</v>
      </c>
      <c r="DO97" s="6"/>
      <c r="DP97" s="7">
        <f>ROUND(10096.3,2)</f>
        <v>10096.299999999999</v>
      </c>
      <c r="DQ97" s="6"/>
      <c r="DR97" s="6"/>
      <c r="DS97" s="6"/>
      <c r="DT97" s="6"/>
      <c r="DU97" s="6"/>
      <c r="DV97" s="6"/>
      <c r="DW97" s="6"/>
      <c r="DX97" s="6"/>
      <c r="DY97" s="7">
        <f>ROUND(8914.49,2)</f>
        <v>8914.49</v>
      </c>
      <c r="DZ97" s="6"/>
      <c r="EA97" s="7">
        <f>ROUND(1926.37999999999,2)</f>
        <v>1926.38</v>
      </c>
      <c r="EB97" s="6"/>
      <c r="EC97" s="6"/>
      <c r="ED97" s="7">
        <f>ROUND(2143.62,2)</f>
        <v>2143.62</v>
      </c>
      <c r="EE97" s="7">
        <f>ROUND(396.64,2)</f>
        <v>396.64</v>
      </c>
      <c r="EF97" s="7">
        <f>ROUND(1432.63999999999,2)</f>
        <v>1432.64</v>
      </c>
      <c r="EG97" s="7">
        <f>ROUND(318.28,2)</f>
        <v>318.27999999999997</v>
      </c>
      <c r="EH97" s="7">
        <f>ROUND(3938.02,2)</f>
        <v>3938.02</v>
      </c>
      <c r="EI97" s="6"/>
      <c r="EJ97" s="6"/>
      <c r="EK97" s="7">
        <f>ROUND(1229.02,2)</f>
        <v>1229.02</v>
      </c>
      <c r="EL97" s="6"/>
      <c r="EM97" s="6"/>
      <c r="EN97" s="7">
        <f>ROUND(256.72,2)</f>
        <v>256.72000000000003</v>
      </c>
      <c r="EO97" s="7">
        <f>ROUND(52.22,2)</f>
        <v>52.22</v>
      </c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7">
        <f>ROUND(256.72,2)</f>
        <v>256.72000000000003</v>
      </c>
      <c r="FC97" s="6"/>
      <c r="FD97" s="7">
        <f>ROUND(357.93,2)</f>
        <v>357.93</v>
      </c>
      <c r="FE97" s="6"/>
      <c r="FF97" s="6"/>
      <c r="FG97" s="6"/>
      <c r="FH97" s="6"/>
      <c r="FI97" s="6"/>
      <c r="FJ97" s="7">
        <f>ROUND(925,2)</f>
        <v>925</v>
      </c>
      <c r="FK97" s="6"/>
      <c r="FL97" s="6"/>
      <c r="FM97" s="6"/>
      <c r="FN97" s="6"/>
      <c r="FO97" s="6"/>
      <c r="FP97" s="6"/>
      <c r="FQ97" s="6"/>
      <c r="FR97" s="6"/>
      <c r="FS97" s="6"/>
      <c r="FT97" s="7">
        <f>ROUND(3000,2)</f>
        <v>3000</v>
      </c>
      <c r="FU97" s="6"/>
      <c r="FV97" s="7">
        <f>ROUND(320.9,2)</f>
        <v>320.89999999999998</v>
      </c>
      <c r="FW97" s="6"/>
      <c r="FX97" s="6"/>
      <c r="FY97" s="7">
        <f>ROUND(87246.8599999999,2)</f>
        <v>87246.86</v>
      </c>
    </row>
    <row r="98" spans="1:181" x14ac:dyDescent="0.3">
      <c r="A98" s="4" t="s">
        <v>414</v>
      </c>
      <c r="B98" s="5" t="s">
        <v>1029</v>
      </c>
      <c r="C98" s="5" t="s">
        <v>181</v>
      </c>
      <c r="D98" s="5" t="s">
        <v>415</v>
      </c>
      <c r="E98" s="5" t="s">
        <v>0</v>
      </c>
      <c r="F98" s="5" t="s">
        <v>0</v>
      </c>
      <c r="G98" s="5" t="s">
        <v>183</v>
      </c>
      <c r="H98" s="8">
        <v>33.380000000000003</v>
      </c>
      <c r="I98" s="7">
        <f>ROUND(91722.2499999999,2)</f>
        <v>91722.25</v>
      </c>
      <c r="J98" s="6"/>
      <c r="K98" s="6"/>
      <c r="L98" s="6"/>
      <c r="M98" s="6"/>
      <c r="N98" s="7">
        <f>ROUND(1918.64999999999,2)</f>
        <v>1918.65</v>
      </c>
      <c r="O98" s="6"/>
      <c r="P98" s="6"/>
      <c r="Q98" s="7">
        <f>ROUND(226.459999999999,2)</f>
        <v>226.46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7">
        <f>ROUND(79.71,2)</f>
        <v>79.709999999999994</v>
      </c>
      <c r="AF98" s="6"/>
      <c r="AG98" s="7">
        <f>ROUND(117.649999999999,2)</f>
        <v>117.65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7">
        <f>ROUND(68,2)</f>
        <v>68</v>
      </c>
      <c r="AV98" s="6"/>
      <c r="AW98" s="7">
        <f>ROUND(26.23,2)</f>
        <v>26.23</v>
      </c>
      <c r="AX98" s="7">
        <f>ROUND(5.77,2)</f>
        <v>5.77</v>
      </c>
      <c r="AY98" s="6"/>
      <c r="AZ98" s="6"/>
      <c r="BA98" s="6"/>
      <c r="BB98" s="7">
        <f>ROUND(40,2)</f>
        <v>40</v>
      </c>
      <c r="BC98" s="6"/>
      <c r="BD98" s="7">
        <f>ROUND(8,2)</f>
        <v>8</v>
      </c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7">
        <f>ROUND(2490.47,2)</f>
        <v>2490.4699999999998</v>
      </c>
      <c r="CR98" s="6"/>
      <c r="CS98" s="6"/>
      <c r="CT98" s="6"/>
      <c r="CU98" s="6"/>
      <c r="CV98" s="7">
        <f>ROUND(62804.9099999999,2)</f>
        <v>62804.91</v>
      </c>
      <c r="CW98" s="6"/>
      <c r="CX98" s="6"/>
      <c r="CY98" s="7">
        <f>ROUND(11143.96,2)</f>
        <v>11143.96</v>
      </c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7">
        <f>ROUND(2584.20999999999,2)</f>
        <v>2584.21</v>
      </c>
      <c r="DO98" s="6"/>
      <c r="DP98" s="7">
        <f>ROUND(5765.22,2)</f>
        <v>5765.22</v>
      </c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7">
        <f>ROUND(2215.48,2)</f>
        <v>2215.48</v>
      </c>
      <c r="EE98" s="6"/>
      <c r="EF98" s="7">
        <f>ROUND(857.079999999999,2)</f>
        <v>857.08</v>
      </c>
      <c r="EG98" s="7">
        <f>ROUND(277.74,2)</f>
        <v>277.74</v>
      </c>
      <c r="EH98" s="6"/>
      <c r="EI98" s="6"/>
      <c r="EJ98" s="6"/>
      <c r="EK98" s="7">
        <f>ROUND(1283.6,2)</f>
        <v>1283.5999999999999</v>
      </c>
      <c r="EL98" s="6"/>
      <c r="EM98" s="6"/>
      <c r="EN98" s="7">
        <f>ROUND(256.72,2)</f>
        <v>256.72000000000003</v>
      </c>
      <c r="EO98" s="6"/>
      <c r="EP98" s="6"/>
      <c r="EQ98" s="6"/>
      <c r="ER98" s="6"/>
      <c r="ES98" s="6"/>
      <c r="ET98" s="6"/>
      <c r="EU98" s="6"/>
      <c r="EV98" s="7">
        <f>ROUND(458.33,2)</f>
        <v>458.33</v>
      </c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7">
        <f>ROUND(1075,2)</f>
        <v>1075</v>
      </c>
      <c r="FK98" s="6"/>
      <c r="FL98" s="6"/>
      <c r="FM98" s="6"/>
      <c r="FN98" s="6"/>
      <c r="FO98" s="6"/>
      <c r="FP98" s="6"/>
      <c r="FQ98" s="6"/>
      <c r="FR98" s="6"/>
      <c r="FS98" s="6"/>
      <c r="FT98" s="7">
        <f>ROUND(3000,2)</f>
        <v>3000</v>
      </c>
      <c r="FU98" s="6"/>
      <c r="FV98" s="6"/>
      <c r="FW98" s="6"/>
      <c r="FX98" s="6"/>
      <c r="FY98" s="7">
        <f>ROUND(91722.2499999999,2)</f>
        <v>91722.25</v>
      </c>
    </row>
    <row r="99" spans="1:181" x14ac:dyDescent="0.3">
      <c r="A99" s="4" t="s">
        <v>416</v>
      </c>
      <c r="B99" s="5" t="s">
        <v>1029</v>
      </c>
      <c r="C99" s="5" t="s">
        <v>181</v>
      </c>
      <c r="D99" s="5" t="s">
        <v>417</v>
      </c>
      <c r="E99" s="5" t="s">
        <v>418</v>
      </c>
      <c r="F99" s="5" t="s">
        <v>0</v>
      </c>
      <c r="G99" s="5" t="s">
        <v>183</v>
      </c>
      <c r="H99" s="8">
        <v>32.090000000000003</v>
      </c>
      <c r="I99" s="7">
        <f>ROUND(6418,2)</f>
        <v>6418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7">
        <f>ROUND(200,2)</f>
        <v>200</v>
      </c>
      <c r="BT99" s="6"/>
      <c r="BU99" s="6"/>
      <c r="BV99" s="6"/>
      <c r="BW99" s="7">
        <f>ROUND(16,2)</f>
        <v>16</v>
      </c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7">
        <f>ROUND(200,2)</f>
        <v>200</v>
      </c>
      <c r="CQ99" s="7">
        <f>ROUND(416,2)</f>
        <v>416</v>
      </c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7">
        <f>ROUND(6418,2)</f>
        <v>6418</v>
      </c>
      <c r="FY99" s="7">
        <f>ROUND(6418,2)</f>
        <v>6418</v>
      </c>
    </row>
    <row r="100" spans="1:181" x14ac:dyDescent="0.3">
      <c r="A100" s="4" t="s">
        <v>419</v>
      </c>
      <c r="B100" s="5" t="s">
        <v>1029</v>
      </c>
      <c r="C100" s="5" t="s">
        <v>181</v>
      </c>
      <c r="D100" s="5" t="s">
        <v>420</v>
      </c>
      <c r="E100" s="5" t="s">
        <v>0</v>
      </c>
      <c r="F100" s="5" t="s">
        <v>0</v>
      </c>
      <c r="G100" s="5" t="s">
        <v>183</v>
      </c>
      <c r="H100" s="8">
        <v>33.380000000000003</v>
      </c>
      <c r="I100" s="7">
        <f>ROUND(35831.73,2)</f>
        <v>35831.730000000003</v>
      </c>
      <c r="J100" s="6"/>
      <c r="K100" s="6"/>
      <c r="L100" s="6"/>
      <c r="M100" s="6"/>
      <c r="N100" s="7">
        <f>ROUND(400.84,2)</f>
        <v>400.84</v>
      </c>
      <c r="O100" s="6"/>
      <c r="P100" s="6"/>
      <c r="Q100" s="7">
        <f>ROUND(103.589999999999,2)</f>
        <v>103.59</v>
      </c>
      <c r="R100" s="6"/>
      <c r="S100" s="6"/>
      <c r="T100" s="6"/>
      <c r="U100" s="6"/>
      <c r="V100" s="6"/>
      <c r="W100" s="7">
        <f>ROUND(10.67,2)</f>
        <v>10.67</v>
      </c>
      <c r="X100" s="6"/>
      <c r="Y100" s="7">
        <f>ROUND(1.17,2)</f>
        <v>1.17</v>
      </c>
      <c r="Z100" s="6"/>
      <c r="AA100" s="6"/>
      <c r="AB100" s="6"/>
      <c r="AC100" s="6"/>
      <c r="AD100" s="6"/>
      <c r="AE100" s="7">
        <f>ROUND(35.75,2)</f>
        <v>35.75</v>
      </c>
      <c r="AF100" s="6"/>
      <c r="AG100" s="7">
        <f>ROUND(10.5,2)</f>
        <v>10.5</v>
      </c>
      <c r="AH100" s="6"/>
      <c r="AI100" s="6"/>
      <c r="AJ100" s="6"/>
      <c r="AK100" s="6"/>
      <c r="AL100" s="6"/>
      <c r="AM100" s="6"/>
      <c r="AN100" s="6"/>
      <c r="AO100" s="6"/>
      <c r="AP100" s="7">
        <f>ROUND(174.38,2)</f>
        <v>174.38</v>
      </c>
      <c r="AQ100" s="6"/>
      <c r="AR100" s="7">
        <f>ROUND(5.31,2)</f>
        <v>5.31</v>
      </c>
      <c r="AS100" s="6"/>
      <c r="AT100" s="6"/>
      <c r="AU100" s="7">
        <f>ROUND(28,2)</f>
        <v>28</v>
      </c>
      <c r="AV100" s="6"/>
      <c r="AW100" s="7">
        <f>ROUND(34,2)</f>
        <v>34</v>
      </c>
      <c r="AX100" s="6"/>
      <c r="AY100" s="7">
        <f>ROUND(34,2)</f>
        <v>34</v>
      </c>
      <c r="AZ100" s="6"/>
      <c r="BA100" s="6"/>
      <c r="BB100" s="7">
        <f>ROUND(50,2)</f>
        <v>50</v>
      </c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7">
        <f>ROUND(15,2)</f>
        <v>15</v>
      </c>
      <c r="BP100" s="6"/>
      <c r="BQ100" s="7">
        <f>ROUND(6.08,2)</f>
        <v>6.08</v>
      </c>
      <c r="BR100" s="7">
        <f>ROUND(5.67,2)</f>
        <v>5.67</v>
      </c>
      <c r="BS100" s="7">
        <f>ROUND(185.6,2)</f>
        <v>185.6</v>
      </c>
      <c r="BT100" s="7">
        <f>ROUND(15.9,2)</f>
        <v>15.9</v>
      </c>
      <c r="BU100" s="6"/>
      <c r="BV100" s="6"/>
      <c r="BW100" s="7">
        <f>ROUND(40,2)</f>
        <v>40</v>
      </c>
      <c r="BX100" s="6"/>
      <c r="BY100" s="6"/>
      <c r="BZ100" s="6"/>
      <c r="CA100" s="7">
        <f>ROUND(130,2)</f>
        <v>130</v>
      </c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7">
        <f>ROUND(8,2)</f>
        <v>8</v>
      </c>
      <c r="CQ100" s="7">
        <f>ROUND(1294.46,2)</f>
        <v>1294.46</v>
      </c>
      <c r="CR100" s="6"/>
      <c r="CS100" s="6"/>
      <c r="CT100" s="6"/>
      <c r="CU100" s="6"/>
      <c r="CV100" s="7">
        <f>ROUND(13302.7299999999,2)</f>
        <v>13302.73</v>
      </c>
      <c r="CW100" s="6"/>
      <c r="CX100" s="6"/>
      <c r="CY100" s="7">
        <f>ROUND(5145.24,2)</f>
        <v>5145.24</v>
      </c>
      <c r="CZ100" s="6"/>
      <c r="DA100" s="6"/>
      <c r="DB100" s="6"/>
      <c r="DC100" s="6"/>
      <c r="DD100" s="6"/>
      <c r="DE100" s="7">
        <f>ROUND(530.02,2)</f>
        <v>530.02</v>
      </c>
      <c r="DF100" s="6"/>
      <c r="DG100" s="7">
        <f>ROUND(58.01,2)</f>
        <v>58.01</v>
      </c>
      <c r="DH100" s="6"/>
      <c r="DI100" s="6"/>
      <c r="DJ100" s="6"/>
      <c r="DK100" s="6"/>
      <c r="DL100" s="6"/>
      <c r="DM100" s="6"/>
      <c r="DN100" s="7">
        <f>ROUND(1189.84,2)</f>
        <v>1189.8399999999999</v>
      </c>
      <c r="DO100" s="6"/>
      <c r="DP100" s="7">
        <f>ROUND(520.54,2)</f>
        <v>520.54</v>
      </c>
      <c r="DQ100" s="6"/>
      <c r="DR100" s="6"/>
      <c r="DS100" s="6"/>
      <c r="DT100" s="6"/>
      <c r="DU100" s="6"/>
      <c r="DV100" s="6"/>
      <c r="DW100" s="6"/>
      <c r="DX100" s="6"/>
      <c r="DY100" s="7">
        <f>ROUND(5747.19,2)</f>
        <v>5747.19</v>
      </c>
      <c r="DZ100" s="6"/>
      <c r="EA100" s="7">
        <f>ROUND(263.24,2)</f>
        <v>263.24</v>
      </c>
      <c r="EB100" s="6"/>
      <c r="EC100" s="6"/>
      <c r="ED100" s="7">
        <f>ROUND(928.7,2)</f>
        <v>928.7</v>
      </c>
      <c r="EE100" s="6"/>
      <c r="EF100" s="7">
        <f>ROUND(1123.69999999999,2)</f>
        <v>1123.7</v>
      </c>
      <c r="EG100" s="6"/>
      <c r="EH100" s="7">
        <f>ROUND(1123.69999999999,2)</f>
        <v>1123.7</v>
      </c>
      <c r="EI100" s="6"/>
      <c r="EJ100" s="6"/>
      <c r="EK100" s="7">
        <f>ROUND(1652.5,2)</f>
        <v>1652.5</v>
      </c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7">
        <f>ROUND(497.25,2)</f>
        <v>497.25</v>
      </c>
      <c r="FC100" s="6"/>
      <c r="FD100" s="7">
        <f>ROUND(200.94,2)</f>
        <v>200.94</v>
      </c>
      <c r="FE100" s="7">
        <f>ROUND(281.09,2)</f>
        <v>281.08999999999997</v>
      </c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7">
        <f>ROUND(3000,2)</f>
        <v>3000</v>
      </c>
      <c r="FU100" s="6"/>
      <c r="FV100" s="6"/>
      <c r="FW100" s="6"/>
      <c r="FX100" s="7">
        <f>ROUND(267.04,2)</f>
        <v>267.04000000000002</v>
      </c>
      <c r="FY100" s="7">
        <f>ROUND(35831.73,2)</f>
        <v>35831.730000000003</v>
      </c>
    </row>
    <row r="101" spans="1:181" x14ac:dyDescent="0.3">
      <c r="A101" s="4" t="s">
        <v>421</v>
      </c>
      <c r="B101" s="5" t="s">
        <v>1029</v>
      </c>
      <c r="C101" s="5" t="s">
        <v>181</v>
      </c>
      <c r="D101" s="5" t="s">
        <v>422</v>
      </c>
      <c r="E101" s="5" t="s">
        <v>0</v>
      </c>
      <c r="F101" s="5" t="s">
        <v>254</v>
      </c>
      <c r="G101" s="5" t="s">
        <v>183</v>
      </c>
      <c r="H101" s="9">
        <v>33.04</v>
      </c>
      <c r="I101" s="7">
        <f>ROUND(41992.52,2)</f>
        <v>41992.52</v>
      </c>
      <c r="J101" s="6"/>
      <c r="K101" s="6"/>
      <c r="L101" s="6"/>
      <c r="M101" s="6"/>
      <c r="N101" s="7">
        <f>ROUND(1371.93999999999,2)</f>
        <v>1371.94</v>
      </c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7">
        <f>ROUND(6,2)</f>
        <v>6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7">
        <f>ROUND(40,2)</f>
        <v>40</v>
      </c>
      <c r="AV101" s="6"/>
      <c r="AW101" s="6"/>
      <c r="AX101" s="6"/>
      <c r="AY101" s="6"/>
      <c r="AZ101" s="6"/>
      <c r="BA101" s="6"/>
      <c r="BB101" s="7">
        <f>ROUND(15,2)</f>
        <v>15</v>
      </c>
      <c r="BC101" s="6"/>
      <c r="BD101" s="7">
        <f>ROUND(8,2)</f>
        <v>8</v>
      </c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7">
        <f>ROUND(10.73,2)</f>
        <v>10.73</v>
      </c>
      <c r="BR101" s="6"/>
      <c r="BS101" s="6"/>
      <c r="BT101" s="7">
        <f>ROUND(0.15,2)</f>
        <v>0.15</v>
      </c>
      <c r="BU101" s="6"/>
      <c r="BV101" s="6"/>
      <c r="BW101" s="6"/>
      <c r="BX101" s="6"/>
      <c r="BY101" s="7">
        <f>ROUND(5,2)</f>
        <v>5</v>
      </c>
      <c r="BZ101" s="7">
        <f>ROUND(15,2)</f>
        <v>15</v>
      </c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7">
        <f>ROUND(1471.81999999999,2)</f>
        <v>1471.82</v>
      </c>
      <c r="CR101" s="6"/>
      <c r="CS101" s="6"/>
      <c r="CT101" s="6"/>
      <c r="CU101" s="6"/>
      <c r="CV101" s="7">
        <f>ROUND(37754.97,2)</f>
        <v>37754.97</v>
      </c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7">
        <f>ROUND(154.02,2)</f>
        <v>154.02000000000001</v>
      </c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7">
        <f>ROUND(1068.5,2)</f>
        <v>1068.5</v>
      </c>
      <c r="EE101" s="6"/>
      <c r="EF101" s="6"/>
      <c r="EG101" s="6"/>
      <c r="EH101" s="6"/>
      <c r="EI101" s="6"/>
      <c r="EJ101" s="6"/>
      <c r="EK101" s="7">
        <f>ROUND(421.349999999999,2)</f>
        <v>421.35</v>
      </c>
      <c r="EL101" s="6"/>
      <c r="EM101" s="6"/>
      <c r="EN101" s="7">
        <f>ROUND(218.24,2)</f>
        <v>218.24</v>
      </c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7">
        <f>ROUND(275.44,2)</f>
        <v>275.44</v>
      </c>
      <c r="FE101" s="6"/>
      <c r="FF101" s="6"/>
      <c r="FG101" s="6"/>
      <c r="FH101" s="6"/>
      <c r="FI101" s="6"/>
      <c r="FJ101" s="7">
        <f>ROUND(600,2)</f>
        <v>600</v>
      </c>
      <c r="FK101" s="6"/>
      <c r="FL101" s="6"/>
      <c r="FM101" s="6"/>
      <c r="FN101" s="6"/>
      <c r="FO101" s="6"/>
      <c r="FP101" s="6"/>
      <c r="FQ101" s="6"/>
      <c r="FR101" s="6"/>
      <c r="FS101" s="6"/>
      <c r="FT101" s="7">
        <f>ROUND(1500,2)</f>
        <v>1500</v>
      </c>
      <c r="FU101" s="6"/>
      <c r="FV101" s="6"/>
      <c r="FW101" s="6"/>
      <c r="FX101" s="6"/>
      <c r="FY101" s="7">
        <f>ROUND(41992.52,2)</f>
        <v>41992.52</v>
      </c>
    </row>
    <row r="102" spans="1:181" x14ac:dyDescent="0.3">
      <c r="A102" s="4" t="s">
        <v>423</v>
      </c>
      <c r="B102" s="5" t="s">
        <v>1029</v>
      </c>
      <c r="C102" s="5" t="s">
        <v>181</v>
      </c>
      <c r="D102" s="5" t="s">
        <v>424</v>
      </c>
      <c r="E102" s="5" t="s">
        <v>0</v>
      </c>
      <c r="F102" s="5" t="s">
        <v>0</v>
      </c>
      <c r="G102" s="5" t="s">
        <v>183</v>
      </c>
      <c r="H102" s="9">
        <v>31.71</v>
      </c>
      <c r="I102" s="7">
        <f>ROUND(89233.33,2)</f>
        <v>89233.33</v>
      </c>
      <c r="J102" s="6"/>
      <c r="K102" s="6"/>
      <c r="L102" s="6"/>
      <c r="M102" s="6"/>
      <c r="N102" s="7">
        <f>ROUND(1200.02999999999,2)</f>
        <v>1200.03</v>
      </c>
      <c r="O102" s="6"/>
      <c r="P102" s="6"/>
      <c r="Q102" s="7">
        <f>ROUND(288.469999999999,2)</f>
        <v>288.47000000000003</v>
      </c>
      <c r="R102" s="6"/>
      <c r="S102" s="6"/>
      <c r="T102" s="6"/>
      <c r="U102" s="6"/>
      <c r="V102" s="7">
        <f>ROUND(3.38,2)</f>
        <v>3.38</v>
      </c>
      <c r="W102" s="7">
        <f>ROUND(18.41,2)</f>
        <v>18.41</v>
      </c>
      <c r="X102" s="7">
        <f>ROUND(0.88,2)</f>
        <v>0.88</v>
      </c>
      <c r="Y102" s="7">
        <f>ROUND(0.67,2)</f>
        <v>0.67</v>
      </c>
      <c r="Z102" s="6"/>
      <c r="AA102" s="6"/>
      <c r="AB102" s="6"/>
      <c r="AC102" s="6"/>
      <c r="AD102" s="6"/>
      <c r="AE102" s="7">
        <f>ROUND(189.399999999999,2)</f>
        <v>189.4</v>
      </c>
      <c r="AF102" s="6"/>
      <c r="AG102" s="7">
        <f>ROUND(67.6199999999999,2)</f>
        <v>67.62</v>
      </c>
      <c r="AH102" s="6"/>
      <c r="AI102" s="6"/>
      <c r="AJ102" s="6"/>
      <c r="AK102" s="6"/>
      <c r="AL102" s="6"/>
      <c r="AM102" s="6"/>
      <c r="AN102" s="6"/>
      <c r="AO102" s="6"/>
      <c r="AP102" s="7">
        <f>ROUND(553.17,2)</f>
        <v>553.16999999999996</v>
      </c>
      <c r="AQ102" s="6"/>
      <c r="AR102" s="7">
        <f>ROUND(105.08,2)</f>
        <v>105.08</v>
      </c>
      <c r="AS102" s="6"/>
      <c r="AT102" s="6"/>
      <c r="AU102" s="7">
        <f>ROUND(72,2)</f>
        <v>72</v>
      </c>
      <c r="AV102" s="6"/>
      <c r="AW102" s="7">
        <f>ROUND(40,2)</f>
        <v>40</v>
      </c>
      <c r="AX102" s="6"/>
      <c r="AY102" s="7">
        <f>ROUND(40,2)</f>
        <v>40</v>
      </c>
      <c r="AZ102" s="6"/>
      <c r="BA102" s="6"/>
      <c r="BB102" s="6"/>
      <c r="BC102" s="6"/>
      <c r="BD102" s="7">
        <f>ROUND(8,2)</f>
        <v>8</v>
      </c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7">
        <f>ROUND(23,2)</f>
        <v>23</v>
      </c>
      <c r="BP102" s="6"/>
      <c r="BQ102" s="7">
        <f>ROUND(2.12,2)</f>
        <v>2.12</v>
      </c>
      <c r="BR102" s="7">
        <f>ROUND(9,2)</f>
        <v>9</v>
      </c>
      <c r="BS102" s="6"/>
      <c r="BT102" s="7">
        <f>ROUND(0.65,2)</f>
        <v>0.65</v>
      </c>
      <c r="BU102" s="6"/>
      <c r="BV102" s="6"/>
      <c r="BW102" s="6"/>
      <c r="BX102" s="6"/>
      <c r="BY102" s="6"/>
      <c r="BZ102" s="6"/>
      <c r="CA102" s="7">
        <f>ROUND(6.33,2)</f>
        <v>6.33</v>
      </c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7">
        <f>ROUND(2628.20999999999,2)</f>
        <v>2628.21</v>
      </c>
      <c r="CR102" s="6"/>
      <c r="CS102" s="6"/>
      <c r="CT102" s="6"/>
      <c r="CU102" s="6"/>
      <c r="CV102" s="7">
        <f>ROUND(35533.1,2)</f>
        <v>35533.1</v>
      </c>
      <c r="CW102" s="6"/>
      <c r="CX102" s="6"/>
      <c r="CY102" s="7">
        <f>ROUND(13098.23,2)</f>
        <v>13098.23</v>
      </c>
      <c r="CZ102" s="6"/>
      <c r="DA102" s="6"/>
      <c r="DB102" s="6"/>
      <c r="DC102" s="6"/>
      <c r="DD102" s="7">
        <f>ROUND(97.61,2)</f>
        <v>97.61</v>
      </c>
      <c r="DE102" s="7">
        <f>ROUND(819.77,2)</f>
        <v>819.77</v>
      </c>
      <c r="DF102" s="7">
        <f>ROUND(25.41,2)</f>
        <v>25.41</v>
      </c>
      <c r="DG102" s="7">
        <f>ROUND(29.02,2)</f>
        <v>29.02</v>
      </c>
      <c r="DH102" s="6"/>
      <c r="DI102" s="6"/>
      <c r="DJ102" s="6"/>
      <c r="DK102" s="6"/>
      <c r="DL102" s="6"/>
      <c r="DM102" s="6"/>
      <c r="DN102" s="7">
        <f>ROUND(5513.84,2)</f>
        <v>5513.84</v>
      </c>
      <c r="DO102" s="6"/>
      <c r="DP102" s="7">
        <f>ROUND(2967.68999999999,2)</f>
        <v>2967.69</v>
      </c>
      <c r="DQ102" s="6"/>
      <c r="DR102" s="6"/>
      <c r="DS102" s="6"/>
      <c r="DT102" s="6"/>
      <c r="DU102" s="6"/>
      <c r="DV102" s="6"/>
      <c r="DW102" s="6"/>
      <c r="DX102" s="6"/>
      <c r="DY102" s="7">
        <f>ROUND(16123.7099999999,2)</f>
        <v>16123.71</v>
      </c>
      <c r="DZ102" s="6"/>
      <c r="EA102" s="7">
        <f>ROUND(4694.7,2)</f>
        <v>4694.7</v>
      </c>
      <c r="EB102" s="6"/>
      <c r="EC102" s="6"/>
      <c r="ED102" s="7">
        <f>ROUND(2112.22,2)</f>
        <v>2112.2199999999998</v>
      </c>
      <c r="EE102" s="6"/>
      <c r="EF102" s="7">
        <f>ROUND(1169.92,2)</f>
        <v>1169.92</v>
      </c>
      <c r="EG102" s="6"/>
      <c r="EH102" s="7">
        <f>ROUND(1242.8,2)</f>
        <v>1242.8</v>
      </c>
      <c r="EI102" s="6"/>
      <c r="EJ102" s="6"/>
      <c r="EK102" s="6"/>
      <c r="EL102" s="6"/>
      <c r="EM102" s="6"/>
      <c r="EN102" s="7">
        <f>ROUND(231.04,2)</f>
        <v>231.04</v>
      </c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7">
        <f>ROUND(692.54,2)</f>
        <v>692.54</v>
      </c>
      <c r="FC102" s="6"/>
      <c r="FD102" s="7">
        <f>ROUND(57.83,2)</f>
        <v>57.83</v>
      </c>
      <c r="FE102" s="7">
        <f>ROUND(423.9,2)</f>
        <v>423.9</v>
      </c>
      <c r="FF102" s="6"/>
      <c r="FG102" s="6"/>
      <c r="FH102" s="6"/>
      <c r="FI102" s="6"/>
      <c r="FJ102" s="7">
        <f>ROUND(1400,2)</f>
        <v>1400</v>
      </c>
      <c r="FK102" s="6"/>
      <c r="FL102" s="6"/>
      <c r="FM102" s="6"/>
      <c r="FN102" s="6"/>
      <c r="FO102" s="6"/>
      <c r="FP102" s="6"/>
      <c r="FQ102" s="6"/>
      <c r="FR102" s="6"/>
      <c r="FS102" s="6"/>
      <c r="FT102" s="7">
        <f>ROUND(3000,2)</f>
        <v>3000</v>
      </c>
      <c r="FU102" s="6"/>
      <c r="FV102" s="6"/>
      <c r="FW102" s="6"/>
      <c r="FX102" s="6"/>
      <c r="FY102" s="7">
        <f>ROUND(89233.33,2)</f>
        <v>89233.33</v>
      </c>
    </row>
    <row r="103" spans="1:181" x14ac:dyDescent="0.3">
      <c r="A103" s="4" t="s">
        <v>425</v>
      </c>
      <c r="B103" s="5" t="s">
        <v>1029</v>
      </c>
      <c r="C103" s="5" t="s">
        <v>236</v>
      </c>
      <c r="D103" s="5" t="s">
        <v>426</v>
      </c>
      <c r="E103" s="5" t="s">
        <v>0</v>
      </c>
      <c r="F103" s="5" t="s">
        <v>0</v>
      </c>
      <c r="G103" s="5" t="s">
        <v>238</v>
      </c>
      <c r="H103" s="9">
        <v>38.15</v>
      </c>
      <c r="I103" s="7">
        <f>ROUND(98772.2599999999,2)</f>
        <v>98772.26</v>
      </c>
      <c r="J103" s="6"/>
      <c r="K103" s="6"/>
      <c r="L103" s="7">
        <f>ROUND(1999.28,2)</f>
        <v>1999.28</v>
      </c>
      <c r="M103" s="7">
        <f>ROUND(278.6,2)</f>
        <v>278.60000000000002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7">
        <f>ROUND(48,2)</f>
        <v>48</v>
      </c>
      <c r="AV103" s="6"/>
      <c r="AW103" s="7">
        <f>ROUND(48,2)</f>
        <v>48</v>
      </c>
      <c r="AX103" s="6"/>
      <c r="AY103" s="7">
        <f>ROUND(16,2)</f>
        <v>16</v>
      </c>
      <c r="AZ103" s="7">
        <f>ROUND(24,2)</f>
        <v>24</v>
      </c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7">
        <f>ROUND(2.12,2)</f>
        <v>2.12</v>
      </c>
      <c r="BU103" s="6"/>
      <c r="BV103" s="6"/>
      <c r="BW103" s="7">
        <f>ROUND(8,2)</f>
        <v>8</v>
      </c>
      <c r="BX103" s="6"/>
      <c r="BY103" s="6"/>
      <c r="BZ103" s="6"/>
      <c r="CA103" s="6"/>
      <c r="CB103" s="7">
        <f>ROUND(0.22,2)</f>
        <v>0.22</v>
      </c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7">
        <f>ROUND(2424.22,2)</f>
        <v>2424.2199999999998</v>
      </c>
      <c r="CR103" s="6"/>
      <c r="CS103" s="6"/>
      <c r="CT103" s="7">
        <f>ROUND(73710.9899999999,2)</f>
        <v>73710.990000000005</v>
      </c>
      <c r="CU103" s="7">
        <f>ROUND(15232.63,2)</f>
        <v>15232.63</v>
      </c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7">
        <f>ROUND(1778.32,2)</f>
        <v>1778.32</v>
      </c>
      <c r="EE103" s="6"/>
      <c r="EF103" s="7">
        <f>ROUND(1767.28,2)</f>
        <v>1767.28</v>
      </c>
      <c r="EG103" s="6"/>
      <c r="EH103" s="7">
        <f>ROUND(587.04,2)</f>
        <v>587.04</v>
      </c>
      <c r="EI103" s="7">
        <f>ROUND(1296,2)</f>
        <v>1296</v>
      </c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7">
        <f>ROUND(1400,2)</f>
        <v>1400</v>
      </c>
      <c r="FK103" s="6"/>
      <c r="FL103" s="6"/>
      <c r="FM103" s="6"/>
      <c r="FN103" s="6"/>
      <c r="FO103" s="6"/>
      <c r="FP103" s="6"/>
      <c r="FQ103" s="6"/>
      <c r="FR103" s="6"/>
      <c r="FS103" s="6"/>
      <c r="FT103" s="7">
        <f>ROUND(3000,2)</f>
        <v>3000</v>
      </c>
      <c r="FU103" s="6"/>
      <c r="FV103" s="6"/>
      <c r="FW103" s="6"/>
      <c r="FX103" s="6"/>
      <c r="FY103" s="7">
        <f>ROUND(98772.26,2)</f>
        <v>98772.26</v>
      </c>
    </row>
    <row r="104" spans="1:181" ht="26.4" x14ac:dyDescent="0.3">
      <c r="A104" s="4" t="s">
        <v>427</v>
      </c>
      <c r="B104" s="5"/>
      <c r="C104" s="5" t="s">
        <v>201</v>
      </c>
      <c r="D104" s="5" t="s">
        <v>428</v>
      </c>
      <c r="E104" s="5" t="s">
        <v>429</v>
      </c>
      <c r="F104" s="5" t="s">
        <v>0</v>
      </c>
      <c r="G104" s="5" t="s">
        <v>203</v>
      </c>
      <c r="H104" s="8">
        <f>ROUND(18,2)</f>
        <v>18</v>
      </c>
      <c r="I104" s="7">
        <f>ROUND(7546.5,2)</f>
        <v>7546.5</v>
      </c>
      <c r="J104" s="7">
        <f>ROUND(412,2)</f>
        <v>412</v>
      </c>
      <c r="K104" s="7">
        <f>ROUND(1.5,2)</f>
        <v>1.5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7">
        <f>ROUND(5,2)</f>
        <v>5</v>
      </c>
      <c r="CI104" s="6"/>
      <c r="CJ104" s="6"/>
      <c r="CK104" s="6"/>
      <c r="CL104" s="6"/>
      <c r="CM104" s="6"/>
      <c r="CN104" s="6"/>
      <c r="CO104" s="6"/>
      <c r="CP104" s="6"/>
      <c r="CQ104" s="7">
        <f>ROUND(418.5,2)</f>
        <v>418.5</v>
      </c>
      <c r="CR104" s="7">
        <f>ROUND(7416,2)</f>
        <v>7416</v>
      </c>
      <c r="CS104" s="7">
        <f>ROUND(40.5,2)</f>
        <v>40.5</v>
      </c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7">
        <f>ROUND(90,2)</f>
        <v>90</v>
      </c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7">
        <f>ROUND(7546.5,2)</f>
        <v>7546.5</v>
      </c>
    </row>
    <row r="105" spans="1:181" x14ac:dyDescent="0.3">
      <c r="A105" s="4" t="s">
        <v>430</v>
      </c>
      <c r="B105" s="5" t="s">
        <v>1029</v>
      </c>
      <c r="C105" s="5" t="s">
        <v>236</v>
      </c>
      <c r="D105" s="5" t="s">
        <v>431</v>
      </c>
      <c r="E105" s="5" t="s">
        <v>0</v>
      </c>
      <c r="F105" s="5" t="s">
        <v>0</v>
      </c>
      <c r="G105" s="5" t="s">
        <v>238</v>
      </c>
      <c r="H105" s="8">
        <v>38.5</v>
      </c>
      <c r="I105" s="7">
        <f>ROUND(128517.099999999,2)</f>
        <v>128517.1</v>
      </c>
      <c r="J105" s="6"/>
      <c r="K105" s="6"/>
      <c r="L105" s="7">
        <f>ROUND(1842,2)</f>
        <v>1842</v>
      </c>
      <c r="M105" s="7">
        <f>ROUND(743,2)</f>
        <v>743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7">
        <f>ROUND(64,2)</f>
        <v>64</v>
      </c>
      <c r="AV105" s="6"/>
      <c r="AW105" s="7">
        <f>ROUND(32,2)</f>
        <v>32</v>
      </c>
      <c r="AX105" s="6"/>
      <c r="AY105" s="7">
        <f>ROUND(168,2)</f>
        <v>168</v>
      </c>
      <c r="AZ105" s="7">
        <f>ROUND(72,2)</f>
        <v>72</v>
      </c>
      <c r="BA105" s="6"/>
      <c r="BB105" s="6"/>
      <c r="BC105" s="6"/>
      <c r="BD105" s="6"/>
      <c r="BE105" s="6"/>
      <c r="BF105" s="6"/>
      <c r="BG105" s="7">
        <f>ROUND(40,2)</f>
        <v>40</v>
      </c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7">
        <f>ROUND(2961,2)</f>
        <v>2961</v>
      </c>
      <c r="CR105" s="6"/>
      <c r="CS105" s="6"/>
      <c r="CT105" s="7">
        <f>ROUND(67966.6,2)</f>
        <v>67966.600000000006</v>
      </c>
      <c r="CU105" s="7">
        <f>ROUND(41033.04,2)</f>
        <v>41033.040000000001</v>
      </c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7">
        <f>ROUND(2357.12,2)</f>
        <v>2357.12</v>
      </c>
      <c r="EE105" s="6"/>
      <c r="EF105" s="7">
        <f>ROUND(1172,2)</f>
        <v>1172</v>
      </c>
      <c r="EG105" s="6"/>
      <c r="EH105" s="7">
        <f>ROUND(6168.04,2)</f>
        <v>6168.04</v>
      </c>
      <c r="EI105" s="7">
        <f>ROUND(3950.1,2)</f>
        <v>3950.1</v>
      </c>
      <c r="EJ105" s="6"/>
      <c r="EK105" s="6"/>
      <c r="EL105" s="6"/>
      <c r="EM105" s="6"/>
      <c r="EN105" s="6"/>
      <c r="EO105" s="6"/>
      <c r="EP105" s="6"/>
      <c r="EQ105" s="7">
        <f>ROUND(1495.2,2)</f>
        <v>1495.2</v>
      </c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7">
        <f>ROUND(1375,2)</f>
        <v>1375</v>
      </c>
      <c r="FK105" s="6"/>
      <c r="FL105" s="6"/>
      <c r="FM105" s="6"/>
      <c r="FN105" s="6"/>
      <c r="FO105" s="6"/>
      <c r="FP105" s="6"/>
      <c r="FQ105" s="6"/>
      <c r="FR105" s="6"/>
      <c r="FS105" s="6"/>
      <c r="FT105" s="7">
        <f t="shared" ref="FT105:FT110" si="3">ROUND(3000,2)</f>
        <v>3000</v>
      </c>
      <c r="FU105" s="6"/>
      <c r="FV105" s="6"/>
      <c r="FW105" s="6"/>
      <c r="FX105" s="6"/>
      <c r="FY105" s="7">
        <f>ROUND(128517.099999999,2)</f>
        <v>128517.1</v>
      </c>
    </row>
    <row r="106" spans="1:181" x14ac:dyDescent="0.3">
      <c r="A106" s="4" t="s">
        <v>432</v>
      </c>
      <c r="B106" s="5" t="s">
        <v>1029</v>
      </c>
      <c r="C106" s="5" t="s">
        <v>236</v>
      </c>
      <c r="D106" s="5" t="s">
        <v>433</v>
      </c>
      <c r="E106" s="5" t="s">
        <v>0</v>
      </c>
      <c r="F106" s="5" t="s">
        <v>0</v>
      </c>
      <c r="G106" s="5" t="s">
        <v>238</v>
      </c>
      <c r="H106" s="8">
        <v>37.75</v>
      </c>
      <c r="I106" s="7">
        <f>ROUND(144185.76,2)</f>
        <v>144185.76</v>
      </c>
      <c r="J106" s="6"/>
      <c r="K106" s="6"/>
      <c r="L106" s="7">
        <f>ROUND(1944,2)</f>
        <v>1944</v>
      </c>
      <c r="M106" s="7">
        <f>ROUND(1052,2)</f>
        <v>1052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7">
        <f>ROUND(64,2)</f>
        <v>64</v>
      </c>
      <c r="AV106" s="6"/>
      <c r="AW106" s="7">
        <f>ROUND(16,2)</f>
        <v>16</v>
      </c>
      <c r="AX106" s="7">
        <f>ROUND(24,2)</f>
        <v>24</v>
      </c>
      <c r="AY106" s="7">
        <f>ROUND(104,2)</f>
        <v>104</v>
      </c>
      <c r="AZ106" s="7">
        <f>ROUND(8,2)</f>
        <v>8</v>
      </c>
      <c r="BA106" s="6"/>
      <c r="BB106" s="7">
        <f>ROUND(8,2)</f>
        <v>8</v>
      </c>
      <c r="BC106" s="6"/>
      <c r="BD106" s="6"/>
      <c r="BE106" s="6"/>
      <c r="BF106" s="6"/>
      <c r="BG106" s="7">
        <f>ROUND(24,2)</f>
        <v>24</v>
      </c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7">
        <f>ROUND(3244,2)</f>
        <v>3244</v>
      </c>
      <c r="CR106" s="6"/>
      <c r="CS106" s="6"/>
      <c r="CT106" s="7">
        <f>ROUND(71930.6799999999,2)</f>
        <v>71930.679999999993</v>
      </c>
      <c r="CU106" s="7">
        <f>ROUND(58319.64,2)</f>
        <v>58319.64</v>
      </c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7">
        <f>ROUND(2351.12,2)</f>
        <v>2351.12</v>
      </c>
      <c r="EE106" s="6"/>
      <c r="EF106" s="7">
        <f>ROUND(587.04,2)</f>
        <v>587.04</v>
      </c>
      <c r="EG106" s="7">
        <f>ROUND(1350.12,2)</f>
        <v>1350.12</v>
      </c>
      <c r="EH106" s="7">
        <f>ROUND(3755.04,2)</f>
        <v>3755.04</v>
      </c>
      <c r="EI106" s="7">
        <f>ROUND(432,2)</f>
        <v>432</v>
      </c>
      <c r="EJ106" s="6"/>
      <c r="EK106" s="7">
        <f>ROUND(288,2)</f>
        <v>288</v>
      </c>
      <c r="EL106" s="6"/>
      <c r="EM106" s="6"/>
      <c r="EN106" s="6"/>
      <c r="EO106" s="6"/>
      <c r="EP106" s="6"/>
      <c r="EQ106" s="7">
        <f>ROUND(897.12,2)</f>
        <v>897.12</v>
      </c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7">
        <f>ROUND(1275,2)</f>
        <v>1275</v>
      </c>
      <c r="FK106" s="6"/>
      <c r="FL106" s="6"/>
      <c r="FM106" s="6"/>
      <c r="FN106" s="6"/>
      <c r="FO106" s="6"/>
      <c r="FP106" s="6"/>
      <c r="FQ106" s="6"/>
      <c r="FR106" s="6"/>
      <c r="FS106" s="6"/>
      <c r="FT106" s="7">
        <f t="shared" si="3"/>
        <v>3000</v>
      </c>
      <c r="FU106" s="6"/>
      <c r="FV106" s="6"/>
      <c r="FW106" s="6"/>
      <c r="FX106" s="6"/>
      <c r="FY106" s="7">
        <f>ROUND(144185.76,2)</f>
        <v>144185.76</v>
      </c>
    </row>
    <row r="107" spans="1:181" x14ac:dyDescent="0.3">
      <c r="A107" s="4" t="s">
        <v>434</v>
      </c>
      <c r="B107" s="5" t="s">
        <v>1029</v>
      </c>
      <c r="C107" s="5" t="s">
        <v>236</v>
      </c>
      <c r="D107" s="5" t="s">
        <v>435</v>
      </c>
      <c r="E107" s="5" t="s">
        <v>0</v>
      </c>
      <c r="F107" s="5" t="s">
        <v>0</v>
      </c>
      <c r="G107" s="5" t="s">
        <v>330</v>
      </c>
      <c r="H107" s="8">
        <v>28.28</v>
      </c>
      <c r="I107" s="7">
        <f>ROUND(67047.05,2)</f>
        <v>67047.05</v>
      </c>
      <c r="J107" s="6"/>
      <c r="K107" s="6"/>
      <c r="L107" s="6"/>
      <c r="M107" s="6"/>
      <c r="N107" s="6"/>
      <c r="O107" s="6"/>
      <c r="P107" s="6"/>
      <c r="Q107" s="6"/>
      <c r="R107" s="7">
        <f>ROUND(1888,2)</f>
        <v>1888</v>
      </c>
      <c r="S107" s="7">
        <f>ROUND(90.95,2)</f>
        <v>90.95</v>
      </c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7">
        <f>ROUND(56,2)</f>
        <v>56</v>
      </c>
      <c r="AV107" s="6"/>
      <c r="AW107" s="7">
        <f>ROUND(32,2)</f>
        <v>32</v>
      </c>
      <c r="AX107" s="6"/>
      <c r="AY107" s="7">
        <f>ROUND(112,2)</f>
        <v>112</v>
      </c>
      <c r="AZ107" s="6"/>
      <c r="BA107" s="6"/>
      <c r="BB107" s="7">
        <f>ROUND(8,2)</f>
        <v>8</v>
      </c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7">
        <f>ROUND(2186.95,2)</f>
        <v>2186.9499999999998</v>
      </c>
      <c r="CR107" s="6"/>
      <c r="CS107" s="6"/>
      <c r="CT107" s="6"/>
      <c r="CU107" s="6"/>
      <c r="CV107" s="6"/>
      <c r="CW107" s="6"/>
      <c r="CX107" s="6"/>
      <c r="CY107" s="6"/>
      <c r="CZ107" s="7">
        <f>ROUND(53203.2,2)</f>
        <v>53203.199999999997</v>
      </c>
      <c r="DA107" s="7">
        <f>ROUND(3840.37,2)</f>
        <v>3840.37</v>
      </c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7">
        <f>ROUND(1570.24,2)</f>
        <v>1570.24</v>
      </c>
      <c r="EE107" s="6"/>
      <c r="EF107" s="7">
        <f>ROUND(898.24,2)</f>
        <v>898.24</v>
      </c>
      <c r="EG107" s="6"/>
      <c r="EH107" s="7">
        <f>ROUND(3136,2)</f>
        <v>3136</v>
      </c>
      <c r="EI107" s="6"/>
      <c r="EJ107" s="6"/>
      <c r="EK107" s="7">
        <f>ROUND(224,2)</f>
        <v>224</v>
      </c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7">
        <f>ROUND(1175,2)</f>
        <v>1175</v>
      </c>
      <c r="FK107" s="6"/>
      <c r="FL107" s="6"/>
      <c r="FM107" s="6"/>
      <c r="FN107" s="6"/>
      <c r="FO107" s="6"/>
      <c r="FP107" s="6"/>
      <c r="FQ107" s="6"/>
      <c r="FR107" s="6"/>
      <c r="FS107" s="6"/>
      <c r="FT107" s="7">
        <f t="shared" si="3"/>
        <v>3000</v>
      </c>
      <c r="FU107" s="6"/>
      <c r="FV107" s="6"/>
      <c r="FW107" s="6"/>
      <c r="FX107" s="6"/>
      <c r="FY107" s="7">
        <f>ROUND(67047.05,2)</f>
        <v>67047.05</v>
      </c>
    </row>
    <row r="108" spans="1:181" x14ac:dyDescent="0.3">
      <c r="A108" s="4" t="s">
        <v>436</v>
      </c>
      <c r="B108" s="5" t="s">
        <v>1029</v>
      </c>
      <c r="C108" s="5" t="s">
        <v>181</v>
      </c>
      <c r="D108" s="5" t="s">
        <v>437</v>
      </c>
      <c r="E108" s="5" t="s">
        <v>0</v>
      </c>
      <c r="F108" s="5" t="s">
        <v>0</v>
      </c>
      <c r="G108" s="5" t="s">
        <v>183</v>
      </c>
      <c r="H108" s="8">
        <v>34.04</v>
      </c>
      <c r="I108" s="7">
        <f>ROUND(83272.5799999999,2)</f>
        <v>83272.58</v>
      </c>
      <c r="J108" s="6"/>
      <c r="K108" s="6"/>
      <c r="L108" s="6"/>
      <c r="M108" s="6"/>
      <c r="N108" s="7">
        <f>ROUND(1833,2)</f>
        <v>1833</v>
      </c>
      <c r="O108" s="6"/>
      <c r="P108" s="6"/>
      <c r="Q108" s="7">
        <f>ROUND(171.499999999999,2)</f>
        <v>171.5</v>
      </c>
      <c r="R108" s="6"/>
      <c r="S108" s="6"/>
      <c r="T108" s="6"/>
      <c r="U108" s="7">
        <f>ROUND(0.33,2)</f>
        <v>0.33</v>
      </c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7">
        <f>ROUND(56,2)</f>
        <v>56</v>
      </c>
      <c r="AV108" s="6"/>
      <c r="AW108" s="7">
        <f>ROUND(32,2)</f>
        <v>32</v>
      </c>
      <c r="AX108" s="6"/>
      <c r="AY108" s="7">
        <f>ROUND(56,2)</f>
        <v>56</v>
      </c>
      <c r="AZ108" s="6"/>
      <c r="BA108" s="6"/>
      <c r="BB108" s="7">
        <f>ROUND(40,2)</f>
        <v>40</v>
      </c>
      <c r="BC108" s="6"/>
      <c r="BD108" s="7">
        <f>ROUND(8,2)</f>
        <v>8</v>
      </c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7">
        <f>ROUND(1.1,2)</f>
        <v>1.1000000000000001</v>
      </c>
      <c r="BU108" s="6"/>
      <c r="BV108" s="6"/>
      <c r="BW108" s="7">
        <f>ROUND(8,2)</f>
        <v>8</v>
      </c>
      <c r="BX108" s="7">
        <f>ROUND(96,2)</f>
        <v>96</v>
      </c>
      <c r="BY108" s="6"/>
      <c r="BZ108" s="6"/>
      <c r="CA108" s="7">
        <f>ROUND(32,2)</f>
        <v>32</v>
      </c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7">
        <f>ROUND(152,2)</f>
        <v>152</v>
      </c>
      <c r="CQ108" s="7">
        <f>ROUND(2485.93,2)</f>
        <v>2485.9299999999998</v>
      </c>
      <c r="CR108" s="6"/>
      <c r="CS108" s="6"/>
      <c r="CT108" s="6"/>
      <c r="CU108" s="6"/>
      <c r="CV108" s="7">
        <f>ROUND(59784.4799999999,2)</f>
        <v>59784.480000000003</v>
      </c>
      <c r="CW108" s="6"/>
      <c r="CX108" s="6"/>
      <c r="CY108" s="7">
        <f>ROUND(8400.6,2)</f>
        <v>8400.6</v>
      </c>
      <c r="CZ108" s="6"/>
      <c r="DA108" s="6"/>
      <c r="DB108" s="6"/>
      <c r="DC108" s="7">
        <f>ROUND(21.18,2)</f>
        <v>21.18</v>
      </c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7">
        <f>ROUND(1828,2)</f>
        <v>1828</v>
      </c>
      <c r="EE108" s="6"/>
      <c r="EF108" s="7">
        <f>ROUND(1026.88,2)</f>
        <v>1026.8800000000001</v>
      </c>
      <c r="EG108" s="6"/>
      <c r="EH108" s="7">
        <f>ROUND(1797.04,2)</f>
        <v>1797.04</v>
      </c>
      <c r="EI108" s="6"/>
      <c r="EJ108" s="6"/>
      <c r="EK108" s="7">
        <f>ROUND(1283.6,2)</f>
        <v>1283.5999999999999</v>
      </c>
      <c r="EL108" s="6"/>
      <c r="EM108" s="6"/>
      <c r="EN108" s="7">
        <f>ROUND(256.72,2)</f>
        <v>256.72000000000003</v>
      </c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7">
        <f>ROUND(700,2)</f>
        <v>700</v>
      </c>
      <c r="FK108" s="6"/>
      <c r="FL108" s="6"/>
      <c r="FM108" s="6"/>
      <c r="FN108" s="6"/>
      <c r="FO108" s="6"/>
      <c r="FP108" s="6"/>
      <c r="FQ108" s="6"/>
      <c r="FR108" s="6"/>
      <c r="FS108" s="6"/>
      <c r="FT108" s="7">
        <f t="shared" si="3"/>
        <v>3000</v>
      </c>
      <c r="FU108" s="6"/>
      <c r="FV108" s="6"/>
      <c r="FW108" s="6"/>
      <c r="FX108" s="7">
        <f>ROUND(5174.08,2)</f>
        <v>5174.08</v>
      </c>
      <c r="FY108" s="7">
        <f>ROUND(83272.5799999999,2)</f>
        <v>83272.58</v>
      </c>
    </row>
    <row r="109" spans="1:181" x14ac:dyDescent="0.3">
      <c r="A109" s="4" t="s">
        <v>438</v>
      </c>
      <c r="B109" s="5" t="s">
        <v>1029</v>
      </c>
      <c r="C109" s="5" t="s">
        <v>181</v>
      </c>
      <c r="D109" s="5" t="s">
        <v>439</v>
      </c>
      <c r="E109" s="5" t="s">
        <v>0</v>
      </c>
      <c r="F109" s="5" t="s">
        <v>0</v>
      </c>
      <c r="G109" s="5" t="s">
        <v>183</v>
      </c>
      <c r="H109" s="8">
        <v>33.880000000000003</v>
      </c>
      <c r="I109" s="7">
        <f>ROUND(77142.44,2)</f>
        <v>77142.44</v>
      </c>
      <c r="J109" s="6"/>
      <c r="K109" s="6"/>
      <c r="L109" s="6"/>
      <c r="M109" s="6"/>
      <c r="N109" s="7">
        <f>ROUND(1342.04,2)</f>
        <v>1342.04</v>
      </c>
      <c r="O109" s="6"/>
      <c r="P109" s="6"/>
      <c r="Q109" s="7">
        <f>ROUND(67.77,2)</f>
        <v>67.77</v>
      </c>
      <c r="R109" s="6"/>
      <c r="S109" s="6"/>
      <c r="T109" s="6"/>
      <c r="U109" s="6"/>
      <c r="V109" s="7">
        <f>ROUND(5,2)</f>
        <v>5</v>
      </c>
      <c r="W109" s="6"/>
      <c r="X109" s="7">
        <f>ROUND(1.89,2)</f>
        <v>1.89</v>
      </c>
      <c r="Y109" s="7">
        <f>ROUND(0.27,2)</f>
        <v>0.27</v>
      </c>
      <c r="Z109" s="6"/>
      <c r="AA109" s="6"/>
      <c r="AB109" s="6"/>
      <c r="AC109" s="6"/>
      <c r="AD109" s="6"/>
      <c r="AE109" s="7">
        <f>ROUND(405.75,2)</f>
        <v>405.75</v>
      </c>
      <c r="AF109" s="6"/>
      <c r="AG109" s="7">
        <f>ROUND(88.66,2)</f>
        <v>88.66</v>
      </c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7">
        <f>ROUND(52,2)</f>
        <v>52</v>
      </c>
      <c r="AV109" s="6"/>
      <c r="AW109" s="7">
        <f>ROUND(26.72,2)</f>
        <v>26.72</v>
      </c>
      <c r="AX109" s="7">
        <f>ROUND(5.28,2)</f>
        <v>5.28</v>
      </c>
      <c r="AY109" s="7">
        <f>ROUND(77.82,2)</f>
        <v>77.819999999999993</v>
      </c>
      <c r="AZ109" s="7">
        <f>ROUND(10.18,2)</f>
        <v>10.18</v>
      </c>
      <c r="BA109" s="6"/>
      <c r="BB109" s="7">
        <f>ROUND(32,2)</f>
        <v>32</v>
      </c>
      <c r="BC109" s="6"/>
      <c r="BD109" s="7">
        <f>ROUND(8,2)</f>
        <v>8</v>
      </c>
      <c r="BE109" s="7">
        <f>ROUND(4.97,2)</f>
        <v>4.97</v>
      </c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7">
        <f>ROUND(88,2)</f>
        <v>88</v>
      </c>
      <c r="BT109" s="7">
        <f>ROUND(11.6,2)</f>
        <v>11.6</v>
      </c>
      <c r="BU109" s="7">
        <f>ROUND(40,2)</f>
        <v>40</v>
      </c>
      <c r="BV109" s="6"/>
      <c r="BW109" s="7">
        <f>ROUND(16,2)</f>
        <v>16</v>
      </c>
      <c r="BX109" s="6"/>
      <c r="BY109" s="7">
        <f>ROUND(8,2)</f>
        <v>8</v>
      </c>
      <c r="BZ109" s="6"/>
      <c r="CA109" s="6"/>
      <c r="CB109" s="6"/>
      <c r="CC109" s="7">
        <f>ROUND(72,2)</f>
        <v>72</v>
      </c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7">
        <f>ROUND(8,2)</f>
        <v>8</v>
      </c>
      <c r="CQ109" s="7">
        <f>ROUND(2371.95,2)</f>
        <v>2371.9499999999998</v>
      </c>
      <c r="CR109" s="6"/>
      <c r="CS109" s="6"/>
      <c r="CT109" s="6"/>
      <c r="CU109" s="6"/>
      <c r="CV109" s="7">
        <f>ROUND(43448.2899999999,2)</f>
        <v>43448.29</v>
      </c>
      <c r="CW109" s="6"/>
      <c r="CX109" s="6"/>
      <c r="CY109" s="7">
        <f>ROUND(3302.57999999999,2)</f>
        <v>3302.58</v>
      </c>
      <c r="CZ109" s="6"/>
      <c r="DA109" s="6"/>
      <c r="DB109" s="6"/>
      <c r="DC109" s="6"/>
      <c r="DD109" s="7">
        <f>ROUND(160.45,2)</f>
        <v>160.44999999999999</v>
      </c>
      <c r="DE109" s="6"/>
      <c r="DF109" s="7">
        <f>ROUND(60.64,2)</f>
        <v>60.64</v>
      </c>
      <c r="DG109" s="7">
        <f>ROUND(13,2)</f>
        <v>13</v>
      </c>
      <c r="DH109" s="6"/>
      <c r="DI109" s="6"/>
      <c r="DJ109" s="6"/>
      <c r="DK109" s="6"/>
      <c r="DL109" s="6"/>
      <c r="DM109" s="6"/>
      <c r="DN109" s="7">
        <f>ROUND(13470.42,2)</f>
        <v>13470.42</v>
      </c>
      <c r="DO109" s="6"/>
      <c r="DP109" s="7">
        <f>ROUND(4410.38,2)</f>
        <v>4410.38</v>
      </c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7">
        <f>ROUND(1690.67999999999,2)</f>
        <v>1690.68</v>
      </c>
      <c r="EE109" s="6"/>
      <c r="EF109" s="7">
        <f>ROUND(865.13,2)</f>
        <v>865.13</v>
      </c>
      <c r="EG109" s="7">
        <f>ROUND(254.15,2)</f>
        <v>254.15</v>
      </c>
      <c r="EH109" s="7">
        <f>ROUND(2559.41,2)</f>
        <v>2559.41</v>
      </c>
      <c r="EI109" s="7">
        <f>ROUND(500.46,2)</f>
        <v>500.46</v>
      </c>
      <c r="EJ109" s="6"/>
      <c r="EK109" s="7">
        <f>ROUND(1034.56,2)</f>
        <v>1034.56</v>
      </c>
      <c r="EL109" s="6"/>
      <c r="EM109" s="6"/>
      <c r="EN109" s="7">
        <f>ROUND(256.72,2)</f>
        <v>256.72000000000003</v>
      </c>
      <c r="EO109" s="7">
        <f>ROUND(160.93,2)</f>
        <v>160.93</v>
      </c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7">
        <f>ROUND(1283.6,2)</f>
        <v>1283.5999999999999</v>
      </c>
      <c r="FG109" s="6"/>
      <c r="FH109" s="6"/>
      <c r="FI109" s="6"/>
      <c r="FJ109" s="7">
        <f>ROUND(400,2)</f>
        <v>400</v>
      </c>
      <c r="FK109" s="6"/>
      <c r="FL109" s="6"/>
      <c r="FM109" s="6"/>
      <c r="FN109" s="6"/>
      <c r="FO109" s="6"/>
      <c r="FP109" s="6"/>
      <c r="FQ109" s="6"/>
      <c r="FR109" s="6"/>
      <c r="FS109" s="6"/>
      <c r="FT109" s="7">
        <f t="shared" si="3"/>
        <v>3000</v>
      </c>
      <c r="FU109" s="6"/>
      <c r="FV109" s="6"/>
      <c r="FW109" s="6"/>
      <c r="FX109" s="7">
        <f>ROUND(271.04,2)</f>
        <v>271.04000000000002</v>
      </c>
      <c r="FY109" s="7">
        <f>ROUND(77142.44,2)</f>
        <v>77142.44</v>
      </c>
    </row>
    <row r="110" spans="1:181" x14ac:dyDescent="0.3">
      <c r="A110" s="4" t="s">
        <v>440</v>
      </c>
      <c r="B110" s="5" t="s">
        <v>1029</v>
      </c>
      <c r="C110" s="5" t="s">
        <v>236</v>
      </c>
      <c r="D110" s="5" t="s">
        <v>441</v>
      </c>
      <c r="E110" s="5" t="s">
        <v>0</v>
      </c>
      <c r="F110" s="5" t="s">
        <v>0</v>
      </c>
      <c r="G110" s="5" t="s">
        <v>330</v>
      </c>
      <c r="H110" s="9">
        <v>28.28</v>
      </c>
      <c r="I110" s="7">
        <f>ROUND(68129.76,2)</f>
        <v>68129.759999999995</v>
      </c>
      <c r="J110" s="6"/>
      <c r="K110" s="6"/>
      <c r="L110" s="6"/>
      <c r="M110" s="6"/>
      <c r="N110" s="6"/>
      <c r="O110" s="6"/>
      <c r="P110" s="6"/>
      <c r="Q110" s="6"/>
      <c r="R110" s="7">
        <f>ROUND(1990,2)</f>
        <v>1990</v>
      </c>
      <c r="S110" s="7">
        <f>ROUND(204,2)</f>
        <v>204</v>
      </c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7">
        <f>ROUND(56,2)</f>
        <v>56</v>
      </c>
      <c r="AV110" s="6"/>
      <c r="AW110" s="7">
        <f>ROUND(32,2)</f>
        <v>32</v>
      </c>
      <c r="AX110" s="6"/>
      <c r="AY110" s="7">
        <f>ROUND(24,2)</f>
        <v>24</v>
      </c>
      <c r="AZ110" s="6"/>
      <c r="BA110" s="6"/>
      <c r="BB110" s="7">
        <f>ROUND(16,2)</f>
        <v>16</v>
      </c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7">
        <f>ROUND(8,2)</f>
        <v>8</v>
      </c>
      <c r="BT110" s="6"/>
      <c r="BU110" s="7">
        <f>ROUND(74,2)</f>
        <v>74</v>
      </c>
      <c r="BV110" s="6"/>
      <c r="BW110" s="6"/>
      <c r="BX110" s="6"/>
      <c r="BY110" s="7">
        <f>ROUND(16,2)</f>
        <v>16</v>
      </c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7">
        <f>ROUND(2420,2)</f>
        <v>2420</v>
      </c>
      <c r="CR110" s="6"/>
      <c r="CS110" s="6"/>
      <c r="CT110" s="6"/>
      <c r="CU110" s="6"/>
      <c r="CV110" s="6"/>
      <c r="CW110" s="6"/>
      <c r="CX110" s="6"/>
      <c r="CY110" s="6"/>
      <c r="CZ110" s="7">
        <f>ROUND(53049.9,2)</f>
        <v>53049.9</v>
      </c>
      <c r="DA110" s="7">
        <f>ROUND(8004.9,2)</f>
        <v>8004.9</v>
      </c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7">
        <f>ROUND(1503.04,2)</f>
        <v>1503.04</v>
      </c>
      <c r="EE110" s="6"/>
      <c r="EF110" s="7">
        <f>ROUND(880.32,2)</f>
        <v>880.32</v>
      </c>
      <c r="EG110" s="6"/>
      <c r="EH110" s="7">
        <f>ROUND(638.4,2)</f>
        <v>638.4</v>
      </c>
      <c r="EI110" s="6"/>
      <c r="EJ110" s="6"/>
      <c r="EK110" s="7">
        <f>ROUND(403.2,2)</f>
        <v>403.2</v>
      </c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7">
        <f>ROUND(650,2)</f>
        <v>650</v>
      </c>
      <c r="FK110" s="6"/>
      <c r="FL110" s="6"/>
      <c r="FM110" s="6"/>
      <c r="FN110" s="6"/>
      <c r="FO110" s="6"/>
      <c r="FP110" s="6"/>
      <c r="FQ110" s="6"/>
      <c r="FR110" s="6"/>
      <c r="FS110" s="6"/>
      <c r="FT110" s="7">
        <f t="shared" si="3"/>
        <v>3000</v>
      </c>
      <c r="FU110" s="6"/>
      <c r="FV110" s="6"/>
      <c r="FW110" s="6"/>
      <c r="FX110" s="6"/>
      <c r="FY110" s="7">
        <f>ROUND(68129.76,2)</f>
        <v>68129.759999999995</v>
      </c>
    </row>
    <row r="111" spans="1:181" x14ac:dyDescent="0.3">
      <c r="A111" s="4" t="s">
        <v>442</v>
      </c>
      <c r="B111" s="5" t="s">
        <v>1029</v>
      </c>
      <c r="C111" s="5" t="s">
        <v>236</v>
      </c>
      <c r="D111" s="5" t="s">
        <v>443</v>
      </c>
      <c r="E111" s="5" t="s">
        <v>444</v>
      </c>
      <c r="F111" s="5" t="s">
        <v>0</v>
      </c>
      <c r="G111" s="5" t="s">
        <v>330</v>
      </c>
      <c r="H111" s="8">
        <v>28.15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</row>
    <row r="112" spans="1:181" x14ac:dyDescent="0.3">
      <c r="A112" s="4" t="s">
        <v>445</v>
      </c>
      <c r="B112" s="5" t="s">
        <v>1029</v>
      </c>
      <c r="C112" s="5" t="s">
        <v>181</v>
      </c>
      <c r="D112" s="5" t="s">
        <v>446</v>
      </c>
      <c r="E112" s="5" t="s">
        <v>0</v>
      </c>
      <c r="F112" s="5" t="s">
        <v>0</v>
      </c>
      <c r="G112" s="5" t="s">
        <v>183</v>
      </c>
      <c r="H112" s="8">
        <v>34.04</v>
      </c>
      <c r="I112" s="7">
        <f>ROUND(80470.45,2)</f>
        <v>80470.45</v>
      </c>
      <c r="J112" s="6"/>
      <c r="K112" s="6"/>
      <c r="L112" s="6"/>
      <c r="M112" s="6"/>
      <c r="N112" s="7">
        <f>ROUND(1680.15999999999,2)</f>
        <v>1680.16</v>
      </c>
      <c r="O112" s="6"/>
      <c r="P112" s="6"/>
      <c r="Q112" s="7">
        <f>ROUND(168.3,2)</f>
        <v>168.3</v>
      </c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7">
        <f>ROUND(69,2)</f>
        <v>69</v>
      </c>
      <c r="AV112" s="7">
        <f>ROUND(1,2)</f>
        <v>1</v>
      </c>
      <c r="AW112" s="7">
        <f>ROUND(34,2)</f>
        <v>34</v>
      </c>
      <c r="AX112" s="6"/>
      <c r="AY112" s="7">
        <f>ROUND(220.5,2)</f>
        <v>220.5</v>
      </c>
      <c r="AZ112" s="7">
        <f>ROUND(7.5,2)</f>
        <v>7.5</v>
      </c>
      <c r="BA112" s="6"/>
      <c r="BB112" s="7">
        <f>ROUND(42,2)</f>
        <v>42</v>
      </c>
      <c r="BC112" s="6"/>
      <c r="BD112" s="7">
        <f>ROUND(8,2)</f>
        <v>8</v>
      </c>
      <c r="BE112" s="6"/>
      <c r="BF112" s="6"/>
      <c r="BG112" s="7">
        <f>ROUND(27.5,2)</f>
        <v>27.5</v>
      </c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7">
        <f>ROUND(16,2)</f>
        <v>16</v>
      </c>
      <c r="BT112" s="7">
        <f>ROUND(4.31999999999999,2)</f>
        <v>4.32</v>
      </c>
      <c r="BU112" s="7">
        <f>ROUND(8,2)</f>
        <v>8</v>
      </c>
      <c r="BV112" s="6"/>
      <c r="BW112" s="6"/>
      <c r="BX112" s="7">
        <f>ROUND(24,2)</f>
        <v>24</v>
      </c>
      <c r="BY112" s="6"/>
      <c r="BZ112" s="6"/>
      <c r="CA112" s="7">
        <f>ROUND(36,2)</f>
        <v>36</v>
      </c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7">
        <f>ROUND(2346.27999999999,2)</f>
        <v>2346.2800000000002</v>
      </c>
      <c r="CR112" s="6"/>
      <c r="CS112" s="6"/>
      <c r="CT112" s="6"/>
      <c r="CU112" s="6"/>
      <c r="CV112" s="7">
        <f>ROUND(54772.6699999999,2)</f>
        <v>54772.67</v>
      </c>
      <c r="CW112" s="6"/>
      <c r="CX112" s="6"/>
      <c r="CY112" s="7">
        <f>ROUND(8228.67,2)</f>
        <v>8228.67</v>
      </c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7">
        <f>ROUND(2253.81,2)</f>
        <v>2253.81</v>
      </c>
      <c r="EE112" s="7">
        <f>ROUND(49.58,2)</f>
        <v>49.58</v>
      </c>
      <c r="EF112" s="7">
        <f>ROUND(1106.42,2)</f>
        <v>1106.42</v>
      </c>
      <c r="EG112" s="6"/>
      <c r="EH112" s="7">
        <f>ROUND(7204.96999999999,2)</f>
        <v>7204.97</v>
      </c>
      <c r="EI112" s="7">
        <f>ROUND(366.069999999999,2)</f>
        <v>366.07</v>
      </c>
      <c r="EJ112" s="6"/>
      <c r="EK112" s="7">
        <f>ROUND(1365.06,2)</f>
        <v>1365.06</v>
      </c>
      <c r="EL112" s="6"/>
      <c r="EM112" s="6"/>
      <c r="EN112" s="7">
        <f>ROUND(256.72,2)</f>
        <v>256.72000000000003</v>
      </c>
      <c r="EO112" s="6"/>
      <c r="EP112" s="6"/>
      <c r="EQ112" s="7">
        <f>ROUND(882.48,2)</f>
        <v>882.48</v>
      </c>
      <c r="ER112" s="7">
        <f>ROUND(159,2)</f>
        <v>159</v>
      </c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7">
        <f>ROUND(825,2)</f>
        <v>825</v>
      </c>
      <c r="FK112" s="6"/>
      <c r="FL112" s="6"/>
      <c r="FM112" s="6"/>
      <c r="FN112" s="6"/>
      <c r="FO112" s="6"/>
      <c r="FP112" s="6"/>
      <c r="FQ112" s="6"/>
      <c r="FR112" s="6"/>
      <c r="FS112" s="6"/>
      <c r="FT112" s="7">
        <f>ROUND(3000,2)</f>
        <v>3000</v>
      </c>
      <c r="FU112" s="6"/>
      <c r="FV112" s="6"/>
      <c r="FW112" s="6"/>
      <c r="FX112" s="6"/>
      <c r="FY112" s="7">
        <f>ROUND(80470.45,2)</f>
        <v>80470.45</v>
      </c>
    </row>
    <row r="113" spans="1:181" x14ac:dyDescent="0.3">
      <c r="A113" s="4" t="s">
        <v>447</v>
      </c>
      <c r="B113" s="5" t="s">
        <v>1029</v>
      </c>
      <c r="C113" s="5" t="s">
        <v>181</v>
      </c>
      <c r="D113" s="5" t="s">
        <v>390</v>
      </c>
      <c r="E113" s="5" t="s">
        <v>0</v>
      </c>
      <c r="F113" s="5" t="s">
        <v>0</v>
      </c>
      <c r="G113" s="5" t="s">
        <v>183</v>
      </c>
      <c r="H113" s="9">
        <v>33.380000000000003</v>
      </c>
      <c r="I113" s="7">
        <f>ROUND(85163.0999999999,2)</f>
        <v>85163.1</v>
      </c>
      <c r="J113" s="6"/>
      <c r="K113" s="6"/>
      <c r="L113" s="6"/>
      <c r="M113" s="6"/>
      <c r="N113" s="7">
        <f>ROUND(1651.3,2)</f>
        <v>1651.3</v>
      </c>
      <c r="O113" s="6"/>
      <c r="P113" s="6"/>
      <c r="Q113" s="7">
        <f>ROUND(234.71,2)</f>
        <v>234.71</v>
      </c>
      <c r="R113" s="6"/>
      <c r="S113" s="6"/>
      <c r="T113" s="6"/>
      <c r="U113" s="6"/>
      <c r="V113" s="7">
        <f>ROUND(8,2)</f>
        <v>8</v>
      </c>
      <c r="W113" s="6"/>
      <c r="X113" s="6"/>
      <c r="Y113" s="6"/>
      <c r="Z113" s="6"/>
      <c r="AA113" s="6"/>
      <c r="AB113" s="6"/>
      <c r="AC113" s="6"/>
      <c r="AD113" s="6"/>
      <c r="AE113" s="7">
        <f>ROUND(48.55,2)</f>
        <v>48.55</v>
      </c>
      <c r="AF113" s="6"/>
      <c r="AG113" s="7">
        <f>ROUND(1.83,2)</f>
        <v>1.83</v>
      </c>
      <c r="AH113" s="6"/>
      <c r="AI113" s="6"/>
      <c r="AJ113" s="6"/>
      <c r="AK113" s="6"/>
      <c r="AL113" s="6"/>
      <c r="AM113" s="6"/>
      <c r="AN113" s="6"/>
      <c r="AO113" s="6"/>
      <c r="AP113" s="7">
        <f>ROUND(284.409999999999,2)</f>
        <v>284.41000000000003</v>
      </c>
      <c r="AQ113" s="6"/>
      <c r="AR113" s="7">
        <f>ROUND(22.89,2)</f>
        <v>22.89</v>
      </c>
      <c r="AS113" s="6"/>
      <c r="AT113" s="6"/>
      <c r="AU113" s="7">
        <f>ROUND(66,2)</f>
        <v>66</v>
      </c>
      <c r="AV113" s="6"/>
      <c r="AW113" s="7">
        <f>ROUND(27.86,2)</f>
        <v>27.86</v>
      </c>
      <c r="AX113" s="7">
        <f>ROUND(6.14,2)</f>
        <v>6.14</v>
      </c>
      <c r="AY113" s="7">
        <f>ROUND(10,2)</f>
        <v>10</v>
      </c>
      <c r="AZ113" s="6"/>
      <c r="BA113" s="6"/>
      <c r="BB113" s="7">
        <f>ROUND(34,2)</f>
        <v>34</v>
      </c>
      <c r="BC113" s="6"/>
      <c r="BD113" s="7">
        <f>ROUND(8,2)</f>
        <v>8</v>
      </c>
      <c r="BE113" s="7">
        <f>ROUND(1.42,2)</f>
        <v>1.42</v>
      </c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7">
        <f>ROUND(8,2)</f>
        <v>8</v>
      </c>
      <c r="BT113" s="7">
        <f>ROUND(2.99,2)</f>
        <v>2.99</v>
      </c>
      <c r="BU113" s="6"/>
      <c r="BV113" s="6"/>
      <c r="BW113" s="7">
        <f>ROUND(8,2)</f>
        <v>8</v>
      </c>
      <c r="BX113" s="6"/>
      <c r="BY113" s="7">
        <f>ROUND(10,2)</f>
        <v>10</v>
      </c>
      <c r="BZ113" s="6"/>
      <c r="CA113" s="7">
        <f>ROUND(8,2)</f>
        <v>8</v>
      </c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7">
        <f>ROUND(2442.1,2)</f>
        <v>2442.1</v>
      </c>
      <c r="CR113" s="6"/>
      <c r="CS113" s="6"/>
      <c r="CT113" s="6"/>
      <c r="CU113" s="6"/>
      <c r="CV113" s="7">
        <f>ROUND(52922.0699999999,2)</f>
        <v>52922.07</v>
      </c>
      <c r="CW113" s="6"/>
      <c r="CX113" s="6"/>
      <c r="CY113" s="7">
        <f>ROUND(11258.25,2)</f>
        <v>11258.25</v>
      </c>
      <c r="CZ113" s="6"/>
      <c r="DA113" s="6"/>
      <c r="DB113" s="6"/>
      <c r="DC113" s="6"/>
      <c r="DD113" s="7">
        <f>ROUND(243.92,2)</f>
        <v>243.92</v>
      </c>
      <c r="DE113" s="6"/>
      <c r="DF113" s="6"/>
      <c r="DG113" s="6"/>
      <c r="DH113" s="6"/>
      <c r="DI113" s="6"/>
      <c r="DJ113" s="6"/>
      <c r="DK113" s="6"/>
      <c r="DL113" s="6"/>
      <c r="DM113" s="6"/>
      <c r="DN113" s="7">
        <f>ROUND(1493.83,2)</f>
        <v>1493.83</v>
      </c>
      <c r="DO113" s="6"/>
      <c r="DP113" s="7">
        <f>ROUND(83.7,2)</f>
        <v>83.7</v>
      </c>
      <c r="DQ113" s="6"/>
      <c r="DR113" s="6"/>
      <c r="DS113" s="6"/>
      <c r="DT113" s="6"/>
      <c r="DU113" s="6"/>
      <c r="DV113" s="6"/>
      <c r="DW113" s="6"/>
      <c r="DX113" s="6"/>
      <c r="DY113" s="7">
        <f>ROUND(8638.25,2)</f>
        <v>8638.25</v>
      </c>
      <c r="DZ113" s="6"/>
      <c r="EA113" s="7">
        <f>ROUND(1094.56,2)</f>
        <v>1094.56</v>
      </c>
      <c r="EB113" s="6"/>
      <c r="EC113" s="6"/>
      <c r="ED113" s="7">
        <f>ROUND(2053.32,2)</f>
        <v>2053.3200000000002</v>
      </c>
      <c r="EE113" s="6"/>
      <c r="EF113" s="7">
        <f>ROUND(896.89,2)</f>
        <v>896.89</v>
      </c>
      <c r="EG113" s="7">
        <f>ROUND(301.82,2)</f>
        <v>301.82</v>
      </c>
      <c r="EH113" s="7">
        <f>ROUND(304.9,2)</f>
        <v>304.89999999999998</v>
      </c>
      <c r="EI113" s="6"/>
      <c r="EJ113" s="6"/>
      <c r="EK113" s="7">
        <f>ROUND(1036.65999999999,2)</f>
        <v>1036.6600000000001</v>
      </c>
      <c r="EL113" s="6"/>
      <c r="EM113" s="6"/>
      <c r="EN113" s="7">
        <f>ROUND(243.92,2)</f>
        <v>243.92</v>
      </c>
      <c r="EO113" s="7">
        <f>ROUND(41.01,2)</f>
        <v>41.01</v>
      </c>
      <c r="EP113" s="6"/>
      <c r="EQ113" s="6"/>
      <c r="ER113" s="6"/>
      <c r="ES113" s="6"/>
      <c r="ET113" s="6"/>
      <c r="EU113" s="6"/>
      <c r="EV113" s="7">
        <f>ROUND(500,2)</f>
        <v>500</v>
      </c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7">
        <f>ROUND(1050,2)</f>
        <v>1050</v>
      </c>
      <c r="FK113" s="6"/>
      <c r="FL113" s="6"/>
      <c r="FM113" s="6"/>
      <c r="FN113" s="6"/>
      <c r="FO113" s="6"/>
      <c r="FP113" s="6"/>
      <c r="FQ113" s="6"/>
      <c r="FR113" s="6"/>
      <c r="FS113" s="6"/>
      <c r="FT113" s="7">
        <f>ROUND(3000,2)</f>
        <v>3000</v>
      </c>
      <c r="FU113" s="6"/>
      <c r="FV113" s="6"/>
      <c r="FW113" s="6"/>
      <c r="FX113" s="6"/>
      <c r="FY113" s="7">
        <f>ROUND(85163.0999999999,2)</f>
        <v>85163.1</v>
      </c>
    </row>
    <row r="114" spans="1:181" x14ac:dyDescent="0.3">
      <c r="A114" s="4" t="s">
        <v>448</v>
      </c>
      <c r="B114" s="5" t="s">
        <v>1029</v>
      </c>
      <c r="C114" s="5" t="s">
        <v>181</v>
      </c>
      <c r="D114" s="5" t="s">
        <v>449</v>
      </c>
      <c r="E114" s="5" t="s">
        <v>0</v>
      </c>
      <c r="F114" s="5" t="s">
        <v>0</v>
      </c>
      <c r="G114" s="5" t="s">
        <v>183</v>
      </c>
      <c r="H114" s="8">
        <v>33.71</v>
      </c>
      <c r="I114" s="7">
        <f>ROUND(74729.15,2)</f>
        <v>74729.149999999994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7">
        <f>ROUND(1824,2)</f>
        <v>1824</v>
      </c>
      <c r="AF114" s="6"/>
      <c r="AG114" s="7">
        <f>ROUND(0.64,2)</f>
        <v>0.64</v>
      </c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7">
        <f>ROUND(68,2)</f>
        <v>68</v>
      </c>
      <c r="AV114" s="6"/>
      <c r="AW114" s="7">
        <f>ROUND(32,2)</f>
        <v>32</v>
      </c>
      <c r="AX114" s="6"/>
      <c r="AY114" s="7">
        <f>ROUND(160,2)</f>
        <v>160</v>
      </c>
      <c r="AZ114" s="6"/>
      <c r="BA114" s="6"/>
      <c r="BB114" s="6"/>
      <c r="BC114" s="6"/>
      <c r="BD114" s="7">
        <f>ROUND(8,2)</f>
        <v>8</v>
      </c>
      <c r="BE114" s="6"/>
      <c r="BF114" s="6"/>
      <c r="BG114" s="7">
        <f>ROUND(24,2)</f>
        <v>24</v>
      </c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7">
        <f>ROUND(16,2)</f>
        <v>16</v>
      </c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7">
        <f>ROUND(16,2)</f>
        <v>16</v>
      </c>
      <c r="CQ114" s="7">
        <f>ROUND(2148.64,2)</f>
        <v>2148.64</v>
      </c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7">
        <f>ROUND(59691.2799999999,2)</f>
        <v>59691.28</v>
      </c>
      <c r="DO114" s="6"/>
      <c r="DP114" s="7">
        <f>ROUND(30.95,2)</f>
        <v>30.95</v>
      </c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7">
        <f>ROUND(2218.12,2)</f>
        <v>2218.12</v>
      </c>
      <c r="EE114" s="6"/>
      <c r="EF114" s="7">
        <f>ROUND(1042.24,2)</f>
        <v>1042.24</v>
      </c>
      <c r="EG114" s="6"/>
      <c r="EH114" s="7">
        <f>ROUND(5257.28,2)</f>
        <v>5257.28</v>
      </c>
      <c r="EI114" s="6"/>
      <c r="EJ114" s="6"/>
      <c r="EK114" s="6"/>
      <c r="EL114" s="6"/>
      <c r="EM114" s="6"/>
      <c r="EN114" s="7">
        <f>ROUND(256.72,2)</f>
        <v>256.72000000000003</v>
      </c>
      <c r="EO114" s="6"/>
      <c r="EP114" s="6"/>
      <c r="EQ114" s="7">
        <f>ROUND(793.199999999999,2)</f>
        <v>793.2</v>
      </c>
      <c r="ER114" s="6"/>
      <c r="ES114" s="6"/>
      <c r="ET114" s="6"/>
      <c r="EU114" s="6"/>
      <c r="EV114" s="7">
        <f>ROUND(500,2)</f>
        <v>500</v>
      </c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7">
        <f>ROUND(1400,2)</f>
        <v>1400</v>
      </c>
      <c r="FK114" s="6"/>
      <c r="FL114" s="6"/>
      <c r="FM114" s="6"/>
      <c r="FN114" s="6"/>
      <c r="FO114" s="6"/>
      <c r="FP114" s="6"/>
      <c r="FQ114" s="6"/>
      <c r="FR114" s="6"/>
      <c r="FS114" s="6"/>
      <c r="FT114" s="7">
        <f>ROUND(3000,2)</f>
        <v>3000</v>
      </c>
      <c r="FU114" s="6"/>
      <c r="FV114" s="6"/>
      <c r="FW114" s="6"/>
      <c r="FX114" s="7">
        <f>ROUND(539.36,2)</f>
        <v>539.36</v>
      </c>
      <c r="FY114" s="7">
        <f>ROUND(74729.15,2)</f>
        <v>74729.149999999994</v>
      </c>
    </row>
    <row r="115" spans="1:181" x14ac:dyDescent="0.3">
      <c r="A115" s="4" t="s">
        <v>450</v>
      </c>
      <c r="B115" s="5"/>
      <c r="C115" s="5" t="s">
        <v>285</v>
      </c>
      <c r="D115" s="5" t="s">
        <v>451</v>
      </c>
      <c r="E115" s="5" t="s">
        <v>0</v>
      </c>
      <c r="F115" s="5" t="s">
        <v>0</v>
      </c>
      <c r="G115" s="5" t="s">
        <v>452</v>
      </c>
      <c r="H115" s="8">
        <f>ROUND(19.788,2)</f>
        <v>19.79</v>
      </c>
      <c r="I115" s="7">
        <f>ROUND(43276.4899999999,2)</f>
        <v>43276.49</v>
      </c>
      <c r="J115" s="7">
        <f>ROUND(1859,2)</f>
        <v>1859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>
        <f>ROUND(16,2)</f>
        <v>16</v>
      </c>
      <c r="BX115" s="6"/>
      <c r="BY115" s="6"/>
      <c r="BZ115" s="6"/>
      <c r="CA115" s="6"/>
      <c r="CB115" s="6"/>
      <c r="CC115" s="6"/>
      <c r="CD115" s="6"/>
      <c r="CE115" s="6"/>
      <c r="CF115" s="6"/>
      <c r="CG115" s="7">
        <f>ROUND(3,2)</f>
        <v>3</v>
      </c>
      <c r="CH115" s="7">
        <f>ROUND(53,2)</f>
        <v>53</v>
      </c>
      <c r="CI115" s="7">
        <f>ROUND(32,2)</f>
        <v>32</v>
      </c>
      <c r="CJ115" s="6"/>
      <c r="CK115" s="6"/>
      <c r="CL115" s="7">
        <f>ROUND(12,2)</f>
        <v>12</v>
      </c>
      <c r="CM115" s="6"/>
      <c r="CN115" s="7">
        <f>ROUND(120,2)</f>
        <v>120</v>
      </c>
      <c r="CO115" s="6"/>
      <c r="CP115" s="6"/>
      <c r="CQ115" s="7">
        <f>ROUND(2095,2)</f>
        <v>2095</v>
      </c>
      <c r="CR115" s="7">
        <f>ROUND(36785.9,2)</f>
        <v>36785.9</v>
      </c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7">
        <f>ROUND(316.6,2)</f>
        <v>316.60000000000002</v>
      </c>
      <c r="FH115" s="6"/>
      <c r="FI115" s="6"/>
      <c r="FJ115" s="7">
        <f>ROUND(1820.68,2)</f>
        <v>1820.68</v>
      </c>
      <c r="FK115" s="6"/>
      <c r="FL115" s="6"/>
      <c r="FM115" s="7">
        <f>ROUND(59.37,2)</f>
        <v>59.37</v>
      </c>
      <c r="FN115" s="7">
        <f>ROUND(1048.74,2)</f>
        <v>1048.74</v>
      </c>
      <c r="FO115" s="7">
        <f>ROUND(633.2,2)</f>
        <v>633.20000000000005</v>
      </c>
      <c r="FP115" s="6"/>
      <c r="FQ115" s="6"/>
      <c r="FR115" s="6"/>
      <c r="FS115" s="7">
        <f>ROUND(237.459999999999,2)</f>
        <v>237.46</v>
      </c>
      <c r="FT115" s="6"/>
      <c r="FU115" s="6"/>
      <c r="FV115" s="7">
        <f>ROUND(2374.54,2)</f>
        <v>2374.54</v>
      </c>
      <c r="FW115" s="6"/>
      <c r="FX115" s="6"/>
      <c r="FY115" s="7">
        <f>ROUND(43276.4899999999,2)</f>
        <v>43276.49</v>
      </c>
    </row>
    <row r="116" spans="1:181" x14ac:dyDescent="0.3">
      <c r="A116" s="4" t="s">
        <v>453</v>
      </c>
      <c r="B116" s="5" t="s">
        <v>1029</v>
      </c>
      <c r="C116" s="5" t="s">
        <v>181</v>
      </c>
      <c r="D116" s="5" t="s">
        <v>377</v>
      </c>
      <c r="E116" s="5" t="s">
        <v>404</v>
      </c>
      <c r="F116" s="5" t="s">
        <v>0</v>
      </c>
      <c r="G116" s="5" t="s">
        <v>183</v>
      </c>
      <c r="H116" s="9">
        <v>17.5</v>
      </c>
      <c r="I116" s="7">
        <f>ROUND(2240,2)</f>
        <v>2240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7">
        <f>ROUND(128,2)</f>
        <v>128</v>
      </c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7">
        <f>ROUND(128,2)</f>
        <v>128</v>
      </c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7">
        <f>ROUND(2240,2)</f>
        <v>2240</v>
      </c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7">
        <f>ROUND(2240,2)</f>
        <v>2240</v>
      </c>
    </row>
    <row r="117" spans="1:181" ht="26.4" x14ac:dyDescent="0.3">
      <c r="A117" s="4" t="s">
        <v>454</v>
      </c>
      <c r="B117" s="5"/>
      <c r="C117" s="5" t="s">
        <v>244</v>
      </c>
      <c r="D117" s="5" t="s">
        <v>455</v>
      </c>
      <c r="E117" s="5" t="s">
        <v>0</v>
      </c>
      <c r="F117" s="5" t="s">
        <v>0</v>
      </c>
      <c r="G117" s="5" t="s">
        <v>247</v>
      </c>
      <c r="H117" s="8">
        <f>ROUND(24.7509,2)</f>
        <v>24.75</v>
      </c>
      <c r="I117" s="7">
        <f>ROUND(72503.56,2)</f>
        <v>72503.56</v>
      </c>
      <c r="J117" s="7">
        <f>ROUND(1792,2)</f>
        <v>1792</v>
      </c>
      <c r="K117" s="7">
        <f>ROUND(456.75,2)</f>
        <v>456.75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7">
        <f>ROUND(64,2)</f>
        <v>64</v>
      </c>
      <c r="CI117" s="7">
        <f>ROUND(32,2)</f>
        <v>32</v>
      </c>
      <c r="CJ117" s="6"/>
      <c r="CK117" s="6"/>
      <c r="CL117" s="6"/>
      <c r="CM117" s="6"/>
      <c r="CN117" s="7">
        <f>ROUND(232,2)</f>
        <v>232</v>
      </c>
      <c r="CO117" s="6"/>
      <c r="CP117" s="7">
        <f>ROUND(8,2)</f>
        <v>8</v>
      </c>
      <c r="CQ117" s="7">
        <f>ROUND(2584.75,2)</f>
        <v>2584.75</v>
      </c>
      <c r="CR117" s="7">
        <f>ROUND(44353.75,2)</f>
        <v>44353.75</v>
      </c>
      <c r="CS117" s="7">
        <f>ROUND(16957.45,2)</f>
        <v>16957.45</v>
      </c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7">
        <f>ROUND(2876,2)</f>
        <v>2876</v>
      </c>
      <c r="FK117" s="6"/>
      <c r="FL117" s="6"/>
      <c r="FM117" s="6"/>
      <c r="FN117" s="7">
        <f>ROUND(1584.08,2)</f>
        <v>1584.08</v>
      </c>
      <c r="FO117" s="7">
        <f>ROUND(792.03,2)</f>
        <v>792.03</v>
      </c>
      <c r="FP117" s="6"/>
      <c r="FQ117" s="6"/>
      <c r="FR117" s="6"/>
      <c r="FS117" s="6"/>
      <c r="FT117" s="6"/>
      <c r="FU117" s="6"/>
      <c r="FV117" s="7">
        <f>ROUND(5742.24,2)</f>
        <v>5742.24</v>
      </c>
      <c r="FW117" s="6"/>
      <c r="FX117" s="7">
        <f>ROUND(198.01,2)</f>
        <v>198.01</v>
      </c>
      <c r="FY117" s="7">
        <f>ROUND(72503.56,2)</f>
        <v>72503.56</v>
      </c>
    </row>
    <row r="118" spans="1:181" ht="26.4" x14ac:dyDescent="0.3">
      <c r="A118" s="4" t="s">
        <v>456</v>
      </c>
      <c r="B118" s="5"/>
      <c r="C118" s="5" t="s">
        <v>244</v>
      </c>
      <c r="D118" s="5" t="s">
        <v>457</v>
      </c>
      <c r="E118" s="5" t="s">
        <v>329</v>
      </c>
      <c r="F118" s="5" t="s">
        <v>0</v>
      </c>
      <c r="G118" s="5" t="s">
        <v>247</v>
      </c>
      <c r="H118" s="8">
        <f>ROUND(18,2)</f>
        <v>18</v>
      </c>
      <c r="I118" s="7">
        <f>ROUND(12793.5,2)</f>
        <v>12793.5</v>
      </c>
      <c r="J118" s="7">
        <f>ROUND(620.25,2)</f>
        <v>620.25</v>
      </c>
      <c r="K118" s="7">
        <f>ROUND(13,2)</f>
        <v>13</v>
      </c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7">
        <f>ROUND(11,2)</f>
        <v>11</v>
      </c>
      <c r="CH118" s="7">
        <f>ROUND(18,2)</f>
        <v>18</v>
      </c>
      <c r="CI118" s="6"/>
      <c r="CJ118" s="6"/>
      <c r="CK118" s="6"/>
      <c r="CL118" s="6"/>
      <c r="CM118" s="6"/>
      <c r="CN118" s="7">
        <f>ROUND(42,2)</f>
        <v>42</v>
      </c>
      <c r="CO118" s="6"/>
      <c r="CP118" s="6"/>
      <c r="CQ118" s="7">
        <f>ROUND(704.25,2)</f>
        <v>704.25</v>
      </c>
      <c r="CR118" s="7">
        <f>ROUND(11164.5,2)</f>
        <v>11164.5</v>
      </c>
      <c r="CS118" s="7">
        <f>ROUND(351,2)</f>
        <v>351</v>
      </c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7">
        <f>ROUND(198,2)</f>
        <v>198</v>
      </c>
      <c r="FN118" s="7">
        <f>ROUND(324,2)</f>
        <v>324</v>
      </c>
      <c r="FO118" s="6"/>
      <c r="FP118" s="6"/>
      <c r="FQ118" s="6"/>
      <c r="FR118" s="6"/>
      <c r="FS118" s="6"/>
      <c r="FT118" s="6"/>
      <c r="FU118" s="6"/>
      <c r="FV118" s="7">
        <f>ROUND(756,2)</f>
        <v>756</v>
      </c>
      <c r="FW118" s="6"/>
      <c r="FX118" s="6"/>
      <c r="FY118" s="7">
        <f>ROUND(12793.5,2)</f>
        <v>12793.5</v>
      </c>
    </row>
    <row r="119" spans="1:181" ht="26.4" x14ac:dyDescent="0.3">
      <c r="A119" s="4" t="s">
        <v>458</v>
      </c>
      <c r="B119" s="5"/>
      <c r="C119" s="5" t="s">
        <v>244</v>
      </c>
      <c r="D119" s="5" t="s">
        <v>459</v>
      </c>
      <c r="E119" s="5" t="s">
        <v>0</v>
      </c>
      <c r="F119" s="5" t="s">
        <v>0</v>
      </c>
      <c r="G119" s="5" t="s">
        <v>247</v>
      </c>
      <c r="H119" s="8">
        <f>ROUND(20.8678,2)</f>
        <v>20.87</v>
      </c>
      <c r="I119" s="7">
        <f>ROUND(48296.07,2)</f>
        <v>48296.07</v>
      </c>
      <c r="J119" s="7">
        <f>ROUND(1849.5,2)</f>
        <v>1849.5</v>
      </c>
      <c r="K119" s="7">
        <f>ROUND(55.25,2)</f>
        <v>55.25</v>
      </c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7">
        <f>ROUND(16,2)</f>
        <v>16</v>
      </c>
      <c r="BX119" s="6"/>
      <c r="BY119" s="6"/>
      <c r="BZ119" s="6"/>
      <c r="CA119" s="6"/>
      <c r="CB119" s="6"/>
      <c r="CC119" s="6"/>
      <c r="CD119" s="6"/>
      <c r="CE119" s="6"/>
      <c r="CF119" s="6"/>
      <c r="CG119" s="7">
        <f>ROUND(20,2)</f>
        <v>20</v>
      </c>
      <c r="CH119" s="7">
        <f>ROUND(48,2)</f>
        <v>48</v>
      </c>
      <c r="CI119" s="7">
        <f>ROUND(40,2)</f>
        <v>40</v>
      </c>
      <c r="CJ119" s="7">
        <f>ROUND(8,2)</f>
        <v>8</v>
      </c>
      <c r="CK119" s="6"/>
      <c r="CL119" s="7">
        <f>ROUND(30,2)</f>
        <v>30</v>
      </c>
      <c r="CM119" s="6"/>
      <c r="CN119" s="7">
        <f>ROUND(120,2)</f>
        <v>120</v>
      </c>
      <c r="CO119" s="6"/>
      <c r="CP119" s="6"/>
      <c r="CQ119" s="7">
        <f>ROUND(2186.75,2)</f>
        <v>2186.75</v>
      </c>
      <c r="CR119" s="7">
        <f>ROUND(38594.9599999999,2)</f>
        <v>38594.959999999999</v>
      </c>
      <c r="CS119" s="7">
        <f>ROUND(1729.43,2)</f>
        <v>1729.43</v>
      </c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7">
        <f>ROUND(333.88,2)</f>
        <v>333.88</v>
      </c>
      <c r="FH119" s="6"/>
      <c r="FI119" s="6"/>
      <c r="FJ119" s="7">
        <f>ROUND(2003.52,2)</f>
        <v>2003.52</v>
      </c>
      <c r="FK119" s="6"/>
      <c r="FL119" s="6"/>
      <c r="FM119" s="7">
        <f>ROUND(417.36,2)</f>
        <v>417.36</v>
      </c>
      <c r="FN119" s="7">
        <f>ROUND(1001.64,2)</f>
        <v>1001.64</v>
      </c>
      <c r="FO119" s="7">
        <f>ROUND(834.7,2)</f>
        <v>834.7</v>
      </c>
      <c r="FP119" s="7">
        <f>ROUND(250.41,2)</f>
        <v>250.41</v>
      </c>
      <c r="FQ119" s="6"/>
      <c r="FR119" s="6"/>
      <c r="FS119" s="7">
        <f>ROUND(626.04,2)</f>
        <v>626.04</v>
      </c>
      <c r="FT119" s="6"/>
      <c r="FU119" s="6"/>
      <c r="FV119" s="7">
        <f>ROUND(2504.13,2)</f>
        <v>2504.13</v>
      </c>
      <c r="FW119" s="6"/>
      <c r="FX119" s="6"/>
      <c r="FY119" s="7">
        <f>ROUND(48296.07,2)</f>
        <v>48296.07</v>
      </c>
    </row>
    <row r="120" spans="1:181" x14ac:dyDescent="0.3">
      <c r="A120" s="4" t="s">
        <v>460</v>
      </c>
      <c r="B120" s="5" t="s">
        <v>1029</v>
      </c>
      <c r="C120" s="5" t="s">
        <v>181</v>
      </c>
      <c r="D120" s="5" t="s">
        <v>461</v>
      </c>
      <c r="E120" s="5" t="s">
        <v>0</v>
      </c>
      <c r="F120" s="5" t="s">
        <v>0</v>
      </c>
      <c r="G120" s="5" t="s">
        <v>183</v>
      </c>
      <c r="H120" s="8">
        <v>33.380000000000003</v>
      </c>
      <c r="I120" s="7">
        <f>ROUND(85588.99,2)</f>
        <v>85588.99</v>
      </c>
      <c r="J120" s="6"/>
      <c r="K120" s="6"/>
      <c r="L120" s="6"/>
      <c r="M120" s="6"/>
      <c r="N120" s="7">
        <f>ROUND(1901.68,2)</f>
        <v>1901.68</v>
      </c>
      <c r="O120" s="6"/>
      <c r="P120" s="6"/>
      <c r="Q120" s="7">
        <f>ROUND(222.65,2)</f>
        <v>222.65</v>
      </c>
      <c r="R120" s="6"/>
      <c r="S120" s="6"/>
      <c r="T120" s="6"/>
      <c r="U120" s="6"/>
      <c r="V120" s="7">
        <f>ROUND(3.33,2)</f>
        <v>3.33</v>
      </c>
      <c r="W120" s="6"/>
      <c r="X120" s="6"/>
      <c r="Y120" s="6"/>
      <c r="Z120" s="6"/>
      <c r="AA120" s="6"/>
      <c r="AB120" s="6"/>
      <c r="AC120" s="6"/>
      <c r="AD120" s="6"/>
      <c r="AE120" s="7">
        <f>ROUND(6.42,2)</f>
        <v>6.42</v>
      </c>
      <c r="AF120" s="6"/>
      <c r="AG120" s="7">
        <f>ROUND(4,2)</f>
        <v>4</v>
      </c>
      <c r="AH120" s="6"/>
      <c r="AI120" s="6"/>
      <c r="AJ120" s="6"/>
      <c r="AK120" s="6"/>
      <c r="AL120" s="6"/>
      <c r="AM120" s="6"/>
      <c r="AN120" s="6"/>
      <c r="AO120" s="6"/>
      <c r="AP120" s="7">
        <f>ROUND(9.7,2)</f>
        <v>9.6999999999999993</v>
      </c>
      <c r="AQ120" s="6"/>
      <c r="AR120" s="6"/>
      <c r="AS120" s="6"/>
      <c r="AT120" s="6"/>
      <c r="AU120" s="7">
        <f>ROUND(68,2)</f>
        <v>68</v>
      </c>
      <c r="AV120" s="6"/>
      <c r="AW120" s="7">
        <f>ROUND(32,2)</f>
        <v>32</v>
      </c>
      <c r="AX120" s="6"/>
      <c r="AY120" s="7">
        <f>ROUND(70.67,2)</f>
        <v>70.67</v>
      </c>
      <c r="AZ120" s="7">
        <f>ROUND(11.33,2)</f>
        <v>11.33</v>
      </c>
      <c r="BA120" s="6"/>
      <c r="BB120" s="7">
        <f>ROUND(40,2)</f>
        <v>40</v>
      </c>
      <c r="BC120" s="6"/>
      <c r="BD120" s="7">
        <f>ROUND(8,2)</f>
        <v>8</v>
      </c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7">
        <f>ROUND(4.43999999999999,2)</f>
        <v>4.4400000000000004</v>
      </c>
      <c r="BU120" s="6"/>
      <c r="BV120" s="6"/>
      <c r="BW120" s="6"/>
      <c r="BX120" s="6"/>
      <c r="BY120" s="6"/>
      <c r="BZ120" s="6"/>
      <c r="CA120" s="7">
        <f>ROUND(8,2)</f>
        <v>8</v>
      </c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7">
        <f>ROUND(2390.22,2)</f>
        <v>2390.2199999999998</v>
      </c>
      <c r="CR120" s="6"/>
      <c r="CS120" s="6"/>
      <c r="CT120" s="6"/>
      <c r="CU120" s="6"/>
      <c r="CV120" s="7">
        <f>ROUND(62193.7199999999,2)</f>
        <v>62193.72</v>
      </c>
      <c r="CW120" s="6"/>
      <c r="CX120" s="6"/>
      <c r="CY120" s="7">
        <f>ROUND(10875.08,2)</f>
        <v>10875.08</v>
      </c>
      <c r="CZ120" s="6"/>
      <c r="DA120" s="6"/>
      <c r="DB120" s="6"/>
      <c r="DC120" s="6"/>
      <c r="DD120" s="7">
        <f>ROUND(107.36,2)</f>
        <v>107.36</v>
      </c>
      <c r="DE120" s="6"/>
      <c r="DF120" s="6"/>
      <c r="DG120" s="6"/>
      <c r="DH120" s="6"/>
      <c r="DI120" s="6"/>
      <c r="DJ120" s="6"/>
      <c r="DK120" s="6"/>
      <c r="DL120" s="6"/>
      <c r="DM120" s="6"/>
      <c r="DN120" s="7">
        <f>ROUND(212.68,2)</f>
        <v>212.68</v>
      </c>
      <c r="DO120" s="6"/>
      <c r="DP120" s="7">
        <f>ROUND(200.28,2)</f>
        <v>200.28</v>
      </c>
      <c r="DQ120" s="6"/>
      <c r="DR120" s="6"/>
      <c r="DS120" s="6"/>
      <c r="DT120" s="6"/>
      <c r="DU120" s="6"/>
      <c r="DV120" s="6"/>
      <c r="DW120" s="6"/>
      <c r="DX120" s="6"/>
      <c r="DY120" s="7">
        <f>ROUND(311.27,2)</f>
        <v>311.27</v>
      </c>
      <c r="DZ120" s="6"/>
      <c r="EA120" s="6"/>
      <c r="EB120" s="6"/>
      <c r="EC120" s="6"/>
      <c r="ED120" s="7">
        <f>ROUND(2215.48,2)</f>
        <v>2215.48</v>
      </c>
      <c r="EE120" s="6"/>
      <c r="EF120" s="7">
        <f>ROUND(1049.92,2)</f>
        <v>1049.92</v>
      </c>
      <c r="EG120" s="6"/>
      <c r="EH120" s="7">
        <f>ROUND(2316.44,2)</f>
        <v>2316.44</v>
      </c>
      <c r="EI120" s="7">
        <f>ROUND(553.04,2)</f>
        <v>553.04</v>
      </c>
      <c r="EJ120" s="6"/>
      <c r="EK120" s="7">
        <f>ROUND(1322,2)</f>
        <v>1322</v>
      </c>
      <c r="EL120" s="6"/>
      <c r="EM120" s="6"/>
      <c r="EN120" s="7">
        <f>ROUND(256.72,2)</f>
        <v>256.72000000000003</v>
      </c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7">
        <f>ROUND(975,2)</f>
        <v>975</v>
      </c>
      <c r="FK120" s="6"/>
      <c r="FL120" s="6"/>
      <c r="FM120" s="6"/>
      <c r="FN120" s="6"/>
      <c r="FO120" s="6"/>
      <c r="FP120" s="6"/>
      <c r="FQ120" s="6"/>
      <c r="FR120" s="6"/>
      <c r="FS120" s="6"/>
      <c r="FT120" s="7">
        <f>ROUND(3000,2)</f>
        <v>3000</v>
      </c>
      <c r="FU120" s="6"/>
      <c r="FV120" s="6"/>
      <c r="FW120" s="6"/>
      <c r="FX120" s="6"/>
      <c r="FY120" s="7">
        <f>ROUND(85588.99,2)</f>
        <v>85588.99</v>
      </c>
    </row>
    <row r="121" spans="1:181" x14ac:dyDescent="0.3">
      <c r="A121" s="4" t="s">
        <v>462</v>
      </c>
      <c r="B121" s="5"/>
      <c r="C121" s="5" t="s">
        <v>394</v>
      </c>
      <c r="D121" s="5" t="s">
        <v>463</v>
      </c>
      <c r="E121" s="5" t="s">
        <v>0</v>
      </c>
      <c r="F121" s="5" t="s">
        <v>0</v>
      </c>
      <c r="G121" s="5" t="s">
        <v>396</v>
      </c>
      <c r="H121" s="8">
        <f>ROUND(23,2)</f>
        <v>23</v>
      </c>
      <c r="I121" s="7">
        <f>ROUND(51401.88,2)</f>
        <v>51401.88</v>
      </c>
      <c r="J121" s="7">
        <f>ROUND(1884,2)</f>
        <v>1884</v>
      </c>
      <c r="K121" s="7">
        <f>ROUND(8.75,2)</f>
        <v>8.75</v>
      </c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7">
        <f>ROUND(8,2)</f>
        <v>8</v>
      </c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7">
        <f>ROUND(40,2)</f>
        <v>40</v>
      </c>
      <c r="BX121" s="6"/>
      <c r="BY121" s="6"/>
      <c r="BZ121" s="6"/>
      <c r="CA121" s="6"/>
      <c r="CB121" s="6"/>
      <c r="CC121" s="6"/>
      <c r="CD121" s="6"/>
      <c r="CE121" s="6"/>
      <c r="CF121" s="6"/>
      <c r="CG121" s="7">
        <f>ROUND(44,2)</f>
        <v>44</v>
      </c>
      <c r="CH121" s="7">
        <f>ROUND(40,2)</f>
        <v>40</v>
      </c>
      <c r="CI121" s="7">
        <f>ROUND(24,2)</f>
        <v>24</v>
      </c>
      <c r="CJ121" s="6"/>
      <c r="CK121" s="6"/>
      <c r="CL121" s="7">
        <f>ROUND(8,2)</f>
        <v>8</v>
      </c>
      <c r="CM121" s="6"/>
      <c r="CN121" s="7">
        <f>ROUND(72,2)</f>
        <v>72</v>
      </c>
      <c r="CO121" s="6"/>
      <c r="CP121" s="6"/>
      <c r="CQ121" s="7">
        <f>ROUND(2128.75,2)</f>
        <v>2128.75</v>
      </c>
      <c r="CR121" s="7">
        <f>ROUND(43332,2)</f>
        <v>43332</v>
      </c>
      <c r="CS121" s="7">
        <f>ROUND(301.88,2)</f>
        <v>301.88</v>
      </c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7">
        <f>ROUND(184,2)</f>
        <v>184</v>
      </c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7">
        <f>ROUND(920,2)</f>
        <v>920</v>
      </c>
      <c r="FH121" s="6"/>
      <c r="FI121" s="6"/>
      <c r="FJ121" s="7">
        <f>ROUND(2340,2)</f>
        <v>2340</v>
      </c>
      <c r="FK121" s="6"/>
      <c r="FL121" s="6"/>
      <c r="FM121" s="7">
        <f>ROUND(1012,2)</f>
        <v>1012</v>
      </c>
      <c r="FN121" s="7">
        <f>ROUND(920,2)</f>
        <v>920</v>
      </c>
      <c r="FO121" s="7">
        <f>ROUND(552,2)</f>
        <v>552</v>
      </c>
      <c r="FP121" s="6"/>
      <c r="FQ121" s="6"/>
      <c r="FR121" s="6"/>
      <c r="FS121" s="7">
        <f>ROUND(184,2)</f>
        <v>184</v>
      </c>
      <c r="FT121" s="6"/>
      <c r="FU121" s="6"/>
      <c r="FV121" s="7">
        <f>ROUND(1656,2)</f>
        <v>1656</v>
      </c>
      <c r="FW121" s="6"/>
      <c r="FX121" s="6"/>
      <c r="FY121" s="7">
        <f>ROUND(51401.88,2)</f>
        <v>51401.88</v>
      </c>
    </row>
    <row r="122" spans="1:181" x14ac:dyDescent="0.3">
      <c r="A122" s="4" t="s">
        <v>464</v>
      </c>
      <c r="B122" s="5"/>
      <c r="C122" s="5" t="s">
        <v>305</v>
      </c>
      <c r="D122" s="5" t="s">
        <v>465</v>
      </c>
      <c r="E122" s="5" t="s">
        <v>0</v>
      </c>
      <c r="F122" s="5" t="s">
        <v>0</v>
      </c>
      <c r="G122" s="5" t="s">
        <v>466</v>
      </c>
      <c r="H122" s="8">
        <f>ROUND(1020.4,2)</f>
        <v>1020.4</v>
      </c>
      <c r="I122" s="7">
        <f>ROUND(56685.8,2)</f>
        <v>56685.8</v>
      </c>
      <c r="J122" s="7">
        <f>ROUND(1676,2)</f>
        <v>1676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7">
        <f>ROUND(-19,2)</f>
        <v>-19</v>
      </c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7">
        <f>ROUND(24,2)</f>
        <v>24</v>
      </c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7">
        <f>ROUND(8,2)</f>
        <v>8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7">
        <f>ROUND(59,2)</f>
        <v>59</v>
      </c>
      <c r="CH122" s="7">
        <f>ROUND(56,2)</f>
        <v>56</v>
      </c>
      <c r="CI122" s="7">
        <f>ROUND(64,2)</f>
        <v>64</v>
      </c>
      <c r="CJ122" s="6"/>
      <c r="CK122" s="6"/>
      <c r="CL122" s="6"/>
      <c r="CM122" s="6"/>
      <c r="CN122" s="7">
        <f>ROUND(56,2)</f>
        <v>56</v>
      </c>
      <c r="CO122" s="6"/>
      <c r="CP122" s="6"/>
      <c r="CQ122" s="7">
        <f>ROUND(1924,2)</f>
        <v>1924</v>
      </c>
      <c r="CR122" s="7">
        <f>ROUND(51753.86,2)</f>
        <v>51753.86</v>
      </c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7">
        <f>ROUND(-484.69,2)</f>
        <v>-484.69</v>
      </c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7">
        <f>ROUND(204.08,2)</f>
        <v>204.08</v>
      </c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7">
        <f>ROUND(416.67,2)</f>
        <v>416.67</v>
      </c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7">
        <f>ROUND(2448.96,2)</f>
        <v>2448.96</v>
      </c>
      <c r="FK122" s="6"/>
      <c r="FL122" s="6"/>
      <c r="FM122" s="7">
        <f>ROUND(918.36,2)</f>
        <v>918.36</v>
      </c>
      <c r="FN122" s="7">
        <f>ROUND(612.24,2)</f>
        <v>612.24</v>
      </c>
      <c r="FO122" s="6"/>
      <c r="FP122" s="6"/>
      <c r="FQ122" s="6"/>
      <c r="FR122" s="6"/>
      <c r="FS122" s="6"/>
      <c r="FT122" s="6"/>
      <c r="FU122" s="6"/>
      <c r="FV122" s="7">
        <f>ROUND(816.32,2)</f>
        <v>816.32</v>
      </c>
      <c r="FW122" s="6"/>
      <c r="FX122" s="6"/>
      <c r="FY122" s="7">
        <f>ROUND(56685.8,2)</f>
        <v>56685.8</v>
      </c>
    </row>
    <row r="123" spans="1:181" x14ac:dyDescent="0.3">
      <c r="A123" s="4" t="s">
        <v>467</v>
      </c>
      <c r="B123" s="5" t="s">
        <v>1029</v>
      </c>
      <c r="C123" s="5" t="s">
        <v>181</v>
      </c>
      <c r="D123" s="5" t="s">
        <v>468</v>
      </c>
      <c r="E123" s="5" t="s">
        <v>0</v>
      </c>
      <c r="F123" s="5" t="s">
        <v>0</v>
      </c>
      <c r="G123" s="5" t="s">
        <v>183</v>
      </c>
      <c r="H123" s="8">
        <v>33.380000000000003</v>
      </c>
      <c r="I123" s="7">
        <f>ROUND(54312.42,2)</f>
        <v>54312.42</v>
      </c>
      <c r="J123" s="6"/>
      <c r="K123" s="6"/>
      <c r="L123" s="6"/>
      <c r="M123" s="6"/>
      <c r="N123" s="7">
        <f>ROUND(1143.65,2)</f>
        <v>1143.6500000000001</v>
      </c>
      <c r="O123" s="6"/>
      <c r="P123" s="6"/>
      <c r="Q123" s="7">
        <f>ROUND(91.61,2)</f>
        <v>91.61</v>
      </c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7">
        <f>ROUND(39.75,2)</f>
        <v>39.75</v>
      </c>
      <c r="AV123" s="7">
        <f>ROUND(0.25,2)</f>
        <v>0.25</v>
      </c>
      <c r="AW123" s="7">
        <f>ROUND(48,2)</f>
        <v>48</v>
      </c>
      <c r="AX123" s="6"/>
      <c r="AY123" s="7">
        <f>ROUND(92.58,2)</f>
        <v>92.58</v>
      </c>
      <c r="AZ123" s="7">
        <f>ROUND(19.42,2)</f>
        <v>19.420000000000002</v>
      </c>
      <c r="BA123" s="6"/>
      <c r="BB123" s="7">
        <f>ROUND(32,2)</f>
        <v>32</v>
      </c>
      <c r="BC123" s="6"/>
      <c r="BD123" s="7">
        <f>ROUND(3.08,2)</f>
        <v>3.08</v>
      </c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7">
        <f>ROUND(736,2)</f>
        <v>736</v>
      </c>
      <c r="BT123" s="7">
        <f>ROUND(7.10999999999999,2)</f>
        <v>7.11</v>
      </c>
      <c r="BU123" s="6"/>
      <c r="BV123" s="6"/>
      <c r="BW123" s="7">
        <f>ROUND(24,2)</f>
        <v>24</v>
      </c>
      <c r="BX123" s="7">
        <f>ROUND(24,2)</f>
        <v>24</v>
      </c>
      <c r="BY123" s="7">
        <f>ROUND(8,2)</f>
        <v>8</v>
      </c>
      <c r="BZ123" s="6"/>
      <c r="CA123" s="7">
        <f>ROUND(8,2)</f>
        <v>8</v>
      </c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7">
        <f>ROUND(16,2)</f>
        <v>16</v>
      </c>
      <c r="CQ123" s="7">
        <f>ROUND(2293.45,2)</f>
        <v>2293.4499999999998</v>
      </c>
      <c r="CR123" s="6"/>
      <c r="CS123" s="6"/>
      <c r="CT123" s="6"/>
      <c r="CU123" s="6"/>
      <c r="CV123" s="7">
        <f>ROUND(37749.3899999999,2)</f>
        <v>37749.39</v>
      </c>
      <c r="CW123" s="6"/>
      <c r="CX123" s="6"/>
      <c r="CY123" s="7">
        <f>ROUND(4567.24,2)</f>
        <v>4567.24</v>
      </c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7">
        <f>ROUND(1311.34,2)</f>
        <v>1311.34</v>
      </c>
      <c r="EE123" s="7">
        <f>ROUND(12.4,2)</f>
        <v>12.4</v>
      </c>
      <c r="EF123" s="7">
        <f>ROUND(1584,2)</f>
        <v>1584</v>
      </c>
      <c r="EG123" s="6"/>
      <c r="EH123" s="7">
        <f>ROUND(3059.75999999999,2)</f>
        <v>3059.76</v>
      </c>
      <c r="EI123" s="7">
        <f>ROUND(962.749999999999,2)</f>
        <v>962.75</v>
      </c>
      <c r="EJ123" s="6"/>
      <c r="EK123" s="7">
        <f>ROUND(1026.88,2)</f>
        <v>1026.8800000000001</v>
      </c>
      <c r="EL123" s="6"/>
      <c r="EM123" s="6"/>
      <c r="EN123" s="7">
        <f>ROUND(99.3,2)</f>
        <v>99.3</v>
      </c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7">
        <f>ROUND(400,2)</f>
        <v>400</v>
      </c>
      <c r="FK123" s="6"/>
      <c r="FL123" s="6"/>
      <c r="FM123" s="6"/>
      <c r="FN123" s="6"/>
      <c r="FO123" s="6"/>
      <c r="FP123" s="6"/>
      <c r="FQ123" s="6"/>
      <c r="FR123" s="6"/>
      <c r="FS123" s="6"/>
      <c r="FT123" s="7">
        <f>ROUND(3000,2)</f>
        <v>3000</v>
      </c>
      <c r="FU123" s="6"/>
      <c r="FV123" s="6"/>
      <c r="FW123" s="6"/>
      <c r="FX123" s="7">
        <f>ROUND(539.36,2)</f>
        <v>539.36</v>
      </c>
      <c r="FY123" s="7">
        <f>ROUND(54312.4199999999,2)</f>
        <v>54312.42</v>
      </c>
    </row>
    <row r="124" spans="1:181" x14ac:dyDescent="0.3">
      <c r="A124" s="4" t="s">
        <v>469</v>
      </c>
      <c r="B124" s="5" t="s">
        <v>1029</v>
      </c>
      <c r="C124" s="5" t="s">
        <v>181</v>
      </c>
      <c r="D124" s="5" t="s">
        <v>196</v>
      </c>
      <c r="E124" s="5" t="s">
        <v>0</v>
      </c>
      <c r="F124" s="5" t="s">
        <v>0</v>
      </c>
      <c r="G124" s="5" t="s">
        <v>183</v>
      </c>
      <c r="H124" s="8">
        <v>33.380000000000003</v>
      </c>
      <c r="I124" s="7">
        <f>ROUND(103768.39,2)</f>
        <v>103768.39</v>
      </c>
      <c r="J124" s="6"/>
      <c r="K124" s="6"/>
      <c r="L124" s="6"/>
      <c r="M124" s="6"/>
      <c r="N124" s="7">
        <f>ROUND(990.069999999999,2)</f>
        <v>990.07</v>
      </c>
      <c r="O124" s="6"/>
      <c r="P124" s="6"/>
      <c r="Q124" s="7">
        <f>ROUND(312.96,2)</f>
        <v>312.95999999999998</v>
      </c>
      <c r="R124" s="6"/>
      <c r="S124" s="6"/>
      <c r="T124" s="6"/>
      <c r="U124" s="7">
        <f>ROUND(0.28,2)</f>
        <v>0.28000000000000003</v>
      </c>
      <c r="V124" s="7">
        <f>ROUND(37.06,2)</f>
        <v>37.06</v>
      </c>
      <c r="W124" s="7">
        <f>ROUND(44.36,2)</f>
        <v>44.36</v>
      </c>
      <c r="X124" s="7">
        <f>ROUND(1.89,2)</f>
        <v>1.89</v>
      </c>
      <c r="Y124" s="7">
        <f>ROUND(2.8,2)</f>
        <v>2.8</v>
      </c>
      <c r="Z124" s="6"/>
      <c r="AA124" s="6"/>
      <c r="AB124" s="6"/>
      <c r="AC124" s="6"/>
      <c r="AD124" s="6"/>
      <c r="AE124" s="7">
        <f>ROUND(264,2)</f>
        <v>264</v>
      </c>
      <c r="AF124" s="6"/>
      <c r="AG124" s="7">
        <f>ROUND(73.1699999999999,2)</f>
        <v>73.17</v>
      </c>
      <c r="AH124" s="6"/>
      <c r="AI124" s="6"/>
      <c r="AJ124" s="6"/>
      <c r="AK124" s="6"/>
      <c r="AL124" s="6"/>
      <c r="AM124" s="6"/>
      <c r="AN124" s="6"/>
      <c r="AO124" s="6"/>
      <c r="AP124" s="7">
        <f>ROUND(567.399999999999,2)</f>
        <v>567.4</v>
      </c>
      <c r="AQ124" s="6"/>
      <c r="AR124" s="7">
        <f>ROUND(160.99,2)</f>
        <v>160.99</v>
      </c>
      <c r="AS124" s="6"/>
      <c r="AT124" s="6"/>
      <c r="AU124" s="7">
        <f>ROUND(76,2)</f>
        <v>76</v>
      </c>
      <c r="AV124" s="6"/>
      <c r="AW124" s="7">
        <f>ROUND(40,2)</f>
        <v>40</v>
      </c>
      <c r="AX124" s="6"/>
      <c r="AY124" s="7">
        <f>ROUND(88,2)</f>
        <v>88</v>
      </c>
      <c r="AZ124" s="6"/>
      <c r="BA124" s="6"/>
      <c r="BB124" s="7">
        <f>ROUND(10,2)</f>
        <v>10</v>
      </c>
      <c r="BC124" s="6"/>
      <c r="BD124" s="6"/>
      <c r="BE124" s="7">
        <f>ROUND(0.17,2)</f>
        <v>0.17</v>
      </c>
      <c r="BF124" s="6"/>
      <c r="BG124" s="6"/>
      <c r="BH124" s="6"/>
      <c r="BI124" s="6"/>
      <c r="BJ124" s="6"/>
      <c r="BK124" s="6"/>
      <c r="BL124" s="6"/>
      <c r="BM124" s="6"/>
      <c r="BN124" s="6"/>
      <c r="BO124" s="7">
        <f>ROUND(33.43,2)</f>
        <v>33.43</v>
      </c>
      <c r="BP124" s="6"/>
      <c r="BQ124" s="7">
        <f>ROUND(27.96,2)</f>
        <v>27.96</v>
      </c>
      <c r="BR124" s="7">
        <f>ROUND(11.2,2)</f>
        <v>11.2</v>
      </c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7">
        <f>ROUND(2741.74,2)</f>
        <v>2741.74</v>
      </c>
      <c r="CR124" s="6"/>
      <c r="CS124" s="6"/>
      <c r="CT124" s="6"/>
      <c r="CU124" s="6"/>
      <c r="CV124" s="7">
        <f>ROUND(32290.8899999999,2)</f>
        <v>32290.89</v>
      </c>
      <c r="CW124" s="6"/>
      <c r="CX124" s="6"/>
      <c r="CY124" s="7">
        <f>ROUND(15273.8499999999,2)</f>
        <v>15273.85</v>
      </c>
      <c r="CZ124" s="6"/>
      <c r="DA124" s="6"/>
      <c r="DB124" s="6"/>
      <c r="DC124" s="7">
        <f>ROUND(18.51,2)</f>
        <v>18.510000000000002</v>
      </c>
      <c r="DD124" s="7">
        <f>ROUND(1191.21,2)</f>
        <v>1191.21</v>
      </c>
      <c r="DE124" s="7">
        <f>ROUND(2175.04999999999,2)</f>
        <v>2175.0500000000002</v>
      </c>
      <c r="DF124" s="7">
        <f>ROUND(61.1,2)</f>
        <v>61.1</v>
      </c>
      <c r="DG124" s="7">
        <f>ROUND(136.72,2)</f>
        <v>136.72</v>
      </c>
      <c r="DH124" s="6"/>
      <c r="DI124" s="6"/>
      <c r="DJ124" s="6"/>
      <c r="DK124" s="6"/>
      <c r="DL124" s="6"/>
      <c r="DM124" s="6"/>
      <c r="DN124" s="7">
        <f>ROUND(8635.78999999999,2)</f>
        <v>8635.7900000000009</v>
      </c>
      <c r="DO124" s="6"/>
      <c r="DP124" s="7">
        <f>ROUND(3583.02,2)</f>
        <v>3583.02</v>
      </c>
      <c r="DQ124" s="6"/>
      <c r="DR124" s="6"/>
      <c r="DS124" s="6"/>
      <c r="DT124" s="6"/>
      <c r="DU124" s="6"/>
      <c r="DV124" s="6"/>
      <c r="DW124" s="6"/>
      <c r="DX124" s="6"/>
      <c r="DY124" s="7">
        <f>ROUND(18547.21,2)</f>
        <v>18547.21</v>
      </c>
      <c r="DZ124" s="6"/>
      <c r="EA124" s="7">
        <f>ROUND(7912.77999999999,2)</f>
        <v>7912.78</v>
      </c>
      <c r="EB124" s="6"/>
      <c r="EC124" s="6"/>
      <c r="ED124" s="7">
        <f>ROUND(2476.7,2)</f>
        <v>2476.6999999999998</v>
      </c>
      <c r="EE124" s="6"/>
      <c r="EF124" s="7">
        <f>ROUND(1283.6,2)</f>
        <v>1283.5999999999999</v>
      </c>
      <c r="EG124" s="6"/>
      <c r="EH124" s="7">
        <f>ROUND(2831.6,2)</f>
        <v>2831.6</v>
      </c>
      <c r="EI124" s="6"/>
      <c r="EJ124" s="6"/>
      <c r="EK124" s="7">
        <f>ROUND(330.5,2)</f>
        <v>330.5</v>
      </c>
      <c r="EL124" s="6"/>
      <c r="EM124" s="6"/>
      <c r="EN124" s="6"/>
      <c r="EO124" s="7">
        <f>ROUND(8.43,2)</f>
        <v>8.43</v>
      </c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7">
        <f>ROUND(1103.24,2)</f>
        <v>1103.24</v>
      </c>
      <c r="FC124" s="6"/>
      <c r="FD124" s="7">
        <f>ROUND(910.209999999999,2)</f>
        <v>910.21</v>
      </c>
      <c r="FE124" s="7">
        <f>ROUND(547.98,2)</f>
        <v>547.98</v>
      </c>
      <c r="FF124" s="6"/>
      <c r="FG124" s="6"/>
      <c r="FH124" s="6"/>
      <c r="FI124" s="6"/>
      <c r="FJ124" s="7">
        <f>ROUND(1450,2)</f>
        <v>1450</v>
      </c>
      <c r="FK124" s="6"/>
      <c r="FL124" s="6"/>
      <c r="FM124" s="6"/>
      <c r="FN124" s="6"/>
      <c r="FO124" s="6"/>
      <c r="FP124" s="6"/>
      <c r="FQ124" s="6"/>
      <c r="FR124" s="6"/>
      <c r="FS124" s="6"/>
      <c r="FT124" s="7">
        <f>ROUND(3000,2)</f>
        <v>3000</v>
      </c>
      <c r="FU124" s="6"/>
      <c r="FV124" s="6"/>
      <c r="FW124" s="6"/>
      <c r="FX124" s="6"/>
      <c r="FY124" s="7">
        <f>ROUND(103768.39,2)</f>
        <v>103768.39</v>
      </c>
    </row>
    <row r="125" spans="1:181" x14ac:dyDescent="0.3">
      <c r="A125" s="4" t="s">
        <v>470</v>
      </c>
      <c r="B125" s="5" t="s">
        <v>1029</v>
      </c>
      <c r="C125" s="5" t="s">
        <v>181</v>
      </c>
      <c r="D125" s="5" t="s">
        <v>471</v>
      </c>
      <c r="E125" s="5" t="s">
        <v>0</v>
      </c>
      <c r="F125" s="5" t="s">
        <v>0</v>
      </c>
      <c r="G125" s="5" t="s">
        <v>183</v>
      </c>
      <c r="H125" s="9">
        <v>28.37</v>
      </c>
      <c r="I125" s="7">
        <f>ROUND(35585.45,2)</f>
        <v>35585.449999999997</v>
      </c>
      <c r="J125" s="6"/>
      <c r="K125" s="6"/>
      <c r="L125" s="6"/>
      <c r="M125" s="6"/>
      <c r="N125" s="7">
        <f>ROUND(787.129999999999,2)</f>
        <v>787.13</v>
      </c>
      <c r="O125" s="6"/>
      <c r="P125" s="6"/>
      <c r="Q125" s="7">
        <f>ROUND(0.15,2)</f>
        <v>0.15</v>
      </c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7">
        <f>ROUND(112.85,2)</f>
        <v>112.85</v>
      </c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7">
        <f>ROUND(30,2)</f>
        <v>30</v>
      </c>
      <c r="AV125" s="6"/>
      <c r="AW125" s="6"/>
      <c r="AX125" s="6"/>
      <c r="AY125" s="7">
        <f>ROUND(10,2)</f>
        <v>10</v>
      </c>
      <c r="AZ125" s="6"/>
      <c r="BA125" s="6"/>
      <c r="BB125" s="7">
        <f>ROUND(5,2)</f>
        <v>5</v>
      </c>
      <c r="BC125" s="6"/>
      <c r="BD125" s="7">
        <f>ROUND(307.169999999999,2)</f>
        <v>307.17</v>
      </c>
      <c r="BE125" s="7">
        <f>ROUND(1.43,2)</f>
        <v>1.43</v>
      </c>
      <c r="BF125" s="7">
        <f>ROUND(13.55,2)</f>
        <v>13.55</v>
      </c>
      <c r="BG125" s="6"/>
      <c r="BH125" s="6"/>
      <c r="BI125" s="7">
        <f>ROUND(14.85,2)</f>
        <v>14.85</v>
      </c>
      <c r="BJ125" s="7">
        <f>ROUND(6.4,2)</f>
        <v>6.4</v>
      </c>
      <c r="BK125" s="6"/>
      <c r="BL125" s="6"/>
      <c r="BM125" s="6"/>
      <c r="BN125" s="6"/>
      <c r="BO125" s="6"/>
      <c r="BP125" s="6"/>
      <c r="BQ125" s="7">
        <f>ROUND(96.25,2)</f>
        <v>96.25</v>
      </c>
      <c r="BR125" s="6"/>
      <c r="BS125" s="7">
        <f>ROUND(45,2)</f>
        <v>45</v>
      </c>
      <c r="BT125" s="7">
        <f>ROUND(5.4,2)</f>
        <v>5.4</v>
      </c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7">
        <f>ROUND(1435.18,2)</f>
        <v>1435.18</v>
      </c>
      <c r="CR125" s="6"/>
      <c r="CS125" s="6"/>
      <c r="CT125" s="6"/>
      <c r="CU125" s="6"/>
      <c r="CV125" s="7">
        <f>ROUND(20647.2199999999,2)</f>
        <v>20647.22</v>
      </c>
      <c r="CW125" s="6"/>
      <c r="CX125" s="6"/>
      <c r="CY125" s="7">
        <f>ROUND(3.94,2)</f>
        <v>3.94</v>
      </c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7">
        <f>ROUND(2830.03999999999,2)</f>
        <v>2830.04</v>
      </c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7">
        <f>ROUND(770.8,2)</f>
        <v>770.8</v>
      </c>
      <c r="EE125" s="6"/>
      <c r="EF125" s="6"/>
      <c r="EG125" s="6"/>
      <c r="EH125" s="7">
        <f>ROUND(268.799999999999,2)</f>
        <v>268.8</v>
      </c>
      <c r="EI125" s="6"/>
      <c r="EJ125" s="6"/>
      <c r="EK125" s="7">
        <f>ROUND(140.45,2)</f>
        <v>140.44999999999999</v>
      </c>
      <c r="EL125" s="6"/>
      <c r="EM125" s="6"/>
      <c r="EN125" s="7">
        <f>ROUND(5440.84,2)</f>
        <v>5440.84</v>
      </c>
      <c r="EO125" s="7">
        <f>ROUND(40.17,2)</f>
        <v>40.17</v>
      </c>
      <c r="EP125" s="7">
        <f>ROUND(355.69,2)</f>
        <v>355.69</v>
      </c>
      <c r="EQ125" s="6"/>
      <c r="ER125" s="6"/>
      <c r="ES125" s="6"/>
      <c r="ET125" s="7">
        <f>ROUND(259.88,2)</f>
        <v>259.88</v>
      </c>
      <c r="EU125" s="7">
        <f>ROUND(168,2)</f>
        <v>168</v>
      </c>
      <c r="EV125" s="6"/>
      <c r="EW125" s="6"/>
      <c r="EX125" s="6"/>
      <c r="EY125" s="6"/>
      <c r="EZ125" s="6"/>
      <c r="FA125" s="6"/>
      <c r="FB125" s="6"/>
      <c r="FC125" s="6"/>
      <c r="FD125" s="7">
        <f>ROUND(2709.61999999999,2)</f>
        <v>2709.62</v>
      </c>
      <c r="FE125" s="6"/>
      <c r="FF125" s="6"/>
      <c r="FG125" s="6"/>
      <c r="FH125" s="6"/>
      <c r="FI125" s="6"/>
      <c r="FJ125" s="7">
        <f>ROUND(450,2)</f>
        <v>450</v>
      </c>
      <c r="FK125" s="6"/>
      <c r="FL125" s="6"/>
      <c r="FM125" s="6"/>
      <c r="FN125" s="6"/>
      <c r="FO125" s="6"/>
      <c r="FP125" s="6"/>
      <c r="FQ125" s="6"/>
      <c r="FR125" s="6"/>
      <c r="FS125" s="6"/>
      <c r="FT125" s="7">
        <f>ROUND(1500,2)</f>
        <v>1500</v>
      </c>
      <c r="FU125" s="6"/>
      <c r="FV125" s="6"/>
      <c r="FW125" s="6"/>
      <c r="FX125" s="6"/>
      <c r="FY125" s="7">
        <f>ROUND(35585.45,2)</f>
        <v>35585.449999999997</v>
      </c>
    </row>
    <row r="126" spans="1:181" x14ac:dyDescent="0.3">
      <c r="A126" s="4" t="s">
        <v>472</v>
      </c>
      <c r="B126" s="5"/>
      <c r="C126" s="5" t="s">
        <v>294</v>
      </c>
      <c r="D126" s="5" t="s">
        <v>368</v>
      </c>
      <c r="E126" s="5" t="s">
        <v>473</v>
      </c>
      <c r="F126" s="5" t="s">
        <v>0</v>
      </c>
      <c r="G126" s="5" t="s">
        <v>474</v>
      </c>
      <c r="H126" s="8">
        <f>ROUND(1406.89,2)</f>
        <v>1406.89</v>
      </c>
      <c r="I126" s="7">
        <f>ROUND(47833.3599999999,2)</f>
        <v>47833.36</v>
      </c>
      <c r="J126" s="7">
        <f>ROUND(720,2)</f>
        <v>720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>
        <f>ROUND(3,2)</f>
        <v>3</v>
      </c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7">
        <f>ROUND(24,2)</f>
        <v>24</v>
      </c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7">
        <f>ROUND(208,2)</f>
        <v>208</v>
      </c>
      <c r="CF126" s="6"/>
      <c r="CG126" s="6"/>
      <c r="CH126" s="7">
        <f>ROUND(32,2)</f>
        <v>32</v>
      </c>
      <c r="CI126" s="6"/>
      <c r="CJ126" s="6"/>
      <c r="CK126" s="6"/>
      <c r="CL126" s="6"/>
      <c r="CM126" s="6"/>
      <c r="CN126" s="7">
        <f>ROUND(32,2)</f>
        <v>32</v>
      </c>
      <c r="CO126" s="6"/>
      <c r="CP126" s="7">
        <f>ROUND(40,2)</f>
        <v>40</v>
      </c>
      <c r="CQ126" s="7">
        <f>ROUND(1059,2)</f>
        <v>1059</v>
      </c>
      <c r="CR126" s="7">
        <f>ROUND(37986.0299999999,2)</f>
        <v>37986.03</v>
      </c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7">
        <f>ROUND(1125,2)</f>
        <v>1125</v>
      </c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7">
        <f>ROUND(7315.53,2)</f>
        <v>7315.53</v>
      </c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7">
        <f>ROUND(1406.8,2)</f>
        <v>1406.8</v>
      </c>
      <c r="FY126" s="7">
        <f>ROUND(47833.3599999999,2)</f>
        <v>47833.36</v>
      </c>
    </row>
    <row r="127" spans="1:181" ht="26.4" x14ac:dyDescent="0.3">
      <c r="A127" s="4" t="s">
        <v>475</v>
      </c>
      <c r="B127" s="5"/>
      <c r="C127" s="5" t="s">
        <v>476</v>
      </c>
      <c r="D127" s="5" t="s">
        <v>477</v>
      </c>
      <c r="E127" s="5" t="s">
        <v>0</v>
      </c>
      <c r="F127" s="5" t="s">
        <v>0</v>
      </c>
      <c r="G127" s="5" t="s">
        <v>478</v>
      </c>
      <c r="H127" s="8">
        <f>ROUND(1400.06,2)</f>
        <v>1400.06</v>
      </c>
      <c r="I127" s="7">
        <f>ROUND(90063.3199999999,2)</f>
        <v>90063.32</v>
      </c>
      <c r="J127" s="7">
        <f>ROUND(1640,2)</f>
        <v>1640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7">
        <f>ROUND(-8,2)</f>
        <v>-8</v>
      </c>
      <c r="AJ127" s="7">
        <f>ROUND(32,2)</f>
        <v>32</v>
      </c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7">
        <f>ROUND(24,2)</f>
        <v>24</v>
      </c>
      <c r="BX127" s="6"/>
      <c r="BY127" s="6"/>
      <c r="BZ127" s="6"/>
      <c r="CA127" s="6"/>
      <c r="CB127" s="6"/>
      <c r="CC127" s="6"/>
      <c r="CD127" s="6"/>
      <c r="CE127" s="6"/>
      <c r="CF127" s="6"/>
      <c r="CG127" s="7">
        <f>ROUND(8,2)</f>
        <v>8</v>
      </c>
      <c r="CH127" s="7">
        <f>ROUND(48,2)</f>
        <v>48</v>
      </c>
      <c r="CI127" s="7">
        <f>ROUND(32,2)</f>
        <v>32</v>
      </c>
      <c r="CJ127" s="6"/>
      <c r="CK127" s="6"/>
      <c r="CL127" s="6"/>
      <c r="CM127" s="6"/>
      <c r="CN127" s="7">
        <f>ROUND(152,2)</f>
        <v>152</v>
      </c>
      <c r="CO127" s="6"/>
      <c r="CP127" s="6"/>
      <c r="CQ127" s="7">
        <f>ROUND(1928,2)</f>
        <v>1928</v>
      </c>
      <c r="CR127" s="7">
        <f>ROUND(70003.0199999999,2)</f>
        <v>70003.02</v>
      </c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7">
        <f>ROUND(-280.01,2)</f>
        <v>-280.01</v>
      </c>
      <c r="DS127" s="7">
        <f>ROUND(12000,2)</f>
        <v>12000</v>
      </c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7">
        <f>ROUND(500,2)</f>
        <v>500</v>
      </c>
      <c r="EX127" s="6"/>
      <c r="EY127" s="6"/>
      <c r="EZ127" s="6"/>
      <c r="FA127" s="6"/>
      <c r="FB127" s="6"/>
      <c r="FC127" s="6"/>
      <c r="FD127" s="6"/>
      <c r="FE127" s="6"/>
      <c r="FF127" s="6"/>
      <c r="FG127" s="7">
        <f>ROUND(280.01,2)</f>
        <v>280.01</v>
      </c>
      <c r="FH127" s="6"/>
      <c r="FI127" s="6"/>
      <c r="FJ127" s="7">
        <f>ROUND(3360.14,2)</f>
        <v>3360.14</v>
      </c>
      <c r="FK127" s="6"/>
      <c r="FL127" s="6"/>
      <c r="FM127" s="7">
        <f>ROUND(280.01,2)</f>
        <v>280.01</v>
      </c>
      <c r="FN127" s="7">
        <f>ROUND(840.03,2)</f>
        <v>840.03</v>
      </c>
      <c r="FO127" s="7">
        <f>ROUND(840.03,2)</f>
        <v>840.03</v>
      </c>
      <c r="FP127" s="6"/>
      <c r="FQ127" s="6"/>
      <c r="FR127" s="6"/>
      <c r="FS127" s="6"/>
      <c r="FT127" s="6"/>
      <c r="FU127" s="6"/>
      <c r="FV127" s="7">
        <f>ROUND(2240.09,2)</f>
        <v>2240.09</v>
      </c>
      <c r="FW127" s="6"/>
      <c r="FX127" s="6"/>
      <c r="FY127" s="7">
        <f>ROUND(90063.3199999999,2)</f>
        <v>90063.32</v>
      </c>
    </row>
    <row r="128" spans="1:181" x14ac:dyDescent="0.3">
      <c r="A128" s="4" t="s">
        <v>479</v>
      </c>
      <c r="B128" s="5" t="s">
        <v>1029</v>
      </c>
      <c r="C128" s="5" t="s">
        <v>181</v>
      </c>
      <c r="D128" s="5" t="s">
        <v>349</v>
      </c>
      <c r="E128" s="5" t="s">
        <v>0</v>
      </c>
      <c r="F128" s="5" t="s">
        <v>0</v>
      </c>
      <c r="G128" s="5" t="s">
        <v>183</v>
      </c>
      <c r="H128" s="8">
        <v>33.380000000000003</v>
      </c>
      <c r="I128" s="7">
        <f>ROUND(92217.08,2)</f>
        <v>92217.08</v>
      </c>
      <c r="J128" s="6"/>
      <c r="K128" s="6"/>
      <c r="L128" s="6"/>
      <c r="M128" s="6"/>
      <c r="N128" s="7">
        <f>ROUND(1881.45,2)</f>
        <v>1881.45</v>
      </c>
      <c r="O128" s="6"/>
      <c r="P128" s="6"/>
      <c r="Q128" s="7">
        <f>ROUND(301.59,2)</f>
        <v>301.58999999999997</v>
      </c>
      <c r="R128" s="6"/>
      <c r="S128" s="6"/>
      <c r="T128" s="6"/>
      <c r="U128" s="6"/>
      <c r="V128" s="6"/>
      <c r="W128" s="6"/>
      <c r="X128" s="7">
        <f>ROUND(5.02999999999999,2)</f>
        <v>5.03</v>
      </c>
      <c r="Y128" s="7">
        <f>ROUND(0.63,2)</f>
        <v>0.63</v>
      </c>
      <c r="Z128" s="6"/>
      <c r="AA128" s="6"/>
      <c r="AB128" s="6"/>
      <c r="AC128" s="6"/>
      <c r="AD128" s="6"/>
      <c r="AE128" s="7">
        <f>ROUND(35.75,2)</f>
        <v>35.75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7">
        <f>ROUND(67.04,2)</f>
        <v>67.040000000000006</v>
      </c>
      <c r="AQ128" s="6"/>
      <c r="AR128" s="7">
        <f>ROUND(1.67,2)</f>
        <v>1.67</v>
      </c>
      <c r="AS128" s="6"/>
      <c r="AT128" s="6"/>
      <c r="AU128" s="7">
        <f>ROUND(68,2)</f>
        <v>68</v>
      </c>
      <c r="AV128" s="7">
        <f>ROUND(6,2)</f>
        <v>6</v>
      </c>
      <c r="AW128" s="7">
        <f>ROUND(27.8,2)</f>
        <v>27.8</v>
      </c>
      <c r="AX128" s="7">
        <f>ROUND(4.2,2)</f>
        <v>4.2</v>
      </c>
      <c r="AY128" s="7">
        <f>ROUND(24,2)</f>
        <v>24</v>
      </c>
      <c r="AZ128" s="6"/>
      <c r="BA128" s="6"/>
      <c r="BB128" s="7">
        <f>ROUND(16,2)</f>
        <v>16</v>
      </c>
      <c r="BC128" s="6"/>
      <c r="BD128" s="7">
        <f>ROUND(8,2)</f>
        <v>8</v>
      </c>
      <c r="BE128" s="7">
        <f>ROUND(2.59,2)</f>
        <v>2.59</v>
      </c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7">
        <f>ROUND(5.42,2)</f>
        <v>5.42</v>
      </c>
      <c r="BR128" s="6"/>
      <c r="BS128" s="6"/>
      <c r="BT128" s="7">
        <f>ROUND(0.92,2)</f>
        <v>0.92</v>
      </c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7">
        <f>ROUND(80,2)</f>
        <v>80</v>
      </c>
      <c r="CQ128" s="7">
        <f>ROUND(2536.08999999999,2)</f>
        <v>2536.09</v>
      </c>
      <c r="CR128" s="6"/>
      <c r="CS128" s="6"/>
      <c r="CT128" s="6"/>
      <c r="CU128" s="6"/>
      <c r="CV128" s="7">
        <f>ROUND(61379.4099999999,2)</f>
        <v>61379.41</v>
      </c>
      <c r="CW128" s="6"/>
      <c r="CX128" s="6"/>
      <c r="CY128" s="7">
        <f>ROUND(14775.47,2)</f>
        <v>14775.47</v>
      </c>
      <c r="CZ128" s="6"/>
      <c r="DA128" s="6"/>
      <c r="DB128" s="6"/>
      <c r="DC128" s="6"/>
      <c r="DD128" s="6"/>
      <c r="DE128" s="6"/>
      <c r="DF128" s="7">
        <f>ROUND(162.709999999999,2)</f>
        <v>162.71</v>
      </c>
      <c r="DG128" s="7">
        <f>ROUND(30.33,2)</f>
        <v>30.33</v>
      </c>
      <c r="DH128" s="6"/>
      <c r="DI128" s="6"/>
      <c r="DJ128" s="6"/>
      <c r="DK128" s="6"/>
      <c r="DL128" s="6"/>
      <c r="DM128" s="6"/>
      <c r="DN128" s="7">
        <f>ROUND(1173.02,2)</f>
        <v>1173.02</v>
      </c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7">
        <f>ROUND(2152.81999999999,2)</f>
        <v>2152.8200000000002</v>
      </c>
      <c r="DZ128" s="6"/>
      <c r="EA128" s="7">
        <f>ROUND(80.39,2)</f>
        <v>80.39</v>
      </c>
      <c r="EB128" s="6"/>
      <c r="EC128" s="6"/>
      <c r="ED128" s="7">
        <f>ROUND(2212.29999999999,2)</f>
        <v>2212.3000000000002</v>
      </c>
      <c r="EE128" s="7">
        <f>ROUND(297.48,2)</f>
        <v>297.48</v>
      </c>
      <c r="EF128" s="7">
        <f>ROUND(911.11,2)</f>
        <v>911.11</v>
      </c>
      <c r="EG128" s="7">
        <f>ROUND(208.22,2)</f>
        <v>208.22</v>
      </c>
      <c r="EH128" s="7">
        <f>ROUND(785.52,2)</f>
        <v>785.52</v>
      </c>
      <c r="EI128" s="6"/>
      <c r="EJ128" s="6"/>
      <c r="EK128" s="7">
        <f>ROUND(513.44,2)</f>
        <v>513.44000000000005</v>
      </c>
      <c r="EL128" s="6"/>
      <c r="EM128" s="6"/>
      <c r="EN128" s="7">
        <f>ROUND(256.72,2)</f>
        <v>256.72000000000003</v>
      </c>
      <c r="EO128" s="7">
        <f>ROUND(83.81,2)</f>
        <v>83.81</v>
      </c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7">
        <f>ROUND(173.93,2)</f>
        <v>173.93</v>
      </c>
      <c r="FE128" s="6"/>
      <c r="FF128" s="6"/>
      <c r="FG128" s="6"/>
      <c r="FH128" s="6"/>
      <c r="FI128" s="6"/>
      <c r="FJ128" s="7">
        <f>ROUND(1350,2)</f>
        <v>1350</v>
      </c>
      <c r="FK128" s="6"/>
      <c r="FL128" s="6"/>
      <c r="FM128" s="6"/>
      <c r="FN128" s="6"/>
      <c r="FO128" s="6"/>
      <c r="FP128" s="6"/>
      <c r="FQ128" s="6"/>
      <c r="FR128" s="6"/>
      <c r="FS128" s="6"/>
      <c r="FT128" s="7">
        <f>ROUND(3000,2)</f>
        <v>3000</v>
      </c>
      <c r="FU128" s="6"/>
      <c r="FV128" s="6"/>
      <c r="FW128" s="6"/>
      <c r="FX128" s="7">
        <f>ROUND(2670.4,2)</f>
        <v>2670.4</v>
      </c>
      <c r="FY128" s="7">
        <f>ROUND(92217.08,2)</f>
        <v>92217.08</v>
      </c>
    </row>
    <row r="129" spans="1:181" x14ac:dyDescent="0.3">
      <c r="A129" s="4" t="s">
        <v>480</v>
      </c>
      <c r="B129" s="5" t="s">
        <v>1029</v>
      </c>
      <c r="C129" s="5" t="s">
        <v>181</v>
      </c>
      <c r="D129" s="5" t="s">
        <v>435</v>
      </c>
      <c r="E129" s="5" t="s">
        <v>0</v>
      </c>
      <c r="F129" s="5" t="s">
        <v>0</v>
      </c>
      <c r="G129" s="5" t="s">
        <v>183</v>
      </c>
      <c r="H129" s="8">
        <v>33.380000000000003</v>
      </c>
      <c r="I129" s="7">
        <f>ROUND(80371.0799999999,2)</f>
        <v>80371.08</v>
      </c>
      <c r="J129" s="6"/>
      <c r="K129" s="6"/>
      <c r="L129" s="6"/>
      <c r="M129" s="6"/>
      <c r="N129" s="7">
        <f>ROUND(951.09,2)</f>
        <v>951.09</v>
      </c>
      <c r="O129" s="6"/>
      <c r="P129" s="6"/>
      <c r="Q129" s="7">
        <f>ROUND(122.9,2)</f>
        <v>122.9</v>
      </c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7">
        <f>ROUND(547.98,2)</f>
        <v>547.98</v>
      </c>
      <c r="AF129" s="6"/>
      <c r="AG129" s="7">
        <f>ROUND(40.18,2)</f>
        <v>40.18</v>
      </c>
      <c r="AH129" s="6"/>
      <c r="AI129" s="6"/>
      <c r="AJ129" s="6"/>
      <c r="AK129" s="6"/>
      <c r="AL129" s="6"/>
      <c r="AM129" s="6"/>
      <c r="AN129" s="6"/>
      <c r="AO129" s="6"/>
      <c r="AP129" s="7">
        <f>ROUND(316.07,2)</f>
        <v>316.07</v>
      </c>
      <c r="AQ129" s="6"/>
      <c r="AR129" s="7">
        <f>ROUND(8.02,2)</f>
        <v>8.02</v>
      </c>
      <c r="AS129" s="6"/>
      <c r="AT129" s="6"/>
      <c r="AU129" s="7">
        <f>ROUND(68,2)</f>
        <v>68</v>
      </c>
      <c r="AV129" s="7">
        <f>ROUND(8,2)</f>
        <v>8</v>
      </c>
      <c r="AW129" s="7">
        <f>ROUND(30,2)</f>
        <v>30</v>
      </c>
      <c r="AX129" s="7">
        <f>ROUND(2,2)</f>
        <v>2</v>
      </c>
      <c r="AY129" s="7">
        <f>ROUND(138,2)</f>
        <v>138</v>
      </c>
      <c r="AZ129" s="7">
        <f>ROUND(2,2)</f>
        <v>2</v>
      </c>
      <c r="BA129" s="6"/>
      <c r="BB129" s="6"/>
      <c r="BC129" s="6"/>
      <c r="BD129" s="7">
        <f>ROUND(8,2)</f>
        <v>8</v>
      </c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7">
        <f>ROUND(10.25,2)</f>
        <v>10.25</v>
      </c>
      <c r="BP129" s="6"/>
      <c r="BQ129" s="6"/>
      <c r="BR129" s="6"/>
      <c r="BS129" s="7">
        <f>ROUND(34,2)</f>
        <v>34</v>
      </c>
      <c r="BT129" s="7">
        <f>ROUND(1.17,2)</f>
        <v>1.17</v>
      </c>
      <c r="BU129" s="6"/>
      <c r="BV129" s="6"/>
      <c r="BW129" s="6"/>
      <c r="BX129" s="6"/>
      <c r="BY129" s="7">
        <f>ROUND(40,2)</f>
        <v>40</v>
      </c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7">
        <f>ROUND(2327.66,2)</f>
        <v>2327.66</v>
      </c>
      <c r="CR129" s="6"/>
      <c r="CS129" s="6"/>
      <c r="CT129" s="6"/>
      <c r="CU129" s="6"/>
      <c r="CV129" s="7">
        <f>ROUND(30906.5199999999,2)</f>
        <v>30906.52</v>
      </c>
      <c r="CW129" s="6"/>
      <c r="CX129" s="6"/>
      <c r="CY129" s="7">
        <f>ROUND(5980.34999999999,2)</f>
        <v>5980.35</v>
      </c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7">
        <f>ROUND(17951.08,2)</f>
        <v>17951.080000000002</v>
      </c>
      <c r="DO129" s="6"/>
      <c r="DP129" s="7">
        <f>ROUND(1986.71,2)</f>
        <v>1986.71</v>
      </c>
      <c r="DQ129" s="6"/>
      <c r="DR129" s="6"/>
      <c r="DS129" s="6"/>
      <c r="DT129" s="6"/>
      <c r="DU129" s="6"/>
      <c r="DV129" s="6"/>
      <c r="DW129" s="6"/>
      <c r="DX129" s="6"/>
      <c r="DY129" s="7">
        <f>ROUND(10263.55,2)</f>
        <v>10263.549999999999</v>
      </c>
      <c r="DZ129" s="6"/>
      <c r="EA129" s="7">
        <f>ROUND(391.83,2)</f>
        <v>391.83</v>
      </c>
      <c r="EB129" s="6"/>
      <c r="EC129" s="6"/>
      <c r="ED129" s="7">
        <f>ROUND(2210.38,2)</f>
        <v>2210.38</v>
      </c>
      <c r="EE129" s="7">
        <f>ROUND(396.64,2)</f>
        <v>396.64</v>
      </c>
      <c r="EF129" s="7">
        <f>ROUND(983.82,2)</f>
        <v>983.82</v>
      </c>
      <c r="EG129" s="7">
        <f>ROUND(99.15,2)</f>
        <v>99.15</v>
      </c>
      <c r="EH129" s="7">
        <f>ROUND(4516.26,2)</f>
        <v>4516.26</v>
      </c>
      <c r="EI129" s="7">
        <f>ROUND(99.15,2)</f>
        <v>99.15</v>
      </c>
      <c r="EJ129" s="6"/>
      <c r="EK129" s="6"/>
      <c r="EL129" s="6"/>
      <c r="EM129" s="6"/>
      <c r="EN129" s="7">
        <f>ROUND(256.72,2)</f>
        <v>256.72000000000003</v>
      </c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7">
        <f>ROUND(328.92,2)</f>
        <v>328.92</v>
      </c>
      <c r="FC129" s="6"/>
      <c r="FD129" s="6"/>
      <c r="FE129" s="6"/>
      <c r="FF129" s="6"/>
      <c r="FG129" s="6"/>
      <c r="FH129" s="6"/>
      <c r="FI129" s="6"/>
      <c r="FJ129" s="7">
        <f>ROUND(1000,2)</f>
        <v>1000</v>
      </c>
      <c r="FK129" s="6"/>
      <c r="FL129" s="6"/>
      <c r="FM129" s="6"/>
      <c r="FN129" s="6"/>
      <c r="FO129" s="6"/>
      <c r="FP129" s="6"/>
      <c r="FQ129" s="6"/>
      <c r="FR129" s="6"/>
      <c r="FS129" s="6"/>
      <c r="FT129" s="7">
        <f>ROUND(3000,2)</f>
        <v>3000</v>
      </c>
      <c r="FU129" s="6"/>
      <c r="FV129" s="6"/>
      <c r="FW129" s="6"/>
      <c r="FX129" s="6"/>
      <c r="FY129" s="7">
        <f>ROUND(80371.0799999999,2)</f>
        <v>80371.08</v>
      </c>
    </row>
    <row r="130" spans="1:181" x14ac:dyDescent="0.3">
      <c r="A130" s="4" t="s">
        <v>481</v>
      </c>
      <c r="B130" s="5" t="s">
        <v>1029</v>
      </c>
      <c r="C130" s="5" t="s">
        <v>181</v>
      </c>
      <c r="D130" s="5" t="s">
        <v>215</v>
      </c>
      <c r="E130" s="5" t="s">
        <v>0</v>
      </c>
      <c r="F130" s="5" t="s">
        <v>0</v>
      </c>
      <c r="G130" s="5" t="s">
        <v>183</v>
      </c>
      <c r="H130" s="8">
        <v>33.380000000000003</v>
      </c>
      <c r="I130" s="7">
        <f>ROUND(79975.5799999999,2)</f>
        <v>79975.58</v>
      </c>
      <c r="J130" s="6"/>
      <c r="K130" s="6"/>
      <c r="L130" s="6"/>
      <c r="M130" s="6"/>
      <c r="N130" s="7">
        <f>ROUND(234.479999999999,2)</f>
        <v>234.48</v>
      </c>
      <c r="O130" s="6"/>
      <c r="P130" s="6"/>
      <c r="Q130" s="7">
        <f>ROUND(7.08,2)</f>
        <v>7.08</v>
      </c>
      <c r="R130" s="6"/>
      <c r="S130" s="6"/>
      <c r="T130" s="6"/>
      <c r="U130" s="6"/>
      <c r="V130" s="6"/>
      <c r="W130" s="7">
        <f>ROUND(2.4,2)</f>
        <v>2.4</v>
      </c>
      <c r="X130" s="6"/>
      <c r="Y130" s="6"/>
      <c r="Z130" s="6"/>
      <c r="AA130" s="6"/>
      <c r="AB130" s="6"/>
      <c r="AC130" s="6"/>
      <c r="AD130" s="6"/>
      <c r="AE130" s="7">
        <f>ROUND(1251.28,2)</f>
        <v>1251.28</v>
      </c>
      <c r="AF130" s="6"/>
      <c r="AG130" s="7">
        <f>ROUND(137.05,2)</f>
        <v>137.05000000000001</v>
      </c>
      <c r="AH130" s="6"/>
      <c r="AI130" s="6"/>
      <c r="AJ130" s="6"/>
      <c r="AK130" s="6"/>
      <c r="AL130" s="6"/>
      <c r="AM130" s="6"/>
      <c r="AN130" s="6"/>
      <c r="AO130" s="6"/>
      <c r="AP130" s="7">
        <f>ROUND(305.67,2)</f>
        <v>305.67</v>
      </c>
      <c r="AQ130" s="6"/>
      <c r="AR130" s="7">
        <f>ROUND(8.1,2)</f>
        <v>8.1</v>
      </c>
      <c r="AS130" s="6"/>
      <c r="AT130" s="6"/>
      <c r="AU130" s="7">
        <f>ROUND(64,2)</f>
        <v>64</v>
      </c>
      <c r="AV130" s="7">
        <f>ROUND(8,2)</f>
        <v>8</v>
      </c>
      <c r="AW130" s="7">
        <f>ROUND(44,2)</f>
        <v>44</v>
      </c>
      <c r="AX130" s="6"/>
      <c r="AY130" s="7">
        <f>ROUND(130.579999999999,2)</f>
        <v>130.58000000000001</v>
      </c>
      <c r="AZ130" s="7">
        <f>ROUND(1.42,2)</f>
        <v>1.42</v>
      </c>
      <c r="BA130" s="6"/>
      <c r="BB130" s="6"/>
      <c r="BC130" s="6"/>
      <c r="BD130" s="7">
        <f>ROUND(8,2)</f>
        <v>8</v>
      </c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7">
        <f>ROUND(15.83,2)</f>
        <v>15.83</v>
      </c>
      <c r="BP130" s="6"/>
      <c r="BQ130" s="6"/>
      <c r="BR130" s="6"/>
      <c r="BS130" s="7">
        <f>ROUND(18,2)</f>
        <v>18</v>
      </c>
      <c r="BT130" s="6"/>
      <c r="BU130" s="6"/>
      <c r="BV130" s="6"/>
      <c r="BW130" s="6"/>
      <c r="BX130" s="6"/>
      <c r="BY130" s="7">
        <f>ROUND(58,2)</f>
        <v>58</v>
      </c>
      <c r="BZ130" s="6"/>
      <c r="CA130" s="7">
        <f>ROUND(16,2)</f>
        <v>16</v>
      </c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7">
        <f>ROUND(2309.89,2)</f>
        <v>2309.89</v>
      </c>
      <c r="CR130" s="6"/>
      <c r="CS130" s="6"/>
      <c r="CT130" s="6"/>
      <c r="CU130" s="6"/>
      <c r="CV130" s="7">
        <f>ROUND(7665.46,2)</f>
        <v>7665.46</v>
      </c>
      <c r="CW130" s="6"/>
      <c r="CX130" s="6"/>
      <c r="CY130" s="7">
        <f>ROUND(347.98,2)</f>
        <v>347.98</v>
      </c>
      <c r="CZ130" s="6"/>
      <c r="DA130" s="6"/>
      <c r="DB130" s="6"/>
      <c r="DC130" s="6"/>
      <c r="DD130" s="6"/>
      <c r="DE130" s="7">
        <f>ROUND(115.52,2)</f>
        <v>115.52</v>
      </c>
      <c r="DF130" s="6"/>
      <c r="DG130" s="6"/>
      <c r="DH130" s="6"/>
      <c r="DI130" s="6"/>
      <c r="DJ130" s="6"/>
      <c r="DK130" s="6"/>
      <c r="DL130" s="6"/>
      <c r="DM130" s="6"/>
      <c r="DN130" s="7">
        <f>ROUND(40825.4699999999,2)</f>
        <v>40825.47</v>
      </c>
      <c r="DO130" s="6"/>
      <c r="DP130" s="7">
        <f>ROUND(6733.67999999999,2)</f>
        <v>6733.68</v>
      </c>
      <c r="DQ130" s="6"/>
      <c r="DR130" s="6"/>
      <c r="DS130" s="6"/>
      <c r="DT130" s="6"/>
      <c r="DU130" s="6"/>
      <c r="DV130" s="6"/>
      <c r="DW130" s="6"/>
      <c r="DX130" s="6"/>
      <c r="DY130" s="7">
        <f>ROUND(9926.9,2)</f>
        <v>9926.9</v>
      </c>
      <c r="DZ130" s="6"/>
      <c r="EA130" s="7">
        <f>ROUND(396.559999999999,2)</f>
        <v>396.56</v>
      </c>
      <c r="EB130" s="6"/>
      <c r="EC130" s="6"/>
      <c r="ED130" s="7">
        <f>ROUND(2082.02,2)</f>
        <v>2082.02</v>
      </c>
      <c r="EE130" s="7">
        <f>ROUND(396.64,2)</f>
        <v>396.64</v>
      </c>
      <c r="EF130" s="7">
        <f>ROUND(1440.22,2)</f>
        <v>1440.22</v>
      </c>
      <c r="EG130" s="6"/>
      <c r="EH130" s="7">
        <f>ROUND(4262.07,2)</f>
        <v>4262.07</v>
      </c>
      <c r="EI130" s="7">
        <f>ROUND(68.36,2)</f>
        <v>68.36</v>
      </c>
      <c r="EJ130" s="6"/>
      <c r="EK130" s="6"/>
      <c r="EL130" s="6"/>
      <c r="EM130" s="6"/>
      <c r="EN130" s="7">
        <f>ROUND(256.72,2)</f>
        <v>256.72000000000003</v>
      </c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7">
        <f>ROUND(507.98,2)</f>
        <v>507.98</v>
      </c>
      <c r="FC130" s="6"/>
      <c r="FD130" s="6"/>
      <c r="FE130" s="6"/>
      <c r="FF130" s="6"/>
      <c r="FG130" s="6"/>
      <c r="FH130" s="6"/>
      <c r="FI130" s="6"/>
      <c r="FJ130" s="7">
        <f>ROUND(1950,2)</f>
        <v>1950</v>
      </c>
      <c r="FK130" s="6"/>
      <c r="FL130" s="6"/>
      <c r="FM130" s="6"/>
      <c r="FN130" s="6"/>
      <c r="FO130" s="6"/>
      <c r="FP130" s="6"/>
      <c r="FQ130" s="6"/>
      <c r="FR130" s="6"/>
      <c r="FS130" s="6"/>
      <c r="FT130" s="7">
        <f>ROUND(3000,2)</f>
        <v>3000</v>
      </c>
      <c r="FU130" s="6"/>
      <c r="FV130" s="6"/>
      <c r="FW130" s="6"/>
      <c r="FX130" s="6"/>
      <c r="FY130" s="7">
        <f>ROUND(79975.5799999999,2)</f>
        <v>79975.58</v>
      </c>
    </row>
    <row r="131" spans="1:181" x14ac:dyDescent="0.3">
      <c r="A131" s="4" t="s">
        <v>482</v>
      </c>
      <c r="B131" s="5" t="s">
        <v>1029</v>
      </c>
      <c r="C131" s="5" t="s">
        <v>181</v>
      </c>
      <c r="D131" s="5" t="s">
        <v>372</v>
      </c>
      <c r="E131" s="5" t="s">
        <v>0</v>
      </c>
      <c r="F131" s="5" t="s">
        <v>0</v>
      </c>
      <c r="G131" s="5" t="s">
        <v>183</v>
      </c>
      <c r="H131" s="8">
        <v>33.380000000000003</v>
      </c>
      <c r="I131" s="7">
        <f>ROUND(115199.749999999,2)</f>
        <v>115199.75</v>
      </c>
      <c r="J131" s="6"/>
      <c r="K131" s="6"/>
      <c r="L131" s="6"/>
      <c r="M131" s="6"/>
      <c r="N131" s="7">
        <f>ROUND(1539.47,2)</f>
        <v>1539.47</v>
      </c>
      <c r="O131" s="6"/>
      <c r="P131" s="6"/>
      <c r="Q131" s="7">
        <f>ROUND(593.82,2)</f>
        <v>593.82000000000005</v>
      </c>
      <c r="R131" s="6"/>
      <c r="S131" s="6"/>
      <c r="T131" s="6"/>
      <c r="U131" s="6"/>
      <c r="V131" s="7">
        <f>ROUND(5.25,2)</f>
        <v>5.25</v>
      </c>
      <c r="W131" s="7">
        <f>ROUND(37.48,2)</f>
        <v>37.479999999999997</v>
      </c>
      <c r="X131" s="7">
        <f>ROUND(0.82,2)</f>
        <v>0.82</v>
      </c>
      <c r="Y131" s="7">
        <f>ROUND(0.13,2)</f>
        <v>0.13</v>
      </c>
      <c r="Z131" s="6"/>
      <c r="AA131" s="6"/>
      <c r="AB131" s="6"/>
      <c r="AC131" s="6"/>
      <c r="AD131" s="6"/>
      <c r="AE131" s="7">
        <f>ROUND(111.31,2)</f>
        <v>111.31</v>
      </c>
      <c r="AF131" s="6"/>
      <c r="AG131" s="7">
        <f>ROUND(61.46,2)</f>
        <v>61.46</v>
      </c>
      <c r="AH131" s="6"/>
      <c r="AI131" s="6"/>
      <c r="AJ131" s="6"/>
      <c r="AK131" s="6"/>
      <c r="AL131" s="6"/>
      <c r="AM131" s="6"/>
      <c r="AN131" s="6"/>
      <c r="AO131" s="6"/>
      <c r="AP131" s="7">
        <f>ROUND(261.61,2)</f>
        <v>261.61</v>
      </c>
      <c r="AQ131" s="6"/>
      <c r="AR131" s="7">
        <f>ROUND(70.35,2)</f>
        <v>70.349999999999994</v>
      </c>
      <c r="AS131" s="6"/>
      <c r="AT131" s="6"/>
      <c r="AU131" s="7">
        <f>ROUND(66,2)</f>
        <v>66</v>
      </c>
      <c r="AV131" s="7">
        <f>ROUND(8,2)</f>
        <v>8</v>
      </c>
      <c r="AW131" s="7">
        <f>ROUND(10.3799999999999,2)</f>
        <v>10.38</v>
      </c>
      <c r="AX131" s="7">
        <f>ROUND(21.6199999999999,2)</f>
        <v>21.62</v>
      </c>
      <c r="AY131" s="7">
        <f>ROUND(104.42,2)</f>
        <v>104.42</v>
      </c>
      <c r="AZ131" s="7">
        <f>ROUND(31.58,2)</f>
        <v>31.58</v>
      </c>
      <c r="BA131" s="6"/>
      <c r="BB131" s="6"/>
      <c r="BC131" s="6"/>
      <c r="BD131" s="7">
        <f>ROUND(8,2)</f>
        <v>8</v>
      </c>
      <c r="BE131" s="7">
        <f>ROUND(2.53,2)</f>
        <v>2.5299999999999998</v>
      </c>
      <c r="BF131" s="6"/>
      <c r="BG131" s="6"/>
      <c r="BH131" s="6"/>
      <c r="BI131" s="6"/>
      <c r="BJ131" s="6"/>
      <c r="BK131" s="6"/>
      <c r="BL131" s="6"/>
      <c r="BM131" s="6"/>
      <c r="BN131" s="6"/>
      <c r="BO131" s="7">
        <f>ROUND(23.5,2)</f>
        <v>23.5</v>
      </c>
      <c r="BP131" s="7">
        <f>ROUND(6.92,2)</f>
        <v>6.92</v>
      </c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7">
        <f>ROUND(2964.65,2)</f>
        <v>2964.65</v>
      </c>
      <c r="CR131" s="6"/>
      <c r="CS131" s="6"/>
      <c r="CT131" s="6"/>
      <c r="CU131" s="6"/>
      <c r="CV131" s="7">
        <f>ROUND(50155.3099999999,2)</f>
        <v>50155.31</v>
      </c>
      <c r="CW131" s="6"/>
      <c r="CX131" s="6"/>
      <c r="CY131" s="7">
        <f>ROUND(29071.2299999999,2)</f>
        <v>29071.23</v>
      </c>
      <c r="CZ131" s="6"/>
      <c r="DA131" s="6"/>
      <c r="DB131" s="6"/>
      <c r="DC131" s="6"/>
      <c r="DD131" s="7">
        <f>ROUND(169.26,2)</f>
        <v>169.26</v>
      </c>
      <c r="DE131" s="7">
        <f>ROUND(1827.47,2)</f>
        <v>1827.47</v>
      </c>
      <c r="DF131" s="7">
        <f>ROUND(27.22,2)</f>
        <v>27.22</v>
      </c>
      <c r="DG131" s="7">
        <f>ROUND(6.26,2)</f>
        <v>6.26</v>
      </c>
      <c r="DH131" s="6"/>
      <c r="DI131" s="6"/>
      <c r="DJ131" s="6"/>
      <c r="DK131" s="6"/>
      <c r="DL131" s="6"/>
      <c r="DM131" s="6"/>
      <c r="DN131" s="7">
        <f>ROUND(3621.68,2)</f>
        <v>3621.68</v>
      </c>
      <c r="DO131" s="6"/>
      <c r="DP131" s="7">
        <f>ROUND(2980.37,2)</f>
        <v>2980.37</v>
      </c>
      <c r="DQ131" s="6"/>
      <c r="DR131" s="6"/>
      <c r="DS131" s="6"/>
      <c r="DT131" s="6"/>
      <c r="DU131" s="6"/>
      <c r="DV131" s="6"/>
      <c r="DW131" s="6"/>
      <c r="DX131" s="6"/>
      <c r="DY131" s="7">
        <f>ROUND(8519.05999999999,2)</f>
        <v>8519.06</v>
      </c>
      <c r="DZ131" s="6"/>
      <c r="EA131" s="7">
        <f>ROUND(3468.24,2)</f>
        <v>3468.24</v>
      </c>
      <c r="EB131" s="6"/>
      <c r="EC131" s="6"/>
      <c r="ED131" s="7">
        <f>ROUND(2143.62,2)</f>
        <v>2143.62</v>
      </c>
      <c r="EE131" s="7">
        <f>ROUND(396.64,2)</f>
        <v>396.64</v>
      </c>
      <c r="EF131" s="7">
        <f>ROUND(340.77,2)</f>
        <v>340.77</v>
      </c>
      <c r="EG131" s="7">
        <f>ROUND(1052.2,2)</f>
        <v>1052.2</v>
      </c>
      <c r="EH131" s="7">
        <f>ROUND(3403.08999999999,2)</f>
        <v>3403.09</v>
      </c>
      <c r="EI131" s="7">
        <f>ROUND(1565.58,2)</f>
        <v>1565.58</v>
      </c>
      <c r="EJ131" s="6"/>
      <c r="EK131" s="6"/>
      <c r="EL131" s="6"/>
      <c r="EM131" s="6"/>
      <c r="EN131" s="7">
        <f>ROUND(256.72,2)</f>
        <v>256.72000000000003</v>
      </c>
      <c r="EO131" s="7">
        <f>ROUND(83.62,2)</f>
        <v>83.62</v>
      </c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7">
        <f>ROUND(774.599999999999,2)</f>
        <v>774.6</v>
      </c>
      <c r="FC131" s="7">
        <f>ROUND(336.81,2)</f>
        <v>336.81</v>
      </c>
      <c r="FD131" s="6"/>
      <c r="FE131" s="6"/>
      <c r="FF131" s="6"/>
      <c r="FG131" s="6"/>
      <c r="FH131" s="6"/>
      <c r="FI131" s="6"/>
      <c r="FJ131" s="7">
        <f>ROUND(2000,2)</f>
        <v>2000</v>
      </c>
      <c r="FK131" s="6"/>
      <c r="FL131" s="6"/>
      <c r="FM131" s="6"/>
      <c r="FN131" s="6"/>
      <c r="FO131" s="6"/>
      <c r="FP131" s="6"/>
      <c r="FQ131" s="6"/>
      <c r="FR131" s="6"/>
      <c r="FS131" s="6"/>
      <c r="FT131" s="7">
        <f>ROUND(3000,2)</f>
        <v>3000</v>
      </c>
      <c r="FU131" s="6"/>
      <c r="FV131" s="6"/>
      <c r="FW131" s="6"/>
      <c r="FX131" s="6"/>
      <c r="FY131" s="7">
        <f>ROUND(115199.75,2)</f>
        <v>115199.75</v>
      </c>
    </row>
    <row r="132" spans="1:181" x14ac:dyDescent="0.3">
      <c r="A132" s="4" t="s">
        <v>483</v>
      </c>
      <c r="B132" s="5"/>
      <c r="C132" s="5" t="s">
        <v>270</v>
      </c>
      <c r="D132" s="5" t="s">
        <v>484</v>
      </c>
      <c r="E132" s="5" t="s">
        <v>0</v>
      </c>
      <c r="F132" s="5" t="s">
        <v>0</v>
      </c>
      <c r="G132" s="5" t="s">
        <v>485</v>
      </c>
      <c r="H132" s="8">
        <f>ROUND(1024.64,2)</f>
        <v>1024.6400000000001</v>
      </c>
      <c r="I132" s="7">
        <f>ROUND(55257.0599999999,2)</f>
        <v>55257.06</v>
      </c>
      <c r="J132" s="7">
        <f>ROUND(1648,2)</f>
        <v>1648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7">
        <f>ROUND(-8,2)</f>
        <v>-8</v>
      </c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7">
        <f>ROUND(8,2)</f>
        <v>8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7">
        <f>ROUND(56,2)</f>
        <v>56</v>
      </c>
      <c r="CI132" s="7">
        <f>ROUND(32,2)</f>
        <v>32</v>
      </c>
      <c r="CJ132" s="6"/>
      <c r="CK132" s="6"/>
      <c r="CL132" s="6"/>
      <c r="CM132" s="6"/>
      <c r="CN132" s="7">
        <f>ROUND(124,2)</f>
        <v>124</v>
      </c>
      <c r="CO132" s="6"/>
      <c r="CP132" s="6"/>
      <c r="CQ132" s="7">
        <f>ROUND(1860,2)</f>
        <v>1860</v>
      </c>
      <c r="CR132" s="7">
        <f>ROUND(49928.9199999999,2)</f>
        <v>49928.92</v>
      </c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7">
        <f>ROUND(-204.93,2)</f>
        <v>-204.93</v>
      </c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7">
        <f>ROUND(2459.14,2)</f>
        <v>2459.14</v>
      </c>
      <c r="FK132" s="6"/>
      <c r="FL132" s="6"/>
      <c r="FM132" s="6"/>
      <c r="FN132" s="7">
        <f>ROUND(614.79,2)</f>
        <v>614.79</v>
      </c>
      <c r="FO132" s="7">
        <f>ROUND(204.93,2)</f>
        <v>204.93</v>
      </c>
      <c r="FP132" s="6"/>
      <c r="FQ132" s="6"/>
      <c r="FR132" s="6"/>
      <c r="FS132" s="6"/>
      <c r="FT132" s="6"/>
      <c r="FU132" s="6"/>
      <c r="FV132" s="7">
        <f>ROUND(2254.21,2)</f>
        <v>2254.21</v>
      </c>
      <c r="FW132" s="6"/>
      <c r="FX132" s="6"/>
      <c r="FY132" s="7">
        <f>ROUND(55257.0599999999,2)</f>
        <v>55257.06</v>
      </c>
    </row>
    <row r="133" spans="1:181" x14ac:dyDescent="0.3">
      <c r="A133" s="4" t="s">
        <v>486</v>
      </c>
      <c r="B133" s="5"/>
      <c r="C133" s="5" t="s">
        <v>360</v>
      </c>
      <c r="D133" s="5" t="s">
        <v>278</v>
      </c>
      <c r="E133" s="5" t="s">
        <v>0</v>
      </c>
      <c r="F133" s="5" t="s">
        <v>0</v>
      </c>
      <c r="G133" s="5" t="s">
        <v>487</v>
      </c>
      <c r="H133" s="8">
        <f>ROUND(1057.88,2)</f>
        <v>1057.8800000000001</v>
      </c>
      <c r="I133" s="7">
        <f>ROUND(23286.87,2)</f>
        <v>23286.87</v>
      </c>
      <c r="J133" s="7">
        <f>ROUND(777.5,2)</f>
        <v>777.5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7">
        <f>ROUND(-9,2)</f>
        <v>-9</v>
      </c>
      <c r="AT133" s="6"/>
      <c r="AU133" s="6"/>
      <c r="AV133" s="6"/>
      <c r="AW133" s="6"/>
      <c r="AX133" s="6"/>
      <c r="AY133" s="6"/>
      <c r="AZ133" s="6"/>
      <c r="BA133" s="6"/>
      <c r="BB133" s="6"/>
      <c r="BC133" s="7">
        <f>ROUND(14.5,2)</f>
        <v>14.5</v>
      </c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7">
        <f>ROUND(1,2)</f>
        <v>1</v>
      </c>
      <c r="CH133" s="7">
        <f>ROUND(24,2)</f>
        <v>24</v>
      </c>
      <c r="CI133" s="6"/>
      <c r="CJ133" s="6"/>
      <c r="CK133" s="6"/>
      <c r="CL133" s="6"/>
      <c r="CM133" s="6"/>
      <c r="CN133" s="7">
        <f>ROUND(32,2)</f>
        <v>32</v>
      </c>
      <c r="CO133" s="6"/>
      <c r="CP133" s="6"/>
      <c r="CQ133" s="7">
        <f>ROUND(840,2)</f>
        <v>840</v>
      </c>
      <c r="CR133" s="7">
        <f>ROUND(21620.5,2)</f>
        <v>21620.5</v>
      </c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7">
        <f>ROUND(-238.03,2)</f>
        <v>-238.03</v>
      </c>
      <c r="EC133" s="6"/>
      <c r="ED133" s="6"/>
      <c r="EE133" s="6"/>
      <c r="EF133" s="6"/>
      <c r="EG133" s="6"/>
      <c r="EH133" s="6"/>
      <c r="EI133" s="6"/>
      <c r="EJ133" s="6"/>
      <c r="EK133" s="6"/>
      <c r="EL133" s="7">
        <f>ROUND(171.91,2)</f>
        <v>171.91</v>
      </c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7">
        <f>ROUND(225,2)</f>
        <v>225</v>
      </c>
      <c r="FK133" s="6"/>
      <c r="FL133" s="6"/>
      <c r="FM133" s="7">
        <f>ROUND(26.45,2)</f>
        <v>26.45</v>
      </c>
      <c r="FN133" s="7">
        <f>ROUND(634.74,2)</f>
        <v>634.74</v>
      </c>
      <c r="FO133" s="6"/>
      <c r="FP133" s="6"/>
      <c r="FQ133" s="6"/>
      <c r="FR133" s="6"/>
      <c r="FS133" s="6"/>
      <c r="FT133" s="6"/>
      <c r="FU133" s="6"/>
      <c r="FV133" s="7">
        <f>ROUND(846.3,2)</f>
        <v>846.3</v>
      </c>
      <c r="FW133" s="6"/>
      <c r="FX133" s="6"/>
      <c r="FY133" s="7">
        <f>ROUND(23286.87,2)</f>
        <v>23286.87</v>
      </c>
    </row>
    <row r="134" spans="1:181" x14ac:dyDescent="0.3">
      <c r="A134" s="4" t="s">
        <v>488</v>
      </c>
      <c r="B134" s="5" t="s">
        <v>1029</v>
      </c>
      <c r="C134" s="5" t="s">
        <v>236</v>
      </c>
      <c r="D134" s="5" t="s">
        <v>489</v>
      </c>
      <c r="E134" s="5" t="s">
        <v>0</v>
      </c>
      <c r="F134" s="5" t="s">
        <v>0</v>
      </c>
      <c r="G134" s="5" t="s">
        <v>330</v>
      </c>
      <c r="H134" s="9">
        <v>28.28</v>
      </c>
      <c r="I134" s="7">
        <f>ROUND(72136.72,2)</f>
        <v>72136.72</v>
      </c>
      <c r="J134" s="6"/>
      <c r="K134" s="6"/>
      <c r="L134" s="6"/>
      <c r="M134" s="6"/>
      <c r="N134" s="6"/>
      <c r="O134" s="6"/>
      <c r="P134" s="6"/>
      <c r="Q134" s="6"/>
      <c r="R134" s="7">
        <f>ROUND(1976,2)</f>
        <v>1976</v>
      </c>
      <c r="S134" s="7">
        <f>ROUND(244,2)</f>
        <v>244</v>
      </c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7">
        <f>ROUND(64,2)</f>
        <v>64</v>
      </c>
      <c r="AV134" s="6"/>
      <c r="AW134" s="7">
        <f>ROUND(24,2)</f>
        <v>24</v>
      </c>
      <c r="AX134" s="6"/>
      <c r="AY134" s="7">
        <f>ROUND(56,2)</f>
        <v>56</v>
      </c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7">
        <f>ROUND(2364,2)</f>
        <v>2364</v>
      </c>
      <c r="CR134" s="6"/>
      <c r="CS134" s="6"/>
      <c r="CT134" s="6"/>
      <c r="CU134" s="6"/>
      <c r="CV134" s="6"/>
      <c r="CW134" s="6"/>
      <c r="CX134" s="6"/>
      <c r="CY134" s="6"/>
      <c r="CZ134" s="7">
        <f>ROUND(53430,2)</f>
        <v>53430</v>
      </c>
      <c r="DA134" s="7">
        <f>ROUND(9860.63999999999,2)</f>
        <v>9860.64</v>
      </c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7">
        <f>ROUND(1715.84,2)</f>
        <v>1715.84</v>
      </c>
      <c r="EE134" s="6"/>
      <c r="EF134" s="7">
        <f>ROUND(649.6,2)</f>
        <v>649.6</v>
      </c>
      <c r="EG134" s="6"/>
      <c r="EH134" s="7">
        <f>ROUND(1480.64,2)</f>
        <v>1480.64</v>
      </c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7">
        <f>ROUND(2000,2)</f>
        <v>2000</v>
      </c>
      <c r="FK134" s="6"/>
      <c r="FL134" s="6"/>
      <c r="FM134" s="6"/>
      <c r="FN134" s="6"/>
      <c r="FO134" s="6"/>
      <c r="FP134" s="6"/>
      <c r="FQ134" s="6"/>
      <c r="FR134" s="6"/>
      <c r="FS134" s="6"/>
      <c r="FT134" s="7">
        <f>ROUND(3000,2)</f>
        <v>3000</v>
      </c>
      <c r="FU134" s="6"/>
      <c r="FV134" s="6"/>
      <c r="FW134" s="6"/>
      <c r="FX134" s="6"/>
      <c r="FY134" s="7">
        <f>ROUND(72136.72,2)</f>
        <v>72136.72</v>
      </c>
    </row>
    <row r="135" spans="1:181" ht="26.4" x14ac:dyDescent="0.3">
      <c r="A135" s="4" t="s">
        <v>490</v>
      </c>
      <c r="B135" s="5"/>
      <c r="C135" s="5" t="s">
        <v>244</v>
      </c>
      <c r="D135" s="5" t="s">
        <v>491</v>
      </c>
      <c r="E135" s="5" t="s">
        <v>0</v>
      </c>
      <c r="F135" s="5" t="s">
        <v>0</v>
      </c>
      <c r="G135" s="5" t="s">
        <v>247</v>
      </c>
      <c r="H135" s="8">
        <f>ROUND(18,2)</f>
        <v>18</v>
      </c>
      <c r="I135" s="7">
        <f>ROUND(29736,2)</f>
        <v>29736</v>
      </c>
      <c r="J135" s="7">
        <f>ROUND(1493.25,2)</f>
        <v>1493.25</v>
      </c>
      <c r="K135" s="7">
        <f>ROUND(4.5,2)</f>
        <v>4.5</v>
      </c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7">
        <f>ROUND(5,2)</f>
        <v>5</v>
      </c>
      <c r="BX135" s="6"/>
      <c r="BY135" s="6"/>
      <c r="BZ135" s="6"/>
      <c r="CA135" s="6"/>
      <c r="CB135" s="6"/>
      <c r="CC135" s="6"/>
      <c r="CD135" s="6"/>
      <c r="CE135" s="6"/>
      <c r="CF135" s="6"/>
      <c r="CG135" s="7">
        <f>ROUND(34,2)</f>
        <v>34</v>
      </c>
      <c r="CH135" s="7">
        <f>ROUND(37,2)</f>
        <v>37</v>
      </c>
      <c r="CI135" s="6"/>
      <c r="CJ135" s="7">
        <f>ROUND(4,2)</f>
        <v>4</v>
      </c>
      <c r="CK135" s="6"/>
      <c r="CL135" s="6"/>
      <c r="CM135" s="6"/>
      <c r="CN135" s="7">
        <f>ROUND(26,2)</f>
        <v>26</v>
      </c>
      <c r="CO135" s="6"/>
      <c r="CP135" s="6"/>
      <c r="CQ135" s="7">
        <f>ROUND(1603.75,2)</f>
        <v>1603.75</v>
      </c>
      <c r="CR135" s="7">
        <f>ROUND(26878.5,2)</f>
        <v>26878.5</v>
      </c>
      <c r="CS135" s="7">
        <f>ROUND(121.5,2)</f>
        <v>121.5</v>
      </c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7">
        <f>ROUND(90,2)</f>
        <v>90</v>
      </c>
      <c r="FH135" s="6"/>
      <c r="FI135" s="6"/>
      <c r="FJ135" s="7">
        <f>ROUND(792,2)</f>
        <v>792</v>
      </c>
      <c r="FK135" s="6"/>
      <c r="FL135" s="6"/>
      <c r="FM135" s="7">
        <f>ROUND(612,2)</f>
        <v>612</v>
      </c>
      <c r="FN135" s="7">
        <f>ROUND(666,2)</f>
        <v>666</v>
      </c>
      <c r="FO135" s="6"/>
      <c r="FP135" s="7">
        <f>ROUND(108,2)</f>
        <v>108</v>
      </c>
      <c r="FQ135" s="6"/>
      <c r="FR135" s="6"/>
      <c r="FS135" s="6"/>
      <c r="FT135" s="6"/>
      <c r="FU135" s="6"/>
      <c r="FV135" s="7">
        <f>ROUND(468,2)</f>
        <v>468</v>
      </c>
      <c r="FW135" s="6"/>
      <c r="FX135" s="6"/>
      <c r="FY135" s="7">
        <f>ROUND(29736,2)</f>
        <v>29736</v>
      </c>
    </row>
    <row r="136" spans="1:181" ht="26.4" x14ac:dyDescent="0.3">
      <c r="A136" s="4" t="s">
        <v>492</v>
      </c>
      <c r="B136" s="5"/>
      <c r="C136" s="5" t="s">
        <v>201</v>
      </c>
      <c r="D136" s="5" t="s">
        <v>428</v>
      </c>
      <c r="E136" s="5" t="s">
        <v>0</v>
      </c>
      <c r="F136" s="5" t="s">
        <v>0</v>
      </c>
      <c r="G136" s="5" t="s">
        <v>203</v>
      </c>
      <c r="H136" s="8">
        <f>ROUND(18,2)</f>
        <v>18</v>
      </c>
      <c r="I136" s="7">
        <f>ROUND(16353,2)</f>
        <v>16353</v>
      </c>
      <c r="J136" s="7">
        <f>ROUND(864.5,2)</f>
        <v>864.5</v>
      </c>
      <c r="K136" s="7">
        <f>ROUND(11,2)</f>
        <v>11</v>
      </c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7">
        <f>ROUND(15,2)</f>
        <v>15</v>
      </c>
      <c r="CI136" s="6"/>
      <c r="CJ136" s="6"/>
      <c r="CK136" s="6"/>
      <c r="CL136" s="6"/>
      <c r="CM136" s="6"/>
      <c r="CN136" s="6"/>
      <c r="CO136" s="6"/>
      <c r="CP136" s="6"/>
      <c r="CQ136" s="7">
        <f>ROUND(890.5,2)</f>
        <v>890.5</v>
      </c>
      <c r="CR136" s="7">
        <f>ROUND(15561,2)</f>
        <v>15561</v>
      </c>
      <c r="CS136" s="7">
        <f>ROUND(297,2)</f>
        <v>297</v>
      </c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7">
        <f>ROUND(225,2)</f>
        <v>225</v>
      </c>
      <c r="FK136" s="6"/>
      <c r="FL136" s="6"/>
      <c r="FM136" s="6"/>
      <c r="FN136" s="7">
        <f>ROUND(270,2)</f>
        <v>270</v>
      </c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7">
        <f>ROUND(16353,2)</f>
        <v>16353</v>
      </c>
    </row>
    <row r="137" spans="1:181" x14ac:dyDescent="0.3">
      <c r="A137" s="4" t="s">
        <v>493</v>
      </c>
      <c r="B137" s="5" t="s">
        <v>1029</v>
      </c>
      <c r="C137" s="5" t="s">
        <v>181</v>
      </c>
      <c r="D137" s="5" t="s">
        <v>332</v>
      </c>
      <c r="E137" s="5" t="s">
        <v>0</v>
      </c>
      <c r="F137" s="5" t="s">
        <v>0</v>
      </c>
      <c r="G137" s="5" t="s">
        <v>183</v>
      </c>
      <c r="H137" s="8">
        <v>33.380000000000003</v>
      </c>
      <c r="I137" s="7">
        <f>ROUND(82540.58,2)</f>
        <v>82540.58</v>
      </c>
      <c r="J137" s="6"/>
      <c r="K137" s="6"/>
      <c r="L137" s="6"/>
      <c r="M137" s="6"/>
      <c r="N137" s="7">
        <f>ROUND(1641.76,2)</f>
        <v>1641.76</v>
      </c>
      <c r="O137" s="6"/>
      <c r="P137" s="6"/>
      <c r="Q137" s="7">
        <f>ROUND(116.099999999999,2)</f>
        <v>116.1</v>
      </c>
      <c r="R137" s="6"/>
      <c r="S137" s="6"/>
      <c r="T137" s="6"/>
      <c r="U137" s="6"/>
      <c r="V137" s="6"/>
      <c r="W137" s="6"/>
      <c r="X137" s="6"/>
      <c r="Y137" s="6"/>
      <c r="Z137" s="7">
        <f>ROUND(0.25,2)</f>
        <v>0.25</v>
      </c>
      <c r="AA137" s="6"/>
      <c r="AB137" s="6"/>
      <c r="AC137" s="6"/>
      <c r="AD137" s="6"/>
      <c r="AE137" s="7">
        <f>ROUND(69.33,2)</f>
        <v>69.33</v>
      </c>
      <c r="AF137" s="6"/>
      <c r="AG137" s="7">
        <f>ROUND(2.42,2)</f>
        <v>2.42</v>
      </c>
      <c r="AH137" s="6"/>
      <c r="AI137" s="6"/>
      <c r="AJ137" s="6"/>
      <c r="AK137" s="6"/>
      <c r="AL137" s="6"/>
      <c r="AM137" s="6"/>
      <c r="AN137" s="6"/>
      <c r="AO137" s="6"/>
      <c r="AP137" s="7">
        <f>ROUND(198.79,2)</f>
        <v>198.79</v>
      </c>
      <c r="AQ137" s="6"/>
      <c r="AR137" s="7">
        <f>ROUND(1.92,2)</f>
        <v>1.92</v>
      </c>
      <c r="AS137" s="6"/>
      <c r="AT137" s="6"/>
      <c r="AU137" s="7">
        <f>ROUND(68.88,2)</f>
        <v>68.88</v>
      </c>
      <c r="AV137" s="7">
        <f>ROUND(7.12,2)</f>
        <v>7.12</v>
      </c>
      <c r="AW137" s="7">
        <f>ROUND(36,2)</f>
        <v>36</v>
      </c>
      <c r="AX137" s="7">
        <f>ROUND(6,2)</f>
        <v>6</v>
      </c>
      <c r="AY137" s="7">
        <f>ROUND(78.25,2)</f>
        <v>78.25</v>
      </c>
      <c r="AZ137" s="7">
        <f>ROUND(7.67,2)</f>
        <v>7.67</v>
      </c>
      <c r="BA137" s="6"/>
      <c r="BB137" s="7">
        <f>ROUND(16,2)</f>
        <v>16</v>
      </c>
      <c r="BC137" s="6"/>
      <c r="BD137" s="7">
        <f>ROUND(8,2)</f>
        <v>8</v>
      </c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7">
        <f>ROUND(20,2)</f>
        <v>20</v>
      </c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7">
        <f>ROUND(48,2)</f>
        <v>48</v>
      </c>
      <c r="CQ137" s="7">
        <f>ROUND(2326.49,2)</f>
        <v>2326.4899999999998</v>
      </c>
      <c r="CR137" s="6"/>
      <c r="CS137" s="6"/>
      <c r="CT137" s="6"/>
      <c r="CU137" s="6"/>
      <c r="CV137" s="7">
        <f>ROUND(53592.3499999999,2)</f>
        <v>53592.35</v>
      </c>
      <c r="CW137" s="6"/>
      <c r="CX137" s="6"/>
      <c r="CY137" s="7">
        <f>ROUND(5685.77,2)</f>
        <v>5685.77</v>
      </c>
      <c r="CZ137" s="6"/>
      <c r="DA137" s="6"/>
      <c r="DB137" s="6"/>
      <c r="DC137" s="6"/>
      <c r="DD137" s="6"/>
      <c r="DE137" s="6"/>
      <c r="DF137" s="6"/>
      <c r="DG137" s="6"/>
      <c r="DH137" s="7">
        <f>ROUND(16.53,2)</f>
        <v>16.53</v>
      </c>
      <c r="DI137" s="6"/>
      <c r="DJ137" s="6"/>
      <c r="DK137" s="6"/>
      <c r="DL137" s="6"/>
      <c r="DM137" s="6"/>
      <c r="DN137" s="7">
        <f>ROUND(2237.7,2)</f>
        <v>2237.6999999999998</v>
      </c>
      <c r="DO137" s="6"/>
      <c r="DP137" s="7">
        <f>ROUND(116.49,2)</f>
        <v>116.49</v>
      </c>
      <c r="DQ137" s="6"/>
      <c r="DR137" s="6"/>
      <c r="DS137" s="6"/>
      <c r="DT137" s="6"/>
      <c r="DU137" s="6"/>
      <c r="DV137" s="6"/>
      <c r="DW137" s="6"/>
      <c r="DX137" s="6"/>
      <c r="DY137" s="7">
        <f>ROUND(6419.38999999999,2)</f>
        <v>6419.39</v>
      </c>
      <c r="DZ137" s="6"/>
      <c r="EA137" s="7">
        <f>ROUND(92.42,2)</f>
        <v>92.42</v>
      </c>
      <c r="EB137" s="6"/>
      <c r="EC137" s="6"/>
      <c r="ED137" s="7">
        <f>ROUND(2239.46,2)</f>
        <v>2239.46</v>
      </c>
      <c r="EE137" s="7">
        <f>ROUND(353.01,2)</f>
        <v>353.01</v>
      </c>
      <c r="EF137" s="7">
        <f>ROUND(1180.2,2)</f>
        <v>1180.2</v>
      </c>
      <c r="EG137" s="7">
        <f>ROUND(297.46,2)</f>
        <v>297.45999999999998</v>
      </c>
      <c r="EH137" s="7">
        <f>ROUND(2511.04,2)</f>
        <v>2511.04</v>
      </c>
      <c r="EI137" s="7">
        <f>ROUND(369.2,2)</f>
        <v>369.2</v>
      </c>
      <c r="EJ137" s="6"/>
      <c r="EK137" s="7">
        <f>ROUND(528.8,2)</f>
        <v>528.79999999999995</v>
      </c>
      <c r="EL137" s="6"/>
      <c r="EM137" s="6"/>
      <c r="EN137" s="7">
        <f>ROUND(256.72,2)</f>
        <v>256.72000000000003</v>
      </c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7">
        <f>ROUND(641.8,2)</f>
        <v>641.79999999999995</v>
      </c>
      <c r="FE137" s="6"/>
      <c r="FF137" s="6"/>
      <c r="FG137" s="6"/>
      <c r="FH137" s="6"/>
      <c r="FI137" s="6"/>
      <c r="FJ137" s="7">
        <f>ROUND(1400,2)</f>
        <v>1400</v>
      </c>
      <c r="FK137" s="6"/>
      <c r="FL137" s="6"/>
      <c r="FM137" s="6"/>
      <c r="FN137" s="6"/>
      <c r="FO137" s="6"/>
      <c r="FP137" s="6"/>
      <c r="FQ137" s="6"/>
      <c r="FR137" s="6"/>
      <c r="FS137" s="6"/>
      <c r="FT137" s="7">
        <f>ROUND(3000,2)</f>
        <v>3000</v>
      </c>
      <c r="FU137" s="6"/>
      <c r="FV137" s="6"/>
      <c r="FW137" s="6"/>
      <c r="FX137" s="7">
        <f>ROUND(1602.24,2)</f>
        <v>1602.24</v>
      </c>
      <c r="FY137" s="7">
        <f>ROUND(82540.58,2)</f>
        <v>82540.58</v>
      </c>
    </row>
    <row r="138" spans="1:181" x14ac:dyDescent="0.3">
      <c r="A138" s="4" t="s">
        <v>494</v>
      </c>
      <c r="B138" s="5"/>
      <c r="C138" s="5" t="s">
        <v>394</v>
      </c>
      <c r="D138" s="5" t="s">
        <v>465</v>
      </c>
      <c r="E138" s="5" t="s">
        <v>0</v>
      </c>
      <c r="F138" s="5" t="s">
        <v>0</v>
      </c>
      <c r="G138" s="5" t="s">
        <v>396</v>
      </c>
      <c r="H138" s="8">
        <f>ROUND(22,2)</f>
        <v>22</v>
      </c>
      <c r="I138" s="7">
        <f>ROUND(48752,2)</f>
        <v>48752</v>
      </c>
      <c r="J138" s="7">
        <f>ROUND(1867.5,2)</f>
        <v>1867.5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7">
        <f>ROUND(16,2)</f>
        <v>16</v>
      </c>
      <c r="BX138" s="6"/>
      <c r="BY138" s="6"/>
      <c r="BZ138" s="6"/>
      <c r="CA138" s="6"/>
      <c r="CB138" s="6"/>
      <c r="CC138" s="6"/>
      <c r="CD138" s="6"/>
      <c r="CE138" s="6"/>
      <c r="CF138" s="6"/>
      <c r="CG138" s="7">
        <f>ROUND(31,2)</f>
        <v>31</v>
      </c>
      <c r="CH138" s="7">
        <f>ROUND(56,2)</f>
        <v>56</v>
      </c>
      <c r="CI138" s="7">
        <f>ROUND(32,2)</f>
        <v>32</v>
      </c>
      <c r="CJ138" s="6"/>
      <c r="CK138" s="6"/>
      <c r="CL138" s="7">
        <f>ROUND(37.5,2)</f>
        <v>37.5</v>
      </c>
      <c r="CM138" s="6"/>
      <c r="CN138" s="7">
        <f>ROUND(80,2)</f>
        <v>80</v>
      </c>
      <c r="CO138" s="6"/>
      <c r="CP138" s="6"/>
      <c r="CQ138" s="7">
        <f>ROUND(2120,2)</f>
        <v>2120</v>
      </c>
      <c r="CR138" s="7">
        <f>ROUND(41085,2)</f>
        <v>41085</v>
      </c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7">
        <f>ROUND(352,2)</f>
        <v>352</v>
      </c>
      <c r="FH138" s="6"/>
      <c r="FI138" s="6"/>
      <c r="FJ138" s="7">
        <f>ROUND(2112,2)</f>
        <v>2112</v>
      </c>
      <c r="FK138" s="6"/>
      <c r="FL138" s="6"/>
      <c r="FM138" s="7">
        <f>ROUND(682,2)</f>
        <v>682</v>
      </c>
      <c r="FN138" s="7">
        <f>ROUND(1232,2)</f>
        <v>1232</v>
      </c>
      <c r="FO138" s="7">
        <f>ROUND(704,2)</f>
        <v>704</v>
      </c>
      <c r="FP138" s="6"/>
      <c r="FQ138" s="6"/>
      <c r="FR138" s="6"/>
      <c r="FS138" s="7">
        <f>ROUND(825,2)</f>
        <v>825</v>
      </c>
      <c r="FT138" s="6"/>
      <c r="FU138" s="6"/>
      <c r="FV138" s="7">
        <f>ROUND(1760,2)</f>
        <v>1760</v>
      </c>
      <c r="FW138" s="6"/>
      <c r="FX138" s="6"/>
      <c r="FY138" s="7">
        <f>ROUND(48752,2)</f>
        <v>48752</v>
      </c>
    </row>
    <row r="139" spans="1:181" ht="26.4" x14ac:dyDescent="0.3">
      <c r="A139" s="4" t="s">
        <v>495</v>
      </c>
      <c r="B139" s="5"/>
      <c r="C139" s="5" t="s">
        <v>476</v>
      </c>
      <c r="D139" s="5" t="s">
        <v>496</v>
      </c>
      <c r="E139" s="5" t="s">
        <v>0</v>
      </c>
      <c r="F139" s="5" t="s">
        <v>0</v>
      </c>
      <c r="G139" s="5" t="s">
        <v>497</v>
      </c>
      <c r="H139" s="8">
        <f>ROUND(1809.3,2)</f>
        <v>1809.3</v>
      </c>
      <c r="I139" s="7">
        <f>ROUND(106103.62,2)</f>
        <v>106103.62</v>
      </c>
      <c r="J139" s="7">
        <f>ROUND(1664,2)</f>
        <v>1664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7">
        <f>ROUND(-16,2)</f>
        <v>-16</v>
      </c>
      <c r="AJ139" s="7">
        <f>ROUND(6,2)</f>
        <v>6</v>
      </c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7">
        <f>ROUND(24,2)</f>
        <v>24</v>
      </c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7">
        <f>ROUND(40,2)</f>
        <v>40</v>
      </c>
      <c r="CI139" s="7">
        <f>ROUND(32,2)</f>
        <v>32</v>
      </c>
      <c r="CJ139" s="6"/>
      <c r="CK139" s="6"/>
      <c r="CL139" s="6"/>
      <c r="CM139" s="6"/>
      <c r="CN139" s="7">
        <f>ROUND(184,2)</f>
        <v>184</v>
      </c>
      <c r="CO139" s="7">
        <f>ROUND(8,2)</f>
        <v>8</v>
      </c>
      <c r="CP139" s="7">
        <f>ROUND(80,2)</f>
        <v>80</v>
      </c>
      <c r="CQ139" s="7">
        <f>ROUND(2022,2)</f>
        <v>2022</v>
      </c>
      <c r="CR139" s="7">
        <f>ROUND(91550.58,2)</f>
        <v>91550.58</v>
      </c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7">
        <f>ROUND(-723.719999999999,2)</f>
        <v>-723.72</v>
      </c>
      <c r="DS139" s="7">
        <f>ROUND(2250,2)</f>
        <v>2250</v>
      </c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7">
        <f>ROUND(361.86,2)</f>
        <v>361.86</v>
      </c>
      <c r="FH139" s="6"/>
      <c r="FI139" s="6"/>
      <c r="FJ139" s="7">
        <f>ROUND(4342.32,2)</f>
        <v>4342.32</v>
      </c>
      <c r="FK139" s="6"/>
      <c r="FL139" s="6"/>
      <c r="FM139" s="6"/>
      <c r="FN139" s="7">
        <f>ROUND(723.72,2)</f>
        <v>723.72</v>
      </c>
      <c r="FO139" s="6"/>
      <c r="FP139" s="6"/>
      <c r="FQ139" s="6"/>
      <c r="FR139" s="6"/>
      <c r="FS139" s="6"/>
      <c r="FT139" s="6"/>
      <c r="FU139" s="6"/>
      <c r="FV139" s="7">
        <f>ROUND(3980.46,2)</f>
        <v>3980.46</v>
      </c>
      <c r="FW139" s="6"/>
      <c r="FX139" s="7">
        <f>ROUND(3618.4,2)</f>
        <v>3618.4</v>
      </c>
      <c r="FY139" s="7">
        <f>ROUND(106103.62,2)</f>
        <v>106103.62</v>
      </c>
    </row>
    <row r="140" spans="1:181" x14ac:dyDescent="0.3">
      <c r="A140" s="4" t="s">
        <v>498</v>
      </c>
      <c r="B140" s="5" t="s">
        <v>1029</v>
      </c>
      <c r="C140" s="5" t="s">
        <v>181</v>
      </c>
      <c r="D140" s="5" t="s">
        <v>499</v>
      </c>
      <c r="E140" s="5" t="s">
        <v>0</v>
      </c>
      <c r="F140" s="5" t="s">
        <v>0</v>
      </c>
      <c r="G140" s="5" t="s">
        <v>183</v>
      </c>
      <c r="H140" s="8">
        <v>33.880000000000003</v>
      </c>
      <c r="I140" s="7">
        <f>ROUND(115790.439999999,2)</f>
        <v>115790.44</v>
      </c>
      <c r="J140" s="6"/>
      <c r="K140" s="6"/>
      <c r="L140" s="6"/>
      <c r="M140" s="6"/>
      <c r="N140" s="7">
        <f>ROUND(1807.35,2)</f>
        <v>1807.35</v>
      </c>
      <c r="O140" s="6"/>
      <c r="P140" s="6"/>
      <c r="Q140" s="7">
        <f>ROUND(558.21,2)</f>
        <v>558.21</v>
      </c>
      <c r="R140" s="6"/>
      <c r="S140" s="6"/>
      <c r="T140" s="6"/>
      <c r="U140" s="6"/>
      <c r="V140" s="7">
        <f>ROUND(5.02,2)</f>
        <v>5.0199999999999996</v>
      </c>
      <c r="W140" s="7">
        <f>ROUND(40.28,2)</f>
        <v>40.28</v>
      </c>
      <c r="X140" s="7">
        <f>ROUND(0.13,2)</f>
        <v>0.13</v>
      </c>
      <c r="Y140" s="7">
        <f>ROUND(0.56,2)</f>
        <v>0.56000000000000005</v>
      </c>
      <c r="Z140" s="7">
        <f>ROUND(0.1,2)</f>
        <v>0.1</v>
      </c>
      <c r="AA140" s="6"/>
      <c r="AB140" s="6"/>
      <c r="AC140" s="6"/>
      <c r="AD140" s="6"/>
      <c r="AE140" s="7">
        <f>ROUND(59.25,2)</f>
        <v>59.25</v>
      </c>
      <c r="AF140" s="6"/>
      <c r="AG140" s="7">
        <f>ROUND(43.66,2)</f>
        <v>43.66</v>
      </c>
      <c r="AH140" s="6"/>
      <c r="AI140" s="6"/>
      <c r="AJ140" s="6"/>
      <c r="AK140" s="6"/>
      <c r="AL140" s="6"/>
      <c r="AM140" s="6"/>
      <c r="AN140" s="6"/>
      <c r="AO140" s="6"/>
      <c r="AP140" s="7">
        <f>ROUND(10,2)</f>
        <v>10</v>
      </c>
      <c r="AQ140" s="6"/>
      <c r="AR140" s="7">
        <f>ROUND(145.55,2)</f>
        <v>145.55000000000001</v>
      </c>
      <c r="AS140" s="6"/>
      <c r="AT140" s="6"/>
      <c r="AU140" s="7">
        <f>ROUND(68,2)</f>
        <v>68</v>
      </c>
      <c r="AV140" s="6"/>
      <c r="AW140" s="7">
        <f>ROUND(40,2)</f>
        <v>40</v>
      </c>
      <c r="AX140" s="6"/>
      <c r="AY140" s="7">
        <f>ROUND(128,2)</f>
        <v>128</v>
      </c>
      <c r="AZ140" s="7">
        <f>ROUND(8,2)</f>
        <v>8</v>
      </c>
      <c r="BA140" s="6"/>
      <c r="BB140" s="7">
        <f>ROUND(16,2)</f>
        <v>16</v>
      </c>
      <c r="BC140" s="6"/>
      <c r="BD140" s="7">
        <f>ROUND(8,2)</f>
        <v>8</v>
      </c>
      <c r="BE140" s="7">
        <f>ROUND(1.25,2)</f>
        <v>1.25</v>
      </c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7">
        <f>ROUND(2.32,2)</f>
        <v>2.3199999999999998</v>
      </c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7">
        <f>ROUND(48,2)</f>
        <v>48</v>
      </c>
      <c r="CQ140" s="7">
        <f>ROUND(2989.68,2)</f>
        <v>2989.68</v>
      </c>
      <c r="CR140" s="6"/>
      <c r="CS140" s="6"/>
      <c r="CT140" s="6"/>
      <c r="CU140" s="6"/>
      <c r="CV140" s="7">
        <f>ROUND(58826.4199999999,2)</f>
        <v>58826.42</v>
      </c>
      <c r="CW140" s="6"/>
      <c r="CX140" s="6"/>
      <c r="CY140" s="7">
        <f>ROUND(27283.47,2)</f>
        <v>27283.47</v>
      </c>
      <c r="CZ140" s="6"/>
      <c r="DA140" s="6"/>
      <c r="DB140" s="6"/>
      <c r="DC140" s="6"/>
      <c r="DD140" s="7">
        <f>ROUND(172.27,2)</f>
        <v>172.27</v>
      </c>
      <c r="DE140" s="7">
        <f>ROUND(1996.33,2)</f>
        <v>1996.33</v>
      </c>
      <c r="DF140" s="7">
        <f>ROUND(4.3,2)</f>
        <v>4.3</v>
      </c>
      <c r="DG140" s="7">
        <f>ROUND(27.77,2)</f>
        <v>27.77</v>
      </c>
      <c r="DH140" s="7">
        <f>ROUND(6.42,2)</f>
        <v>6.42</v>
      </c>
      <c r="DI140" s="6"/>
      <c r="DJ140" s="6"/>
      <c r="DK140" s="6"/>
      <c r="DL140" s="6"/>
      <c r="DM140" s="6"/>
      <c r="DN140" s="7">
        <f>ROUND(2007.39,2)</f>
        <v>2007.39</v>
      </c>
      <c r="DO140" s="6"/>
      <c r="DP140" s="7">
        <f>ROUND(2195.88,2)</f>
        <v>2195.88</v>
      </c>
      <c r="DQ140" s="6"/>
      <c r="DR140" s="6"/>
      <c r="DS140" s="6"/>
      <c r="DT140" s="6"/>
      <c r="DU140" s="6"/>
      <c r="DV140" s="6"/>
      <c r="DW140" s="6"/>
      <c r="DX140" s="6"/>
      <c r="DY140" s="7">
        <f>ROUND(320.9,2)</f>
        <v>320.89999999999998</v>
      </c>
      <c r="DZ140" s="6"/>
      <c r="EA140" s="7">
        <f>ROUND(7162.08,2)</f>
        <v>7162.08</v>
      </c>
      <c r="EB140" s="6"/>
      <c r="EC140" s="6"/>
      <c r="ED140" s="7">
        <f>ROUND(2219.48,2)</f>
        <v>2219.48</v>
      </c>
      <c r="EE140" s="6"/>
      <c r="EF140" s="7">
        <f>ROUND(1313.28,2)</f>
        <v>1313.28</v>
      </c>
      <c r="EG140" s="6"/>
      <c r="EH140" s="7">
        <f>ROUND(4161.28,2)</f>
        <v>4161.28</v>
      </c>
      <c r="EI140" s="7">
        <f>ROUND(396.6,2)</f>
        <v>396.6</v>
      </c>
      <c r="EJ140" s="6"/>
      <c r="EK140" s="7">
        <f>ROUND(513.44,2)</f>
        <v>513.44000000000005</v>
      </c>
      <c r="EL140" s="6"/>
      <c r="EM140" s="6"/>
      <c r="EN140" s="7">
        <f>ROUND(256.72,2)</f>
        <v>256.72000000000003</v>
      </c>
      <c r="EO140" s="7">
        <f>ROUND(60.17,2)</f>
        <v>60.17</v>
      </c>
      <c r="EP140" s="6"/>
      <c r="EQ140" s="6"/>
      <c r="ER140" s="7">
        <f>ROUND(390,2)</f>
        <v>390</v>
      </c>
      <c r="ES140" s="6"/>
      <c r="ET140" s="6"/>
      <c r="EU140" s="6"/>
      <c r="EV140" s="7">
        <f>ROUND(500,2)</f>
        <v>500</v>
      </c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7">
        <f>ROUND(1350,2)</f>
        <v>1350</v>
      </c>
      <c r="FK140" s="6"/>
      <c r="FL140" s="6"/>
      <c r="FM140" s="6"/>
      <c r="FN140" s="6"/>
      <c r="FO140" s="6"/>
      <c r="FP140" s="6"/>
      <c r="FQ140" s="6"/>
      <c r="FR140" s="6"/>
      <c r="FS140" s="6"/>
      <c r="FT140" s="7">
        <f>ROUND(3000,2)</f>
        <v>3000</v>
      </c>
      <c r="FU140" s="6"/>
      <c r="FV140" s="6"/>
      <c r="FW140" s="6"/>
      <c r="FX140" s="7">
        <f>ROUND(1626.24,2)</f>
        <v>1626.24</v>
      </c>
      <c r="FY140" s="7">
        <f>ROUND(115790.439999999,2)</f>
        <v>115790.44</v>
      </c>
    </row>
    <row r="141" spans="1:181" ht="26.4" x14ac:dyDescent="0.3">
      <c r="A141" s="4" t="s">
        <v>500</v>
      </c>
      <c r="B141" s="5"/>
      <c r="C141" s="5" t="s">
        <v>294</v>
      </c>
      <c r="D141" s="5" t="s">
        <v>501</v>
      </c>
      <c r="E141" s="5" t="s">
        <v>0</v>
      </c>
      <c r="F141" s="5" t="s">
        <v>0</v>
      </c>
      <c r="G141" s="5" t="s">
        <v>502</v>
      </c>
      <c r="H141" s="8">
        <f>ROUND(1709.9,2)</f>
        <v>1709.9</v>
      </c>
      <c r="I141" s="7">
        <f>ROUND(96603.4599999999,2)</f>
        <v>96603.46</v>
      </c>
      <c r="J141" s="7">
        <f>ROUND(1728,2)</f>
        <v>1728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7">
        <f>ROUND(5,2)</f>
        <v>5</v>
      </c>
      <c r="AD141" s="6"/>
      <c r="AE141" s="6"/>
      <c r="AF141" s="7">
        <f>ROUND(-8,2)</f>
        <v>-8</v>
      </c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7">
        <f>ROUND(48,2)</f>
        <v>48</v>
      </c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7">
        <f>ROUND(32,2)</f>
        <v>32</v>
      </c>
      <c r="CI141" s="7">
        <f>ROUND(32,2)</f>
        <v>32</v>
      </c>
      <c r="CJ141" s="6"/>
      <c r="CK141" s="6"/>
      <c r="CL141" s="6"/>
      <c r="CM141" s="6"/>
      <c r="CN141" s="7">
        <f>ROUND(48,2)</f>
        <v>48</v>
      </c>
      <c r="CO141" s="6"/>
      <c r="CP141" s="6"/>
      <c r="CQ141" s="7">
        <f>ROUND(1885,2)</f>
        <v>1885</v>
      </c>
      <c r="CR141" s="7">
        <f>ROUND(89256.7799999999,2)</f>
        <v>89256.78</v>
      </c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7">
        <f>ROUND(1875,2)</f>
        <v>1875</v>
      </c>
      <c r="DM141" s="6"/>
      <c r="DN141" s="6"/>
      <c r="DO141" s="7">
        <f>ROUND(-341.98,2)</f>
        <v>-341.98</v>
      </c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7">
        <f>ROUND(683.96,2)</f>
        <v>683.96</v>
      </c>
      <c r="FH141" s="6"/>
      <c r="FI141" s="6"/>
      <c r="FJ141" s="7">
        <f>ROUND(4103.76,2)</f>
        <v>4103.76</v>
      </c>
      <c r="FK141" s="6"/>
      <c r="FL141" s="6"/>
      <c r="FM141" s="6"/>
      <c r="FN141" s="7">
        <f>ROUND(683.96,2)</f>
        <v>683.96</v>
      </c>
      <c r="FO141" s="6"/>
      <c r="FP141" s="6"/>
      <c r="FQ141" s="6"/>
      <c r="FR141" s="6"/>
      <c r="FS141" s="6"/>
      <c r="FT141" s="6"/>
      <c r="FU141" s="6"/>
      <c r="FV141" s="7">
        <f>ROUND(341.98,2)</f>
        <v>341.98</v>
      </c>
      <c r="FW141" s="6"/>
      <c r="FX141" s="6"/>
      <c r="FY141" s="7">
        <f>ROUND(96603.4599999999,2)</f>
        <v>96603.46</v>
      </c>
    </row>
    <row r="142" spans="1:181" x14ac:dyDescent="0.3">
      <c r="A142" s="4" t="s">
        <v>503</v>
      </c>
      <c r="B142" s="5"/>
      <c r="C142" s="5" t="s">
        <v>285</v>
      </c>
      <c r="D142" s="5" t="s">
        <v>504</v>
      </c>
      <c r="E142" s="5" t="s">
        <v>0</v>
      </c>
      <c r="F142" s="5" t="s">
        <v>0</v>
      </c>
      <c r="G142" s="5" t="s">
        <v>505</v>
      </c>
      <c r="H142" s="8">
        <f>ROUND(2835.37,2)</f>
        <v>2835.37</v>
      </c>
      <c r="I142" s="7">
        <f>ROUND(157079.499999999,2)</f>
        <v>157079.5</v>
      </c>
      <c r="J142" s="7">
        <f>ROUND(1660,2)</f>
        <v>1660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7">
        <f>ROUND(-22,2)</f>
        <v>-22</v>
      </c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7">
        <f>ROUND(8,2)</f>
        <v>8</v>
      </c>
      <c r="BX142" s="6"/>
      <c r="BY142" s="6"/>
      <c r="BZ142" s="6"/>
      <c r="CA142" s="6"/>
      <c r="CB142" s="6"/>
      <c r="CC142" s="6"/>
      <c r="CD142" s="6"/>
      <c r="CE142" s="6"/>
      <c r="CF142" s="6"/>
      <c r="CG142" s="7">
        <f>ROUND(8,2)</f>
        <v>8</v>
      </c>
      <c r="CH142" s="7">
        <f>ROUND(56,2)</f>
        <v>56</v>
      </c>
      <c r="CI142" s="7">
        <f>ROUND(32,2)</f>
        <v>32</v>
      </c>
      <c r="CJ142" s="6"/>
      <c r="CK142" s="6"/>
      <c r="CL142" s="6"/>
      <c r="CM142" s="6"/>
      <c r="CN142" s="7">
        <f>ROUND(164,2)</f>
        <v>164</v>
      </c>
      <c r="CO142" s="6"/>
      <c r="CP142" s="6"/>
      <c r="CQ142" s="7">
        <f>ROUND(1906,2)</f>
        <v>1906</v>
      </c>
      <c r="CR142" s="7">
        <f>ROUND(143186.199999999,2)</f>
        <v>143186.20000000001</v>
      </c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7">
        <f>ROUND(-1559.44999999999,2)</f>
        <v>-1559.45</v>
      </c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7">
        <f>ROUND(567.07,2)</f>
        <v>567.07000000000005</v>
      </c>
      <c r="FH142" s="6"/>
      <c r="FI142" s="6"/>
      <c r="FJ142" s="7">
        <f>ROUND(6804.89,2)</f>
        <v>6804.89</v>
      </c>
      <c r="FK142" s="6"/>
      <c r="FL142" s="6"/>
      <c r="FM142" s="7">
        <f>ROUND(425.31,2)</f>
        <v>425.31</v>
      </c>
      <c r="FN142" s="7">
        <f>ROUND(1701.21,2)</f>
        <v>1701.21</v>
      </c>
      <c r="FO142" s="7">
        <f>ROUND(1701.22,2)</f>
        <v>1701.22</v>
      </c>
      <c r="FP142" s="6"/>
      <c r="FQ142" s="6"/>
      <c r="FR142" s="6"/>
      <c r="FS142" s="6"/>
      <c r="FT142" s="6"/>
      <c r="FU142" s="6"/>
      <c r="FV142" s="7">
        <f>ROUND(4253.05,2)</f>
        <v>4253.05</v>
      </c>
      <c r="FW142" s="6"/>
      <c r="FX142" s="6"/>
      <c r="FY142" s="7">
        <f>ROUND(157079.499999999,2)</f>
        <v>157079.5</v>
      </c>
    </row>
    <row r="143" spans="1:181" x14ac:dyDescent="0.3">
      <c r="A143" s="4" t="s">
        <v>506</v>
      </c>
      <c r="B143" s="5" t="s">
        <v>1029</v>
      </c>
      <c r="C143" s="5" t="s">
        <v>236</v>
      </c>
      <c r="D143" s="5" t="s">
        <v>507</v>
      </c>
      <c r="E143" s="5" t="s">
        <v>0</v>
      </c>
      <c r="F143" s="5" t="s">
        <v>0</v>
      </c>
      <c r="G143" s="5" t="s">
        <v>508</v>
      </c>
      <c r="H143" s="8">
        <v>39.11</v>
      </c>
      <c r="I143" s="7">
        <f>ROUND(99696.85,2)</f>
        <v>99696.85</v>
      </c>
      <c r="J143" s="6"/>
      <c r="K143" s="6"/>
      <c r="L143" s="7">
        <f>ROUND(1846,2)</f>
        <v>1846</v>
      </c>
      <c r="M143" s="7">
        <f>ROUND(260,2)</f>
        <v>260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7">
        <f>ROUND(56,2)</f>
        <v>56</v>
      </c>
      <c r="AV143" s="6"/>
      <c r="AW143" s="7">
        <f>ROUND(20,2)</f>
        <v>20</v>
      </c>
      <c r="AX143" s="7">
        <f>ROUND(12,2)</f>
        <v>12</v>
      </c>
      <c r="AY143" s="7">
        <f>ROUND(206,2)</f>
        <v>206</v>
      </c>
      <c r="AZ143" s="7">
        <f>ROUND(18,2)</f>
        <v>18</v>
      </c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7">
        <f>ROUND(2418,2)</f>
        <v>2418</v>
      </c>
      <c r="CR143" s="6"/>
      <c r="CS143" s="6"/>
      <c r="CT143" s="7">
        <f>ROUND(68043.44,2)</f>
        <v>68043.44</v>
      </c>
      <c r="CU143" s="7">
        <f>ROUND(14384.31,2)</f>
        <v>14384.31</v>
      </c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7">
        <f>ROUND(2083.6,2)</f>
        <v>2083.6</v>
      </c>
      <c r="EE143" s="6"/>
      <c r="EF143" s="7">
        <f>ROUND(737.8,2)</f>
        <v>737.8</v>
      </c>
      <c r="EG143" s="7">
        <f>ROUND(664.02,2)</f>
        <v>664.02</v>
      </c>
      <c r="EH143" s="7">
        <f>ROUND(7781.44,2)</f>
        <v>7781.44</v>
      </c>
      <c r="EI143" s="7">
        <f>ROUND(1002.24,2)</f>
        <v>1002.24</v>
      </c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7">
        <f>ROUND(2000,2)</f>
        <v>2000</v>
      </c>
      <c r="FK143" s="6"/>
      <c r="FL143" s="6"/>
      <c r="FM143" s="6"/>
      <c r="FN143" s="6"/>
      <c r="FO143" s="6"/>
      <c r="FP143" s="6"/>
      <c r="FQ143" s="6"/>
      <c r="FR143" s="6"/>
      <c r="FS143" s="6"/>
      <c r="FT143" s="7">
        <f>ROUND(3000,2)</f>
        <v>3000</v>
      </c>
      <c r="FU143" s="6"/>
      <c r="FV143" s="6"/>
      <c r="FW143" s="6"/>
      <c r="FX143" s="6"/>
      <c r="FY143" s="7">
        <f>ROUND(99696.85,2)</f>
        <v>99696.85</v>
      </c>
    </row>
    <row r="144" spans="1:181" x14ac:dyDescent="0.3">
      <c r="A144" s="4" t="s">
        <v>509</v>
      </c>
      <c r="B144" s="5" t="s">
        <v>1029</v>
      </c>
      <c r="C144" s="5" t="s">
        <v>181</v>
      </c>
      <c r="D144" s="5" t="s">
        <v>510</v>
      </c>
      <c r="E144" s="5" t="s">
        <v>0</v>
      </c>
      <c r="F144" s="5" t="s">
        <v>0</v>
      </c>
      <c r="G144" s="5" t="s">
        <v>183</v>
      </c>
      <c r="H144" s="8">
        <v>33.71</v>
      </c>
      <c r="I144" s="7">
        <f>ROUND(126784.13,2)</f>
        <v>126784.13</v>
      </c>
      <c r="J144" s="6"/>
      <c r="K144" s="6"/>
      <c r="L144" s="6"/>
      <c r="M144" s="6"/>
      <c r="N144" s="7">
        <f>ROUND(1137.61,2)</f>
        <v>1137.6099999999999</v>
      </c>
      <c r="O144" s="6"/>
      <c r="P144" s="6"/>
      <c r="Q144" s="7">
        <f>ROUND(669.539999999999,2)</f>
        <v>669.54</v>
      </c>
      <c r="R144" s="6"/>
      <c r="S144" s="6"/>
      <c r="T144" s="6"/>
      <c r="U144" s="6"/>
      <c r="V144" s="7">
        <f>ROUND(5.58,2)</f>
        <v>5.58</v>
      </c>
      <c r="W144" s="7">
        <f>ROUND(34.02,2)</f>
        <v>34.020000000000003</v>
      </c>
      <c r="X144" s="6"/>
      <c r="Y144" s="7">
        <f>ROUND(3.18,2)</f>
        <v>3.18</v>
      </c>
      <c r="Z144" s="6"/>
      <c r="AA144" s="6"/>
      <c r="AB144" s="6"/>
      <c r="AC144" s="6"/>
      <c r="AD144" s="6"/>
      <c r="AE144" s="7">
        <f>ROUND(219.28,2)</f>
        <v>219.28</v>
      </c>
      <c r="AF144" s="6"/>
      <c r="AG144" s="7">
        <f>ROUND(79.38,2)</f>
        <v>79.38</v>
      </c>
      <c r="AH144" s="6"/>
      <c r="AI144" s="6"/>
      <c r="AJ144" s="6"/>
      <c r="AK144" s="6"/>
      <c r="AL144" s="6"/>
      <c r="AM144" s="6"/>
      <c r="AN144" s="6"/>
      <c r="AO144" s="6"/>
      <c r="AP144" s="7">
        <f>ROUND(206.94,2)</f>
        <v>206.94</v>
      </c>
      <c r="AQ144" s="6"/>
      <c r="AR144" s="7">
        <f>ROUND(115.38,2)</f>
        <v>115.38</v>
      </c>
      <c r="AS144" s="6"/>
      <c r="AT144" s="6"/>
      <c r="AU144" s="7">
        <f>ROUND(62.5,2)</f>
        <v>62.5</v>
      </c>
      <c r="AV144" s="7">
        <f>ROUND(7.5,2)</f>
        <v>7.5</v>
      </c>
      <c r="AW144" s="7">
        <f>ROUND(40,2)</f>
        <v>40</v>
      </c>
      <c r="AX144" s="6"/>
      <c r="AY144" s="7">
        <f>ROUND(110,2)</f>
        <v>110</v>
      </c>
      <c r="AZ144" s="6"/>
      <c r="BA144" s="6"/>
      <c r="BB144" s="6"/>
      <c r="BC144" s="6"/>
      <c r="BD144" s="7">
        <f>ROUND(8,2)</f>
        <v>8</v>
      </c>
      <c r="BE144" s="7">
        <f>ROUND(5.07,2)</f>
        <v>5.07</v>
      </c>
      <c r="BF144" s="6"/>
      <c r="BG144" s="6"/>
      <c r="BH144" s="6"/>
      <c r="BI144" s="6"/>
      <c r="BJ144" s="6"/>
      <c r="BK144" s="6"/>
      <c r="BL144" s="6"/>
      <c r="BM144" s="6"/>
      <c r="BN144" s="6"/>
      <c r="BO144" s="7">
        <f>ROUND(320,2)</f>
        <v>320</v>
      </c>
      <c r="BP144" s="7">
        <f>ROUND(106.64,2)</f>
        <v>106.64</v>
      </c>
      <c r="BQ144" s="7">
        <f>ROUND(12,2)</f>
        <v>12</v>
      </c>
      <c r="BR144" s="7">
        <f>ROUND(5,2)</f>
        <v>5</v>
      </c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7">
        <f>ROUND(72,2)</f>
        <v>72</v>
      </c>
      <c r="CQ144" s="7">
        <f>ROUND(3219.62,2)</f>
        <v>3219.62</v>
      </c>
      <c r="CR144" s="6"/>
      <c r="CS144" s="6"/>
      <c r="CT144" s="6"/>
      <c r="CU144" s="6"/>
      <c r="CV144" s="7">
        <f>ROUND(37244.79,2)</f>
        <v>37244.79</v>
      </c>
      <c r="CW144" s="6"/>
      <c r="CX144" s="6"/>
      <c r="CY144" s="7">
        <f>ROUND(33015.21,2)</f>
        <v>33015.21</v>
      </c>
      <c r="CZ144" s="6"/>
      <c r="DA144" s="6"/>
      <c r="DB144" s="6"/>
      <c r="DC144" s="6"/>
      <c r="DD144" s="7">
        <f>ROUND(185.26,2)</f>
        <v>185.26</v>
      </c>
      <c r="DE144" s="7">
        <f>ROUND(1647.86,2)</f>
        <v>1647.86</v>
      </c>
      <c r="DF144" s="6"/>
      <c r="DG144" s="7">
        <f>ROUND(154.53,2)</f>
        <v>154.53</v>
      </c>
      <c r="DH144" s="6"/>
      <c r="DI144" s="6"/>
      <c r="DJ144" s="6"/>
      <c r="DK144" s="6"/>
      <c r="DL144" s="6"/>
      <c r="DM144" s="6"/>
      <c r="DN144" s="7">
        <f>ROUND(7059.88,2)</f>
        <v>7059.88</v>
      </c>
      <c r="DO144" s="6"/>
      <c r="DP144" s="7">
        <f>ROUND(3851.09999999999,2)</f>
        <v>3851.1</v>
      </c>
      <c r="DQ144" s="6"/>
      <c r="DR144" s="6"/>
      <c r="DS144" s="6"/>
      <c r="DT144" s="6"/>
      <c r="DU144" s="6"/>
      <c r="DV144" s="6"/>
      <c r="DW144" s="6"/>
      <c r="DX144" s="6"/>
      <c r="DY144" s="7">
        <f>ROUND(6770.04,2)</f>
        <v>6770.04</v>
      </c>
      <c r="DZ144" s="6"/>
      <c r="EA144" s="7">
        <f>ROUND(5629.87,2)</f>
        <v>5629.87</v>
      </c>
      <c r="EB144" s="6"/>
      <c r="EC144" s="6"/>
      <c r="ED144" s="7">
        <f>ROUND(2034.43,2)</f>
        <v>2034.43</v>
      </c>
      <c r="EE144" s="7">
        <f>ROUND(371.85,2)</f>
        <v>371.85</v>
      </c>
      <c r="EF144" s="7">
        <f>ROUND(1322,2)</f>
        <v>1322</v>
      </c>
      <c r="EG144" s="6"/>
      <c r="EH144" s="7">
        <f>ROUND(3606.7,2)</f>
        <v>3606.7</v>
      </c>
      <c r="EI144" s="6"/>
      <c r="EJ144" s="6"/>
      <c r="EK144" s="6"/>
      <c r="EL144" s="6"/>
      <c r="EM144" s="6"/>
      <c r="EN144" s="7">
        <f>ROUND(256.72,2)</f>
        <v>256.72000000000003</v>
      </c>
      <c r="EO144" s="7">
        <f>ROUND(167.57,2)</f>
        <v>167.57</v>
      </c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7">
        <f>ROUND(10268.8,2)</f>
        <v>10268.799999999999</v>
      </c>
      <c r="FC144" s="7">
        <f>ROUND(5133.12,2)</f>
        <v>5133.12</v>
      </c>
      <c r="FD144" s="7">
        <f>ROUND(396.6,2)</f>
        <v>396.6</v>
      </c>
      <c r="FE144" s="7">
        <f>ROUND(240.68,2)</f>
        <v>240.68</v>
      </c>
      <c r="FF144" s="6"/>
      <c r="FG144" s="6"/>
      <c r="FH144" s="6"/>
      <c r="FI144" s="6"/>
      <c r="FJ144" s="7">
        <f>ROUND(2000,2)</f>
        <v>2000</v>
      </c>
      <c r="FK144" s="6"/>
      <c r="FL144" s="6"/>
      <c r="FM144" s="6"/>
      <c r="FN144" s="6"/>
      <c r="FO144" s="6"/>
      <c r="FP144" s="6"/>
      <c r="FQ144" s="6"/>
      <c r="FR144" s="6"/>
      <c r="FS144" s="6"/>
      <c r="FT144" s="7">
        <f>ROUND(3000,2)</f>
        <v>3000</v>
      </c>
      <c r="FU144" s="6"/>
      <c r="FV144" s="6"/>
      <c r="FW144" s="6"/>
      <c r="FX144" s="7">
        <f>ROUND(2427.12,2)</f>
        <v>2427.12</v>
      </c>
      <c r="FY144" s="7">
        <f>ROUND(126784.13,2)</f>
        <v>126784.13</v>
      </c>
    </row>
    <row r="145" spans="1:181" x14ac:dyDescent="0.3">
      <c r="A145" s="4" t="s">
        <v>511</v>
      </c>
      <c r="B145" s="5"/>
      <c r="C145" s="5" t="s">
        <v>281</v>
      </c>
      <c r="D145" s="5" t="s">
        <v>512</v>
      </c>
      <c r="E145" s="5" t="s">
        <v>0</v>
      </c>
      <c r="F145" s="5" t="s">
        <v>0</v>
      </c>
      <c r="G145" s="5" t="s">
        <v>513</v>
      </c>
      <c r="H145" s="8">
        <f>ROUND(3530.77,2)</f>
        <v>3530.77</v>
      </c>
      <c r="I145" s="7">
        <f>ROUND(195604.659999999,2)</f>
        <v>195604.66</v>
      </c>
      <c r="J145" s="7">
        <f>ROUND(1664,2)</f>
        <v>1664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7">
        <f>ROUND(-8,2)</f>
        <v>-8</v>
      </c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7">
        <f>ROUND(56,2)</f>
        <v>56</v>
      </c>
      <c r="CI145" s="7">
        <f>ROUND(32,2)</f>
        <v>32</v>
      </c>
      <c r="CJ145" s="6"/>
      <c r="CK145" s="6"/>
      <c r="CL145" s="6"/>
      <c r="CM145" s="6"/>
      <c r="CN145" s="7">
        <f>ROUND(120,2)</f>
        <v>120</v>
      </c>
      <c r="CO145" s="6"/>
      <c r="CP145" s="6"/>
      <c r="CQ145" s="7">
        <f>ROUND(1864,2)</f>
        <v>1864</v>
      </c>
      <c r="CR145" s="7">
        <f>ROUND(178656.979999999,2)</f>
        <v>178656.98</v>
      </c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7">
        <f>ROUND(-706.15,2)</f>
        <v>-706.15</v>
      </c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7">
        <f>ROUND(8473.85,2)</f>
        <v>8473.85</v>
      </c>
      <c r="FK145" s="6"/>
      <c r="FL145" s="6"/>
      <c r="FM145" s="6"/>
      <c r="FN145" s="7">
        <f>ROUND(2118.45,2)</f>
        <v>2118.4499999999998</v>
      </c>
      <c r="FO145" s="7">
        <f>ROUND(2824.61,2)</f>
        <v>2824.61</v>
      </c>
      <c r="FP145" s="6"/>
      <c r="FQ145" s="6"/>
      <c r="FR145" s="6"/>
      <c r="FS145" s="6"/>
      <c r="FT145" s="6"/>
      <c r="FU145" s="6"/>
      <c r="FV145" s="7">
        <f>ROUND(4236.92,2)</f>
        <v>4236.92</v>
      </c>
      <c r="FW145" s="6"/>
      <c r="FX145" s="6"/>
      <c r="FY145" s="7">
        <f>ROUND(195604.659999999,2)</f>
        <v>195604.66</v>
      </c>
    </row>
    <row r="146" spans="1:181" x14ac:dyDescent="0.3">
      <c r="A146" s="4" t="s">
        <v>514</v>
      </c>
      <c r="B146" s="5" t="s">
        <v>1029</v>
      </c>
      <c r="C146" s="5" t="s">
        <v>181</v>
      </c>
      <c r="D146" s="5" t="s">
        <v>515</v>
      </c>
      <c r="E146" s="5" t="s">
        <v>0</v>
      </c>
      <c r="F146" s="5" t="s">
        <v>0</v>
      </c>
      <c r="G146" s="5" t="s">
        <v>183</v>
      </c>
      <c r="H146" s="8">
        <v>34.04</v>
      </c>
      <c r="I146" s="7">
        <f>ROUND(110688.519999999,2)</f>
        <v>110688.52</v>
      </c>
      <c r="J146" s="6"/>
      <c r="K146" s="6"/>
      <c r="L146" s="6"/>
      <c r="M146" s="6"/>
      <c r="N146" s="7">
        <f>ROUND(1281.9,2)</f>
        <v>1281.9000000000001</v>
      </c>
      <c r="O146" s="6"/>
      <c r="P146" s="6"/>
      <c r="Q146" s="7">
        <f>ROUND(576.92,2)</f>
        <v>576.91999999999996</v>
      </c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7">
        <f>ROUND(455.5,2)</f>
        <v>455.5</v>
      </c>
      <c r="AF146" s="6"/>
      <c r="AG146" s="7">
        <f>ROUND(133.09,2)</f>
        <v>133.09</v>
      </c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7">
        <f>ROUND(60,2)</f>
        <v>60</v>
      </c>
      <c r="AV146" s="7">
        <f>ROUND(8,2)</f>
        <v>8</v>
      </c>
      <c r="AW146" s="7">
        <f>ROUND(24,2)</f>
        <v>24</v>
      </c>
      <c r="AX146" s="7">
        <f>ROUND(8,2)</f>
        <v>8</v>
      </c>
      <c r="AY146" s="7">
        <f>ROUND(242.02,2)</f>
        <v>242.02</v>
      </c>
      <c r="AZ146" s="7">
        <f>ROUND(5.98,2)</f>
        <v>5.98</v>
      </c>
      <c r="BA146" s="6"/>
      <c r="BB146" s="7">
        <f>ROUND(24,2)</f>
        <v>24</v>
      </c>
      <c r="BC146" s="6"/>
      <c r="BD146" s="7">
        <f>ROUND(17,2)</f>
        <v>17</v>
      </c>
      <c r="BE146" s="6"/>
      <c r="BF146" s="6"/>
      <c r="BG146" s="7">
        <f>ROUND(63.0699999999999,2)</f>
        <v>63.07</v>
      </c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7">
        <f>ROUND(7.77,2)</f>
        <v>7.77</v>
      </c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7">
        <f>ROUND(2907.25,2)</f>
        <v>2907.25</v>
      </c>
      <c r="CR146" s="6"/>
      <c r="CS146" s="6"/>
      <c r="CT146" s="6"/>
      <c r="CU146" s="6"/>
      <c r="CV146" s="7">
        <f>ROUND(41912.0499999999,2)</f>
        <v>41912.050000000003</v>
      </c>
      <c r="CW146" s="6"/>
      <c r="CX146" s="6"/>
      <c r="CY146" s="7">
        <f>ROUND(28214.2299999999,2)</f>
        <v>28214.23</v>
      </c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7">
        <f>ROUND(14802.25,2)</f>
        <v>14802.25</v>
      </c>
      <c r="DO146" s="6"/>
      <c r="DP146" s="7">
        <f>ROUND(6496.61,2)</f>
        <v>6496.61</v>
      </c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7">
        <f>ROUND(1956.36,2)</f>
        <v>1956.36</v>
      </c>
      <c r="EE146" s="7">
        <f>ROUND(396.64,2)</f>
        <v>396.64</v>
      </c>
      <c r="EF146" s="7">
        <f>ROUND(793.199999999999,2)</f>
        <v>793.2</v>
      </c>
      <c r="EG146" s="7">
        <f>ROUND(396.6,2)</f>
        <v>396.6</v>
      </c>
      <c r="EH146" s="7">
        <f>ROUND(7868.2,2)</f>
        <v>7868.2</v>
      </c>
      <c r="EI146" s="7">
        <f>ROUND(296.46,2)</f>
        <v>296.45999999999998</v>
      </c>
      <c r="EJ146" s="6"/>
      <c r="EK146" s="7">
        <f>ROUND(777.84,2)</f>
        <v>777.84</v>
      </c>
      <c r="EL146" s="6"/>
      <c r="EM146" s="6"/>
      <c r="EN146" s="7">
        <f>ROUND(554.17,2)</f>
        <v>554.16999999999996</v>
      </c>
      <c r="EO146" s="6"/>
      <c r="EP146" s="6"/>
      <c r="EQ146" s="7">
        <f>ROUND(2023.90999999999,2)</f>
        <v>2023.91</v>
      </c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7">
        <f>ROUND(1200,2)</f>
        <v>1200</v>
      </c>
      <c r="FK146" s="6"/>
      <c r="FL146" s="6"/>
      <c r="FM146" s="6"/>
      <c r="FN146" s="6"/>
      <c r="FO146" s="6"/>
      <c r="FP146" s="6"/>
      <c r="FQ146" s="6"/>
      <c r="FR146" s="6"/>
      <c r="FS146" s="6"/>
      <c r="FT146" s="7">
        <f>ROUND(3000,2)</f>
        <v>3000</v>
      </c>
      <c r="FU146" s="6"/>
      <c r="FV146" s="6"/>
      <c r="FW146" s="6"/>
      <c r="FX146" s="6"/>
      <c r="FY146" s="7">
        <f>ROUND(110688.52,2)</f>
        <v>110688.52</v>
      </c>
    </row>
    <row r="147" spans="1:181" x14ac:dyDescent="0.3">
      <c r="A147" s="4" t="s">
        <v>516</v>
      </c>
      <c r="B147" s="5" t="s">
        <v>1029</v>
      </c>
      <c r="C147" s="5" t="s">
        <v>181</v>
      </c>
      <c r="D147" s="5" t="s">
        <v>517</v>
      </c>
      <c r="E147" s="5" t="s">
        <v>0</v>
      </c>
      <c r="F147" s="5" t="s">
        <v>0</v>
      </c>
      <c r="G147" s="5" t="s">
        <v>183</v>
      </c>
      <c r="H147" s="8">
        <v>33.71</v>
      </c>
      <c r="I147" s="7">
        <f>ROUND(75102.31,2)</f>
        <v>75102.31</v>
      </c>
      <c r="J147" s="6"/>
      <c r="K147" s="6"/>
      <c r="L147" s="6"/>
      <c r="M147" s="6"/>
      <c r="N147" s="7">
        <f>ROUND(1045.52,2)</f>
        <v>1045.52</v>
      </c>
      <c r="O147" s="6"/>
      <c r="P147" s="6"/>
      <c r="Q147" s="7">
        <f>ROUND(118.899999999999,2)</f>
        <v>118.9</v>
      </c>
      <c r="R147" s="6"/>
      <c r="S147" s="6"/>
      <c r="T147" s="6"/>
      <c r="U147" s="6"/>
      <c r="V147" s="7">
        <f>ROUND(27.34,2)</f>
        <v>27.34</v>
      </c>
      <c r="W147" s="7">
        <f>ROUND(5.67,2)</f>
        <v>5.67</v>
      </c>
      <c r="X147" s="7">
        <f>ROUND(11.9799999999999,2)</f>
        <v>11.98</v>
      </c>
      <c r="Y147" s="7">
        <f>ROUND(1.85,2)</f>
        <v>1.85</v>
      </c>
      <c r="Z147" s="6"/>
      <c r="AA147" s="6"/>
      <c r="AB147" s="6"/>
      <c r="AC147" s="6"/>
      <c r="AD147" s="6"/>
      <c r="AE147" s="7">
        <f>ROUND(348.63,2)</f>
        <v>348.63</v>
      </c>
      <c r="AF147" s="6"/>
      <c r="AG147" s="7">
        <f>ROUND(42.92,2)</f>
        <v>42.92</v>
      </c>
      <c r="AH147" s="6"/>
      <c r="AI147" s="6"/>
      <c r="AJ147" s="6"/>
      <c r="AK147" s="6"/>
      <c r="AL147" s="6"/>
      <c r="AM147" s="6"/>
      <c r="AN147" s="6"/>
      <c r="AO147" s="6"/>
      <c r="AP147" s="7">
        <f>ROUND(90.81,2)</f>
        <v>90.81</v>
      </c>
      <c r="AQ147" s="6"/>
      <c r="AR147" s="7">
        <f>ROUND(43.69,2)</f>
        <v>43.69</v>
      </c>
      <c r="AS147" s="6"/>
      <c r="AT147" s="6"/>
      <c r="AU147" s="7">
        <f>ROUND(67.58,2)</f>
        <v>67.58</v>
      </c>
      <c r="AV147" s="7">
        <f>ROUND(0.41,2)</f>
        <v>0.41</v>
      </c>
      <c r="AW147" s="7">
        <f>ROUND(24,2)</f>
        <v>24</v>
      </c>
      <c r="AX147" s="7">
        <f>ROUND(8,2)</f>
        <v>8</v>
      </c>
      <c r="AY147" s="7">
        <f>ROUND(111.25,2)</f>
        <v>111.25</v>
      </c>
      <c r="AZ147" s="7">
        <f>ROUND(0.75,2)</f>
        <v>0.75</v>
      </c>
      <c r="BA147" s="6"/>
      <c r="BB147" s="7">
        <f>ROUND(40,2)</f>
        <v>40</v>
      </c>
      <c r="BC147" s="6"/>
      <c r="BD147" s="7">
        <f>ROUND(40,2)</f>
        <v>40</v>
      </c>
      <c r="BE147" s="6"/>
      <c r="BF147" s="6"/>
      <c r="BG147" s="6"/>
      <c r="BH147" s="6"/>
      <c r="BI147" s="6"/>
      <c r="BJ147" s="6"/>
      <c r="BK147" s="7">
        <f>ROUND(10.25,2)</f>
        <v>10.25</v>
      </c>
      <c r="BL147" s="6"/>
      <c r="BM147" s="6"/>
      <c r="BN147" s="6"/>
      <c r="BO147" s="6"/>
      <c r="BP147" s="6"/>
      <c r="BQ147" s="7">
        <f>ROUND(9.5,2)</f>
        <v>9.5</v>
      </c>
      <c r="BR147" s="7">
        <f>ROUND(5.43,2)</f>
        <v>5.43</v>
      </c>
      <c r="BS147" s="6"/>
      <c r="BT147" s="7">
        <f>ROUND(0.4,2)</f>
        <v>0.4</v>
      </c>
      <c r="BU147" s="6"/>
      <c r="BV147" s="6"/>
      <c r="BW147" s="6"/>
      <c r="BX147" s="6"/>
      <c r="BY147" s="6"/>
      <c r="BZ147" s="6"/>
      <c r="CA147" s="7">
        <f>ROUND(24,2)</f>
        <v>24</v>
      </c>
      <c r="CB147" s="7">
        <f>ROUND(395.68,2)</f>
        <v>395.68</v>
      </c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7">
        <f>ROUND(16,2)</f>
        <v>16</v>
      </c>
      <c r="CQ147" s="7">
        <f>ROUND(2490.56,2)</f>
        <v>2490.56</v>
      </c>
      <c r="CR147" s="6"/>
      <c r="CS147" s="6"/>
      <c r="CT147" s="6"/>
      <c r="CU147" s="6"/>
      <c r="CV147" s="7">
        <f>ROUND(33825.3599999999,2)</f>
        <v>33825.360000000001</v>
      </c>
      <c r="CW147" s="6"/>
      <c r="CX147" s="6"/>
      <c r="CY147" s="7">
        <f>ROUND(5782.66,2)</f>
        <v>5782.66</v>
      </c>
      <c r="CZ147" s="6"/>
      <c r="DA147" s="6"/>
      <c r="DB147" s="6"/>
      <c r="DC147" s="6"/>
      <c r="DD147" s="7">
        <f>ROUND(906.63,2)</f>
        <v>906.63</v>
      </c>
      <c r="DE147" s="7">
        <f>ROUND(272.93,2)</f>
        <v>272.93</v>
      </c>
      <c r="DF147" s="7">
        <f>ROUND(393.09,2)</f>
        <v>393.09</v>
      </c>
      <c r="DG147" s="7">
        <f>ROUND(91.21,2)</f>
        <v>91.21</v>
      </c>
      <c r="DH147" s="6"/>
      <c r="DI147" s="6"/>
      <c r="DJ147" s="6"/>
      <c r="DK147" s="6"/>
      <c r="DL147" s="6"/>
      <c r="DM147" s="6"/>
      <c r="DN147" s="7">
        <f>ROUND(11522.84,2)</f>
        <v>11522.84</v>
      </c>
      <c r="DO147" s="6"/>
      <c r="DP147" s="7">
        <f>ROUND(2130.73,2)</f>
        <v>2130.73</v>
      </c>
      <c r="DQ147" s="6"/>
      <c r="DR147" s="6"/>
      <c r="DS147" s="6"/>
      <c r="DT147" s="6"/>
      <c r="DU147" s="6"/>
      <c r="DV147" s="6"/>
      <c r="DW147" s="6"/>
      <c r="DX147" s="6"/>
      <c r="DY147" s="7">
        <f>ROUND(2999.25,2)</f>
        <v>2999.25</v>
      </c>
      <c r="DZ147" s="6"/>
      <c r="EA147" s="7">
        <f>ROUND(2156.94,2)</f>
        <v>2156.94</v>
      </c>
      <c r="EB147" s="6"/>
      <c r="EC147" s="6"/>
      <c r="ED147" s="7">
        <f>ROUND(2204.24,2)</f>
        <v>2204.2399999999998</v>
      </c>
      <c r="EE147" s="7">
        <f>ROUND(20.33,2)</f>
        <v>20.329999999999998</v>
      </c>
      <c r="EF147" s="7">
        <f>ROUND(785.52,2)</f>
        <v>785.52</v>
      </c>
      <c r="EG147" s="7">
        <f>ROUND(404.52,2)</f>
        <v>404.52</v>
      </c>
      <c r="EH147" s="7">
        <f>ROUND(3600.73,2)</f>
        <v>3600.73</v>
      </c>
      <c r="EI147" s="7">
        <f>ROUND(36.1,2)</f>
        <v>36.1</v>
      </c>
      <c r="EJ147" s="6"/>
      <c r="EK147" s="7">
        <f>ROUND(1298.96,2)</f>
        <v>1298.96</v>
      </c>
      <c r="EL147" s="6"/>
      <c r="EM147" s="6"/>
      <c r="EN147" s="7">
        <f>ROUND(1283.6,2)</f>
        <v>1283.5999999999999</v>
      </c>
      <c r="EO147" s="6"/>
      <c r="EP147" s="6"/>
      <c r="EQ147" s="6"/>
      <c r="ER147" s="6"/>
      <c r="ES147" s="6"/>
      <c r="ET147" s="6"/>
      <c r="EU147" s="6"/>
      <c r="EV147" s="6"/>
      <c r="EW147" s="6"/>
      <c r="EX147" s="7">
        <f>ROUND(329.66,2)</f>
        <v>329.66</v>
      </c>
      <c r="EY147" s="6"/>
      <c r="EZ147" s="6"/>
      <c r="FA147" s="6"/>
      <c r="FB147" s="6"/>
      <c r="FC147" s="6"/>
      <c r="FD147" s="7">
        <f>ROUND(306.28,2)</f>
        <v>306.27999999999997</v>
      </c>
      <c r="FE147" s="7">
        <f>ROUND(261.37,2)</f>
        <v>261.37</v>
      </c>
      <c r="FF147" s="6"/>
      <c r="FG147" s="6"/>
      <c r="FH147" s="6"/>
      <c r="FI147" s="6"/>
      <c r="FJ147" s="7">
        <f>ROUND(950,2)</f>
        <v>950</v>
      </c>
      <c r="FK147" s="6"/>
      <c r="FL147" s="6"/>
      <c r="FM147" s="6"/>
      <c r="FN147" s="6"/>
      <c r="FO147" s="6"/>
      <c r="FP147" s="6"/>
      <c r="FQ147" s="6"/>
      <c r="FR147" s="6"/>
      <c r="FS147" s="6"/>
      <c r="FT147" s="7">
        <f>ROUND(3000,2)</f>
        <v>3000</v>
      </c>
      <c r="FU147" s="6"/>
      <c r="FV147" s="6"/>
      <c r="FW147" s="6"/>
      <c r="FX147" s="7">
        <f>ROUND(539.36,2)</f>
        <v>539.36</v>
      </c>
      <c r="FY147" s="7">
        <f>ROUND(75102.31,2)</f>
        <v>75102.31</v>
      </c>
    </row>
    <row r="148" spans="1:181" x14ac:dyDescent="0.3">
      <c r="A148" s="4" t="s">
        <v>518</v>
      </c>
      <c r="B148" s="5" t="s">
        <v>1029</v>
      </c>
      <c r="C148" s="5" t="s">
        <v>181</v>
      </c>
      <c r="D148" s="5" t="s">
        <v>519</v>
      </c>
      <c r="E148" s="5" t="s">
        <v>0</v>
      </c>
      <c r="F148" s="5" t="s">
        <v>0</v>
      </c>
      <c r="G148" s="5" t="s">
        <v>183</v>
      </c>
      <c r="H148" s="8">
        <v>33.880000000000003</v>
      </c>
      <c r="I148" s="7">
        <f>ROUND(51970.1,2)</f>
        <v>51970.1</v>
      </c>
      <c r="J148" s="6"/>
      <c r="K148" s="6"/>
      <c r="L148" s="6"/>
      <c r="M148" s="6"/>
      <c r="N148" s="7">
        <f>ROUND(1056.42,2)</f>
        <v>1056.42</v>
      </c>
      <c r="O148" s="6"/>
      <c r="P148" s="6"/>
      <c r="Q148" s="7">
        <f>ROUND(75.62,2)</f>
        <v>75.62</v>
      </c>
      <c r="R148" s="6"/>
      <c r="S148" s="6"/>
      <c r="T148" s="6"/>
      <c r="U148" s="6"/>
      <c r="V148" s="6"/>
      <c r="W148" s="7">
        <f>ROUND(7.42,2)</f>
        <v>7.42</v>
      </c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7">
        <f>ROUND(40,2)</f>
        <v>40</v>
      </c>
      <c r="AV148" s="6"/>
      <c r="AW148" s="7">
        <f>ROUND(48,2)</f>
        <v>48</v>
      </c>
      <c r="AX148" s="6"/>
      <c r="AY148" s="7">
        <f>ROUND(184,2)</f>
        <v>184</v>
      </c>
      <c r="AZ148" s="6"/>
      <c r="BA148" s="6"/>
      <c r="BB148" s="7">
        <f>ROUND(24,2)</f>
        <v>24</v>
      </c>
      <c r="BC148" s="6"/>
      <c r="BD148" s="7">
        <f>ROUND(12.5,2)</f>
        <v>12.5</v>
      </c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7">
        <f>ROUND(736,2)</f>
        <v>736</v>
      </c>
      <c r="BT148" s="7">
        <f>ROUND(16.08,2)</f>
        <v>16.079999999999998</v>
      </c>
      <c r="BU148" s="6"/>
      <c r="BV148" s="6"/>
      <c r="BW148" s="7">
        <f>ROUND(24,2)</f>
        <v>24</v>
      </c>
      <c r="BX148" s="6"/>
      <c r="BY148" s="7">
        <f>ROUND(16,2)</f>
        <v>16</v>
      </c>
      <c r="BZ148" s="6"/>
      <c r="CA148" s="7">
        <f>ROUND(16,2)</f>
        <v>16</v>
      </c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7">
        <f>ROUND(2256.04,2)</f>
        <v>2256.04</v>
      </c>
      <c r="CR148" s="6"/>
      <c r="CS148" s="6"/>
      <c r="CT148" s="6"/>
      <c r="CU148" s="6"/>
      <c r="CV148" s="7">
        <f>ROUND(34739.67,2)</f>
        <v>34739.67</v>
      </c>
      <c r="CW148" s="6"/>
      <c r="CX148" s="6"/>
      <c r="CY148" s="7">
        <f>ROUND(3723.02,2)</f>
        <v>3723.02</v>
      </c>
      <c r="CZ148" s="6"/>
      <c r="DA148" s="6"/>
      <c r="DB148" s="6"/>
      <c r="DC148" s="6"/>
      <c r="DD148" s="6"/>
      <c r="DE148" s="7">
        <f>ROUND(369.52,2)</f>
        <v>369.52</v>
      </c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7">
        <f>ROUND(1313.28,2)</f>
        <v>1313.28</v>
      </c>
      <c r="EE148" s="6"/>
      <c r="EF148" s="7">
        <f>ROUND(1570,2)</f>
        <v>1570</v>
      </c>
      <c r="EG148" s="6"/>
      <c r="EH148" s="7">
        <f>ROUND(5950.64,2)</f>
        <v>5950.64</v>
      </c>
      <c r="EI148" s="6"/>
      <c r="EJ148" s="6"/>
      <c r="EK148" s="7">
        <f>ROUND(777.84,2)</f>
        <v>777.84</v>
      </c>
      <c r="EL148" s="6"/>
      <c r="EM148" s="6"/>
      <c r="EN148" s="7">
        <f>ROUND(401.13,2)</f>
        <v>401.13</v>
      </c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7">
        <f>ROUND(125,2)</f>
        <v>125</v>
      </c>
      <c r="FK148" s="6"/>
      <c r="FL148" s="6"/>
      <c r="FM148" s="6"/>
      <c r="FN148" s="6"/>
      <c r="FO148" s="6"/>
      <c r="FP148" s="6"/>
      <c r="FQ148" s="6"/>
      <c r="FR148" s="6"/>
      <c r="FS148" s="6"/>
      <c r="FT148" s="7">
        <f>ROUND(3000,2)</f>
        <v>3000</v>
      </c>
      <c r="FU148" s="6"/>
      <c r="FV148" s="6"/>
      <c r="FW148" s="6"/>
      <c r="FX148" s="6"/>
      <c r="FY148" s="7">
        <f>ROUND(51970.1,2)</f>
        <v>51970.1</v>
      </c>
    </row>
    <row r="149" spans="1:181" x14ac:dyDescent="0.3">
      <c r="A149" s="4" t="s">
        <v>520</v>
      </c>
      <c r="B149" s="5" t="s">
        <v>1029</v>
      </c>
      <c r="C149" s="5" t="s">
        <v>181</v>
      </c>
      <c r="D149" s="5" t="s">
        <v>335</v>
      </c>
      <c r="E149" s="5" t="s">
        <v>0</v>
      </c>
      <c r="F149" s="5" t="s">
        <v>0</v>
      </c>
      <c r="G149" s="5" t="s">
        <v>183</v>
      </c>
      <c r="H149" s="8">
        <v>33.380000000000003</v>
      </c>
      <c r="I149" s="7">
        <f>ROUND(42060.7299999999,2)</f>
        <v>42060.73</v>
      </c>
      <c r="J149" s="6"/>
      <c r="K149" s="6"/>
      <c r="L149" s="6"/>
      <c r="M149" s="6"/>
      <c r="N149" s="7">
        <f>ROUND(840.849999999999,2)</f>
        <v>840.85</v>
      </c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7">
        <f>ROUND(36,2)</f>
        <v>36</v>
      </c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7">
        <f>ROUND(40,2)</f>
        <v>40</v>
      </c>
      <c r="AV149" s="6"/>
      <c r="AW149" s="7">
        <f>ROUND(5,2)</f>
        <v>5</v>
      </c>
      <c r="AX149" s="6"/>
      <c r="AY149" s="7">
        <f>ROUND(20,2)</f>
        <v>20</v>
      </c>
      <c r="AZ149" s="6"/>
      <c r="BA149" s="6"/>
      <c r="BB149" s="7">
        <f>ROUND(5,2)</f>
        <v>5</v>
      </c>
      <c r="BC149" s="6"/>
      <c r="BD149" s="7">
        <f>ROUND(8,2)</f>
        <v>8</v>
      </c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7">
        <f>ROUND(170,2)</f>
        <v>170</v>
      </c>
      <c r="BP149" s="6"/>
      <c r="BQ149" s="7">
        <f>ROUND(132.5,2)</f>
        <v>132.5</v>
      </c>
      <c r="BR149" s="6"/>
      <c r="BS149" s="7">
        <f>ROUND(63.92,2)</f>
        <v>63.92</v>
      </c>
      <c r="BT149" s="6"/>
      <c r="BU149" s="6"/>
      <c r="BV149" s="6"/>
      <c r="BW149" s="6"/>
      <c r="BX149" s="6"/>
      <c r="BY149" s="7">
        <f>ROUND(20,2)</f>
        <v>20</v>
      </c>
      <c r="BZ149" s="6"/>
      <c r="CA149" s="7">
        <f>ROUND(35,2)</f>
        <v>35</v>
      </c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7">
        <f>ROUND(1376.27,2)</f>
        <v>1376.27</v>
      </c>
      <c r="CR149" s="6"/>
      <c r="CS149" s="6"/>
      <c r="CT149" s="6"/>
      <c r="CU149" s="6"/>
      <c r="CV149" s="7">
        <f>ROUND(27087.53,2)</f>
        <v>27087.53</v>
      </c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7">
        <f>ROUND(1174.43999999999,2)</f>
        <v>1174.44</v>
      </c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7">
        <f>ROUND(1280.45,2)</f>
        <v>1280.45</v>
      </c>
      <c r="EE149" s="6"/>
      <c r="EF149" s="7">
        <f>ROUND(152.45,2)</f>
        <v>152.44999999999999</v>
      </c>
      <c r="EG149" s="6"/>
      <c r="EH149" s="7">
        <f>ROUND(609.8,2)</f>
        <v>609.79999999999995</v>
      </c>
      <c r="EI149" s="6"/>
      <c r="EJ149" s="6"/>
      <c r="EK149" s="7">
        <f>ROUND(152.45,2)</f>
        <v>152.44999999999999</v>
      </c>
      <c r="EL149" s="6"/>
      <c r="EM149" s="6"/>
      <c r="EN149" s="7">
        <f>ROUND(256.72,2)</f>
        <v>256.72000000000003</v>
      </c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7">
        <f>ROUND(5183.3,2)</f>
        <v>5183.3</v>
      </c>
      <c r="FC149" s="6"/>
      <c r="FD149" s="7">
        <f>ROUND(4338.59,2)</f>
        <v>4338.59</v>
      </c>
      <c r="FE149" s="6"/>
      <c r="FF149" s="6"/>
      <c r="FG149" s="6"/>
      <c r="FH149" s="6"/>
      <c r="FI149" s="6"/>
      <c r="FJ149" s="7">
        <f>ROUND(325,2)</f>
        <v>325</v>
      </c>
      <c r="FK149" s="6"/>
      <c r="FL149" s="6"/>
      <c r="FM149" s="6"/>
      <c r="FN149" s="6"/>
      <c r="FO149" s="6"/>
      <c r="FP149" s="6"/>
      <c r="FQ149" s="6"/>
      <c r="FR149" s="6"/>
      <c r="FS149" s="6"/>
      <c r="FT149" s="7">
        <f>ROUND(1500,2)</f>
        <v>1500</v>
      </c>
      <c r="FU149" s="6"/>
      <c r="FV149" s="6"/>
      <c r="FW149" s="6"/>
      <c r="FX149" s="6"/>
      <c r="FY149" s="7">
        <f>ROUND(42060.7299999999,2)</f>
        <v>42060.73</v>
      </c>
    </row>
    <row r="150" spans="1:181" x14ac:dyDescent="0.3">
      <c r="A150" s="4" t="s">
        <v>521</v>
      </c>
      <c r="B150" s="5" t="s">
        <v>1029</v>
      </c>
      <c r="C150" s="5" t="s">
        <v>236</v>
      </c>
      <c r="D150" s="5" t="s">
        <v>522</v>
      </c>
      <c r="E150" s="5" t="s">
        <v>0</v>
      </c>
      <c r="F150" s="5" t="s">
        <v>0</v>
      </c>
      <c r="G150" s="5" t="s">
        <v>330</v>
      </c>
      <c r="H150" s="8">
        <v>28.56</v>
      </c>
      <c r="I150" s="7">
        <f>ROUND(70730.16,2)</f>
        <v>70730.16</v>
      </c>
      <c r="J150" s="6"/>
      <c r="K150" s="6"/>
      <c r="L150" s="6"/>
      <c r="M150" s="6"/>
      <c r="N150" s="6"/>
      <c r="O150" s="6"/>
      <c r="P150" s="6"/>
      <c r="Q150" s="6"/>
      <c r="R150" s="7">
        <f>ROUND(1808,2)</f>
        <v>1808</v>
      </c>
      <c r="S150" s="7">
        <f>ROUND(152,2)</f>
        <v>152</v>
      </c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7">
        <f>ROUND(56,2)</f>
        <v>56</v>
      </c>
      <c r="AV150" s="6"/>
      <c r="AW150" s="7">
        <f>ROUND(24,2)</f>
        <v>24</v>
      </c>
      <c r="AX150" s="6"/>
      <c r="AY150" s="7">
        <f>ROUND(200,2)</f>
        <v>200</v>
      </c>
      <c r="AZ150" s="6"/>
      <c r="BA150" s="6"/>
      <c r="BB150" s="6"/>
      <c r="BC150" s="6"/>
      <c r="BD150" s="6"/>
      <c r="BE150" s="6"/>
      <c r="BF150" s="6"/>
      <c r="BG150" s="7">
        <f>ROUND(40,2)</f>
        <v>40</v>
      </c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7">
        <f>ROUND(2280,2)</f>
        <v>2280</v>
      </c>
      <c r="CR150" s="6"/>
      <c r="CS150" s="6"/>
      <c r="CT150" s="6"/>
      <c r="CU150" s="6"/>
      <c r="CV150" s="6"/>
      <c r="CW150" s="6"/>
      <c r="CX150" s="6"/>
      <c r="CY150" s="6"/>
      <c r="CZ150" s="7">
        <f>ROUND(50954.56,2)</f>
        <v>50954.559999999998</v>
      </c>
      <c r="DA150" s="7">
        <f>ROUND(6418.2,2)</f>
        <v>6418.2</v>
      </c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7">
        <f>ROUND(1572.48,2)</f>
        <v>1572.48</v>
      </c>
      <c r="EE150" s="6"/>
      <c r="EF150" s="7">
        <f>ROUND(672,2)</f>
        <v>672</v>
      </c>
      <c r="EG150" s="6"/>
      <c r="EH150" s="7">
        <f>ROUND(5617.92,2)</f>
        <v>5617.92</v>
      </c>
      <c r="EI150" s="6"/>
      <c r="EJ150" s="6"/>
      <c r="EK150" s="6"/>
      <c r="EL150" s="6"/>
      <c r="EM150" s="6"/>
      <c r="EN150" s="6"/>
      <c r="EO150" s="6"/>
      <c r="EP150" s="6"/>
      <c r="EQ150" s="7">
        <f>ROUND(1120,2)</f>
        <v>1120</v>
      </c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7">
        <f>ROUND(1375,2)</f>
        <v>1375</v>
      </c>
      <c r="FK150" s="6"/>
      <c r="FL150" s="6"/>
      <c r="FM150" s="6"/>
      <c r="FN150" s="6"/>
      <c r="FO150" s="6"/>
      <c r="FP150" s="6"/>
      <c r="FQ150" s="6"/>
      <c r="FR150" s="6"/>
      <c r="FS150" s="6"/>
      <c r="FT150" s="7">
        <f>ROUND(3000,2)</f>
        <v>3000</v>
      </c>
      <c r="FU150" s="6"/>
      <c r="FV150" s="6"/>
      <c r="FW150" s="6"/>
      <c r="FX150" s="6"/>
      <c r="FY150" s="7">
        <f>ROUND(70730.16,2)</f>
        <v>70730.16</v>
      </c>
    </row>
    <row r="151" spans="1:181" x14ac:dyDescent="0.3">
      <c r="A151" s="4" t="s">
        <v>523</v>
      </c>
      <c r="B151" s="5" t="s">
        <v>1029</v>
      </c>
      <c r="C151" s="5" t="s">
        <v>181</v>
      </c>
      <c r="D151" s="5" t="s">
        <v>194</v>
      </c>
      <c r="E151" s="5" t="s">
        <v>0</v>
      </c>
      <c r="F151" s="5" t="s">
        <v>0</v>
      </c>
      <c r="G151" s="5" t="s">
        <v>183</v>
      </c>
      <c r="H151" s="8">
        <v>33.380000000000003</v>
      </c>
      <c r="I151" s="7">
        <f>ROUND(89142.0299999999,2)</f>
        <v>89142.03</v>
      </c>
      <c r="J151" s="6"/>
      <c r="K151" s="6"/>
      <c r="L151" s="6"/>
      <c r="M151" s="6"/>
      <c r="N151" s="7">
        <f>ROUND(1451.98999999999,2)</f>
        <v>1451.99</v>
      </c>
      <c r="O151" s="6"/>
      <c r="P151" s="6"/>
      <c r="Q151" s="7">
        <f>ROUND(214.61,2)</f>
        <v>214.61</v>
      </c>
      <c r="R151" s="6"/>
      <c r="S151" s="6"/>
      <c r="T151" s="6"/>
      <c r="U151" s="6"/>
      <c r="V151" s="7">
        <f>ROUND(0.93,2)</f>
        <v>0.93</v>
      </c>
      <c r="W151" s="7">
        <f>ROUND(3.82,2)</f>
        <v>3.82</v>
      </c>
      <c r="X151" s="7">
        <f>ROUND(2.27,2)</f>
        <v>2.27</v>
      </c>
      <c r="Y151" s="7">
        <f>ROUND(1.33,2)</f>
        <v>1.33</v>
      </c>
      <c r="Z151" s="6"/>
      <c r="AA151" s="6"/>
      <c r="AB151" s="6"/>
      <c r="AC151" s="6"/>
      <c r="AD151" s="6"/>
      <c r="AE151" s="7">
        <f>ROUND(156.97,2)</f>
        <v>156.97</v>
      </c>
      <c r="AF151" s="6"/>
      <c r="AG151" s="7">
        <f>ROUND(14.29,2)</f>
        <v>14.29</v>
      </c>
      <c r="AH151" s="6"/>
      <c r="AI151" s="6"/>
      <c r="AJ151" s="6"/>
      <c r="AK151" s="6"/>
      <c r="AL151" s="6"/>
      <c r="AM151" s="6"/>
      <c r="AN151" s="6"/>
      <c r="AO151" s="6"/>
      <c r="AP151" s="7">
        <f>ROUND(335.87,2)</f>
        <v>335.87</v>
      </c>
      <c r="AQ151" s="6"/>
      <c r="AR151" s="7">
        <f>ROUND(36.14,2)</f>
        <v>36.14</v>
      </c>
      <c r="AS151" s="6"/>
      <c r="AT151" s="6"/>
      <c r="AU151" s="7">
        <f>ROUND(68,2)</f>
        <v>68</v>
      </c>
      <c r="AV151" s="7">
        <f>ROUND(8,2)</f>
        <v>8</v>
      </c>
      <c r="AW151" s="7">
        <f>ROUND(26.53,2)</f>
        <v>26.53</v>
      </c>
      <c r="AX151" s="7">
        <f>ROUND(5.47,2)</f>
        <v>5.47</v>
      </c>
      <c r="AY151" s="7">
        <f>ROUND(16,2)</f>
        <v>16</v>
      </c>
      <c r="AZ151" s="6"/>
      <c r="BA151" s="6"/>
      <c r="BB151" s="7">
        <f>ROUND(44,2)</f>
        <v>44</v>
      </c>
      <c r="BC151" s="6"/>
      <c r="BD151" s="7">
        <f>ROUND(8,2)</f>
        <v>8</v>
      </c>
      <c r="BE151" s="7">
        <f>ROUND(3.48,2)</f>
        <v>3.48</v>
      </c>
      <c r="BF151" s="6"/>
      <c r="BG151" s="6"/>
      <c r="BH151" s="6"/>
      <c r="BI151" s="6"/>
      <c r="BJ151" s="6"/>
      <c r="BK151" s="6"/>
      <c r="BL151" s="6"/>
      <c r="BM151" s="6"/>
      <c r="BN151" s="6"/>
      <c r="BO151" s="7">
        <f>ROUND(20,2)</f>
        <v>20</v>
      </c>
      <c r="BP151" s="6"/>
      <c r="BQ151" s="7">
        <f>ROUND(8.42,2)</f>
        <v>8.42</v>
      </c>
      <c r="BR151" s="6"/>
      <c r="BS151" s="6"/>
      <c r="BT151" s="7">
        <f>ROUND(0.17,2)</f>
        <v>0.17</v>
      </c>
      <c r="BU151" s="6"/>
      <c r="BV151" s="6"/>
      <c r="BW151" s="6"/>
      <c r="BX151" s="6"/>
      <c r="BY151" s="6"/>
      <c r="BZ151" s="6"/>
      <c r="CA151" s="7">
        <f>ROUND(8,2)</f>
        <v>8</v>
      </c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7">
        <f>ROUND(24,2)</f>
        <v>24</v>
      </c>
      <c r="CQ151" s="7">
        <f>ROUND(2458.28999999999,2)</f>
        <v>2458.29</v>
      </c>
      <c r="CR151" s="6"/>
      <c r="CS151" s="6"/>
      <c r="CT151" s="6"/>
      <c r="CU151" s="6"/>
      <c r="CV151" s="7">
        <f>ROUND(47315.6899999999,2)</f>
        <v>47315.69</v>
      </c>
      <c r="CW151" s="6"/>
      <c r="CX151" s="6"/>
      <c r="CY151" s="7">
        <f>ROUND(10573.97,2)</f>
        <v>10573.97</v>
      </c>
      <c r="CZ151" s="6"/>
      <c r="DA151" s="6"/>
      <c r="DB151" s="6"/>
      <c r="DC151" s="6"/>
      <c r="DD151" s="7">
        <f>ROUND(30.88,2)</f>
        <v>30.88</v>
      </c>
      <c r="DE151" s="7">
        <f>ROUND(190.24,2)</f>
        <v>190.24</v>
      </c>
      <c r="DF151" s="7">
        <f>ROUND(75.03,2)</f>
        <v>75.03</v>
      </c>
      <c r="DG151" s="7">
        <f>ROUND(65.93,2)</f>
        <v>65.930000000000007</v>
      </c>
      <c r="DH151" s="6"/>
      <c r="DI151" s="6"/>
      <c r="DJ151" s="6"/>
      <c r="DK151" s="6"/>
      <c r="DL151" s="6"/>
      <c r="DM151" s="6"/>
      <c r="DN151" s="7">
        <f>ROUND(5179.69,2)</f>
        <v>5179.6899999999996</v>
      </c>
      <c r="DO151" s="6"/>
      <c r="DP151" s="7">
        <f>ROUND(708.63,2)</f>
        <v>708.63</v>
      </c>
      <c r="DQ151" s="6"/>
      <c r="DR151" s="6"/>
      <c r="DS151" s="6"/>
      <c r="DT151" s="6"/>
      <c r="DU151" s="6"/>
      <c r="DV151" s="6"/>
      <c r="DW151" s="6"/>
      <c r="DX151" s="6"/>
      <c r="DY151" s="7">
        <f>ROUND(10955.0799999999,2)</f>
        <v>10955.08</v>
      </c>
      <c r="DZ151" s="6"/>
      <c r="EA151" s="7">
        <f>ROUND(1760.90999999999,2)</f>
        <v>1760.91</v>
      </c>
      <c r="EB151" s="6"/>
      <c r="EC151" s="6"/>
      <c r="ED151" s="7">
        <f>ROUND(2210.38,2)</f>
        <v>2210.38</v>
      </c>
      <c r="EE151" s="7">
        <f>ROUND(396.64,2)</f>
        <v>396.64</v>
      </c>
      <c r="EF151" s="7">
        <f>ROUND(876.82,2)</f>
        <v>876.82</v>
      </c>
      <c r="EG151" s="7">
        <f>ROUND(271.18,2)</f>
        <v>271.18</v>
      </c>
      <c r="EH151" s="7">
        <f>ROUND(528.8,2)</f>
        <v>528.79999999999995</v>
      </c>
      <c r="EI151" s="6"/>
      <c r="EJ151" s="6"/>
      <c r="EK151" s="7">
        <f>ROUND(1438.84,2)</f>
        <v>1438.84</v>
      </c>
      <c r="EL151" s="6"/>
      <c r="EM151" s="6"/>
      <c r="EN151" s="7">
        <f>ROUND(256.72,2)</f>
        <v>256.72000000000003</v>
      </c>
      <c r="EO151" s="7">
        <f>ROUND(113.73,2)</f>
        <v>113.73</v>
      </c>
      <c r="EP151" s="6"/>
      <c r="EQ151" s="6"/>
      <c r="ER151" s="7">
        <f>ROUND(344,2)</f>
        <v>344</v>
      </c>
      <c r="ES151" s="6"/>
      <c r="ET151" s="6"/>
      <c r="EU151" s="6"/>
      <c r="EV151" s="6"/>
      <c r="EW151" s="6"/>
      <c r="EX151" s="6"/>
      <c r="EY151" s="6"/>
      <c r="EZ151" s="6"/>
      <c r="FA151" s="6"/>
      <c r="FB151" s="7">
        <f>ROUND(647.349999999999,2)</f>
        <v>647.35</v>
      </c>
      <c r="FC151" s="6"/>
      <c r="FD151" s="7">
        <f>ROUND(275.4,2)</f>
        <v>275.39999999999998</v>
      </c>
      <c r="FE151" s="6"/>
      <c r="FF151" s="6"/>
      <c r="FG151" s="6"/>
      <c r="FH151" s="6"/>
      <c r="FI151" s="6"/>
      <c r="FJ151" s="7">
        <f>ROUND(1125,2)</f>
        <v>1125</v>
      </c>
      <c r="FK151" s="6"/>
      <c r="FL151" s="6"/>
      <c r="FM151" s="6"/>
      <c r="FN151" s="6"/>
      <c r="FO151" s="6"/>
      <c r="FP151" s="6"/>
      <c r="FQ151" s="6"/>
      <c r="FR151" s="6"/>
      <c r="FS151" s="6"/>
      <c r="FT151" s="7">
        <f>ROUND(3000,2)</f>
        <v>3000</v>
      </c>
      <c r="FU151" s="6"/>
      <c r="FV151" s="6"/>
      <c r="FW151" s="6"/>
      <c r="FX151" s="7">
        <f>ROUND(801.12,2)</f>
        <v>801.12</v>
      </c>
      <c r="FY151" s="7">
        <f>ROUND(89142.0299999999,2)</f>
        <v>89142.03</v>
      </c>
    </row>
    <row r="152" spans="1:181" x14ac:dyDescent="0.3">
      <c r="A152" s="4" t="s">
        <v>524</v>
      </c>
      <c r="B152" s="5" t="s">
        <v>1029</v>
      </c>
      <c r="C152" s="5" t="s">
        <v>181</v>
      </c>
      <c r="D152" s="5" t="s">
        <v>335</v>
      </c>
      <c r="E152" s="5" t="s">
        <v>0</v>
      </c>
      <c r="F152" s="5" t="s">
        <v>0</v>
      </c>
      <c r="G152" s="5" t="s">
        <v>183</v>
      </c>
      <c r="H152" s="6">
        <v>33.380000000000003</v>
      </c>
      <c r="I152" s="7">
        <f>ROUND(80991.18,2)</f>
        <v>80991.179999999993</v>
      </c>
      <c r="J152" s="6"/>
      <c r="K152" s="6"/>
      <c r="L152" s="6"/>
      <c r="M152" s="6"/>
      <c r="N152" s="7">
        <f>ROUND(1245.48,2)</f>
        <v>1245.48</v>
      </c>
      <c r="O152" s="6"/>
      <c r="P152" s="6"/>
      <c r="Q152" s="7">
        <f>ROUND(147.269999999999,2)</f>
        <v>147.27000000000001</v>
      </c>
      <c r="R152" s="6"/>
      <c r="S152" s="6"/>
      <c r="T152" s="6"/>
      <c r="U152" s="6"/>
      <c r="V152" s="7">
        <f>ROUND(26,2)</f>
        <v>26</v>
      </c>
      <c r="W152" s="6"/>
      <c r="X152" s="7">
        <f>ROUND(0.75,2)</f>
        <v>0.75</v>
      </c>
      <c r="Y152" s="6"/>
      <c r="Z152" s="7">
        <f>ROUND(0.18,2)</f>
        <v>0.18</v>
      </c>
      <c r="AA152" s="6"/>
      <c r="AB152" s="6"/>
      <c r="AC152" s="6"/>
      <c r="AD152" s="6"/>
      <c r="AE152" s="7">
        <f>ROUND(363.76,2)</f>
        <v>363.76</v>
      </c>
      <c r="AF152" s="6"/>
      <c r="AG152" s="7">
        <f>ROUND(38.9899999999999,2)</f>
        <v>38.99</v>
      </c>
      <c r="AH152" s="6"/>
      <c r="AI152" s="6"/>
      <c r="AJ152" s="6"/>
      <c r="AK152" s="6"/>
      <c r="AL152" s="6"/>
      <c r="AM152" s="6"/>
      <c r="AN152" s="6"/>
      <c r="AO152" s="6"/>
      <c r="AP152" s="7">
        <f>ROUND(275.289999999999,2)</f>
        <v>275.29000000000002</v>
      </c>
      <c r="AQ152" s="6"/>
      <c r="AR152" s="7">
        <f>ROUND(26,2)</f>
        <v>26</v>
      </c>
      <c r="AS152" s="6"/>
      <c r="AT152" s="6"/>
      <c r="AU152" s="7">
        <f>ROUND(68,2)</f>
        <v>68</v>
      </c>
      <c r="AV152" s="6"/>
      <c r="AW152" s="7">
        <f>ROUND(32,2)</f>
        <v>32</v>
      </c>
      <c r="AX152" s="6"/>
      <c r="AY152" s="7">
        <f>ROUND(39.5,2)</f>
        <v>39.5</v>
      </c>
      <c r="AZ152" s="7">
        <f>ROUND(0.5,2)</f>
        <v>0.5</v>
      </c>
      <c r="BA152" s="6"/>
      <c r="BB152" s="6"/>
      <c r="BC152" s="6"/>
      <c r="BD152" s="7">
        <f>ROUND(8,2)</f>
        <v>8</v>
      </c>
      <c r="BE152" s="7">
        <f>ROUND(1,2)</f>
        <v>1</v>
      </c>
      <c r="BF152" s="6"/>
      <c r="BG152" s="6"/>
      <c r="BH152" s="6"/>
      <c r="BI152" s="6"/>
      <c r="BJ152" s="6"/>
      <c r="BK152" s="6"/>
      <c r="BL152" s="6"/>
      <c r="BM152" s="6"/>
      <c r="BN152" s="6"/>
      <c r="BO152" s="7">
        <f>ROUND(10.25,2)</f>
        <v>10.25</v>
      </c>
      <c r="BP152" s="6"/>
      <c r="BQ152" s="7">
        <f>ROUND(10,2)</f>
        <v>10</v>
      </c>
      <c r="BR152" s="6"/>
      <c r="BS152" s="6"/>
      <c r="BT152" s="6"/>
      <c r="BU152" s="6"/>
      <c r="BV152" s="6"/>
      <c r="BW152" s="6"/>
      <c r="BX152" s="6"/>
      <c r="BY152" s="7">
        <f>ROUND(32,2)</f>
        <v>32</v>
      </c>
      <c r="BZ152" s="6"/>
      <c r="CA152" s="7">
        <f>ROUND(16,2)</f>
        <v>16</v>
      </c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7">
        <f>ROUND(2340.97,2)</f>
        <v>2340.9699999999998</v>
      </c>
      <c r="CR152" s="6"/>
      <c r="CS152" s="6"/>
      <c r="CT152" s="6"/>
      <c r="CU152" s="6"/>
      <c r="CV152" s="7">
        <f>ROUND(40009.5,2)</f>
        <v>40009.5</v>
      </c>
      <c r="CW152" s="6"/>
      <c r="CX152" s="6"/>
      <c r="CY152" s="7">
        <f>ROUND(7030.68,2)</f>
        <v>7030.68</v>
      </c>
      <c r="CZ152" s="6"/>
      <c r="DA152" s="6"/>
      <c r="DB152" s="6"/>
      <c r="DC152" s="6"/>
      <c r="DD152" s="7">
        <f>ROUND(817.069999999999,2)</f>
        <v>817.07</v>
      </c>
      <c r="DE152" s="6"/>
      <c r="DF152" s="7">
        <f>ROUND(24.79,2)</f>
        <v>24.79</v>
      </c>
      <c r="DG152" s="6"/>
      <c r="DH152" s="7">
        <f>ROUND(11.9,2)</f>
        <v>11.9</v>
      </c>
      <c r="DI152" s="6"/>
      <c r="DJ152" s="6"/>
      <c r="DK152" s="6"/>
      <c r="DL152" s="6"/>
      <c r="DM152" s="6"/>
      <c r="DN152" s="7">
        <f>ROUND(11796.1499999999,2)</f>
        <v>11796.15</v>
      </c>
      <c r="DO152" s="6"/>
      <c r="DP152" s="7">
        <f>ROUND(1866.23,2)</f>
        <v>1866.23</v>
      </c>
      <c r="DQ152" s="6"/>
      <c r="DR152" s="6"/>
      <c r="DS152" s="6"/>
      <c r="DT152" s="6"/>
      <c r="DU152" s="6"/>
      <c r="DV152" s="6"/>
      <c r="DW152" s="6"/>
      <c r="DX152" s="6"/>
      <c r="DY152" s="7">
        <f>ROUND(8608.86,2)</f>
        <v>8608.86</v>
      </c>
      <c r="DZ152" s="6"/>
      <c r="EA152" s="7">
        <f>ROUND(1235.1,2)</f>
        <v>1235.0999999999999</v>
      </c>
      <c r="EB152" s="6"/>
      <c r="EC152" s="6"/>
      <c r="ED152" s="7">
        <f>ROUND(2170.68,2)</f>
        <v>2170.6799999999998</v>
      </c>
      <c r="EE152" s="6"/>
      <c r="EF152" s="7">
        <f>ROUND(1008.95999999999,2)</f>
        <v>1008.96</v>
      </c>
      <c r="EG152" s="6"/>
      <c r="EH152" s="7">
        <f>ROUND(1204.36,2)</f>
        <v>1204.3599999999999</v>
      </c>
      <c r="EI152" s="7">
        <f>ROUND(22.87,2)</f>
        <v>22.87</v>
      </c>
      <c r="EJ152" s="6"/>
      <c r="EK152" s="6"/>
      <c r="EL152" s="6"/>
      <c r="EM152" s="6"/>
      <c r="EN152" s="7">
        <f>ROUND(256.72,2)</f>
        <v>256.72000000000003</v>
      </c>
      <c r="EO152" s="7">
        <f>ROUND(33.05,2)</f>
        <v>33.049999999999997</v>
      </c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7">
        <f>ROUND(338.76,2)</f>
        <v>338.76</v>
      </c>
      <c r="FC152" s="6"/>
      <c r="FD152" s="7">
        <f>ROUND(330.5,2)</f>
        <v>330.5</v>
      </c>
      <c r="FE152" s="6"/>
      <c r="FF152" s="6"/>
      <c r="FG152" s="6"/>
      <c r="FH152" s="6"/>
      <c r="FI152" s="6"/>
      <c r="FJ152" s="7">
        <f>ROUND(1225,2)</f>
        <v>1225</v>
      </c>
      <c r="FK152" s="6"/>
      <c r="FL152" s="6"/>
      <c r="FM152" s="6"/>
      <c r="FN152" s="6"/>
      <c r="FO152" s="6"/>
      <c r="FP152" s="6"/>
      <c r="FQ152" s="6"/>
      <c r="FR152" s="6"/>
      <c r="FS152" s="6"/>
      <c r="FT152" s="7">
        <f>ROUND(3000,2)</f>
        <v>3000</v>
      </c>
      <c r="FU152" s="6"/>
      <c r="FV152" s="6"/>
      <c r="FW152" s="6"/>
      <c r="FX152" s="6"/>
      <c r="FY152" s="7">
        <f>ROUND(80991.18,2)</f>
        <v>80991.179999999993</v>
      </c>
    </row>
    <row r="153" spans="1:181" x14ac:dyDescent="0.3">
      <c r="A153" s="4" t="s">
        <v>525</v>
      </c>
      <c r="B153" s="5" t="s">
        <v>1029</v>
      </c>
      <c r="C153" s="5" t="s">
        <v>181</v>
      </c>
      <c r="D153" s="5" t="s">
        <v>342</v>
      </c>
      <c r="E153" s="5" t="s">
        <v>0</v>
      </c>
      <c r="F153" s="5" t="s">
        <v>0</v>
      </c>
      <c r="G153" s="5" t="s">
        <v>183</v>
      </c>
      <c r="H153" s="8">
        <v>33.380000000000003</v>
      </c>
      <c r="I153" s="7">
        <f>ROUND(93457.04,2)</f>
        <v>93457.04</v>
      </c>
      <c r="J153" s="6"/>
      <c r="K153" s="6"/>
      <c r="L153" s="6"/>
      <c r="M153" s="6"/>
      <c r="N153" s="7">
        <f>ROUND(1062.59,2)</f>
        <v>1062.5899999999999</v>
      </c>
      <c r="O153" s="6"/>
      <c r="P153" s="6"/>
      <c r="Q153" s="7">
        <f>ROUND(372.18,2)</f>
        <v>372.18</v>
      </c>
      <c r="R153" s="6"/>
      <c r="S153" s="6"/>
      <c r="T153" s="6"/>
      <c r="U153" s="6"/>
      <c r="V153" s="7">
        <f>ROUND(27.72,2)</f>
        <v>27.72</v>
      </c>
      <c r="W153" s="7">
        <f>ROUND(28.47,2)</f>
        <v>28.47</v>
      </c>
      <c r="X153" s="7">
        <f>ROUND(7.56,2)</f>
        <v>7.56</v>
      </c>
      <c r="Y153" s="7">
        <f>ROUND(2.13,2)</f>
        <v>2.13</v>
      </c>
      <c r="Z153" s="6"/>
      <c r="AA153" s="6"/>
      <c r="AB153" s="6"/>
      <c r="AC153" s="6"/>
      <c r="AD153" s="6"/>
      <c r="AE153" s="7">
        <f>ROUND(106.19,2)</f>
        <v>106.19</v>
      </c>
      <c r="AF153" s="6"/>
      <c r="AG153" s="7">
        <f>ROUND(50.54,2)</f>
        <v>50.54</v>
      </c>
      <c r="AH153" s="6"/>
      <c r="AI153" s="6"/>
      <c r="AJ153" s="6"/>
      <c r="AK153" s="6"/>
      <c r="AL153" s="6"/>
      <c r="AM153" s="6"/>
      <c r="AN153" s="6"/>
      <c r="AO153" s="6"/>
      <c r="AP153" s="7">
        <f>ROUND(345.46,2)</f>
        <v>345.46</v>
      </c>
      <c r="AQ153" s="6"/>
      <c r="AR153" s="7">
        <f>ROUND(115.83,2)</f>
        <v>115.83</v>
      </c>
      <c r="AS153" s="6"/>
      <c r="AT153" s="6"/>
      <c r="AU153" s="7">
        <f>ROUND(58.5,2)</f>
        <v>58.5</v>
      </c>
      <c r="AV153" s="7">
        <f>ROUND(7.5,2)</f>
        <v>7.5</v>
      </c>
      <c r="AW153" s="7">
        <f>ROUND(32,2)</f>
        <v>32</v>
      </c>
      <c r="AX153" s="7">
        <f>ROUND(8,2)</f>
        <v>8</v>
      </c>
      <c r="AY153" s="7">
        <f>ROUND(53.78,2)</f>
        <v>53.78</v>
      </c>
      <c r="AZ153" s="7">
        <f>ROUND(36.22,2)</f>
        <v>36.22</v>
      </c>
      <c r="BA153" s="6"/>
      <c r="BB153" s="7">
        <f>ROUND(18,2)</f>
        <v>18</v>
      </c>
      <c r="BC153" s="6"/>
      <c r="BD153" s="7">
        <f>ROUND(8,2)</f>
        <v>8</v>
      </c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7">
        <f>ROUND(25.25,2)</f>
        <v>25.25</v>
      </c>
      <c r="BP153" s="6"/>
      <c r="BQ153" s="7">
        <f>ROUND(14.42,2)</f>
        <v>14.42</v>
      </c>
      <c r="BR153" s="7">
        <f>ROUND(17.78,2)</f>
        <v>17.78</v>
      </c>
      <c r="BS153" s="7">
        <f>ROUND(144,2)</f>
        <v>144</v>
      </c>
      <c r="BT153" s="7">
        <f>ROUND(1.77,2)</f>
        <v>1.77</v>
      </c>
      <c r="BU153" s="6"/>
      <c r="BV153" s="6"/>
      <c r="BW153" s="7">
        <f>ROUND(8,2)</f>
        <v>8</v>
      </c>
      <c r="BX153" s="6"/>
      <c r="BY153" s="6"/>
      <c r="BZ153" s="6"/>
      <c r="CA153" s="7">
        <f>ROUND(8,2)</f>
        <v>8</v>
      </c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7">
        <f>ROUND(24,2)</f>
        <v>24</v>
      </c>
      <c r="CQ153" s="7">
        <f>ROUND(2583.89,2)</f>
        <v>2583.89</v>
      </c>
      <c r="CR153" s="6"/>
      <c r="CS153" s="6"/>
      <c r="CT153" s="6"/>
      <c r="CU153" s="6"/>
      <c r="CV153" s="7">
        <f>ROUND(34556.8,2)</f>
        <v>34556.800000000003</v>
      </c>
      <c r="CW153" s="6"/>
      <c r="CX153" s="6"/>
      <c r="CY153" s="7">
        <f>ROUND(18040.44,2)</f>
        <v>18040.439999999999</v>
      </c>
      <c r="CZ153" s="6"/>
      <c r="DA153" s="6"/>
      <c r="DB153" s="6"/>
      <c r="DC153" s="6"/>
      <c r="DD153" s="7">
        <f>ROUND(895.5,2)</f>
        <v>895.5</v>
      </c>
      <c r="DE153" s="7">
        <f>ROUND(1373.93,2)</f>
        <v>1373.93</v>
      </c>
      <c r="DF153" s="7">
        <f>ROUND(245.67,2)</f>
        <v>245.67</v>
      </c>
      <c r="DG153" s="7">
        <f>ROUND(102.77,2)</f>
        <v>102.77</v>
      </c>
      <c r="DH153" s="6"/>
      <c r="DI153" s="6"/>
      <c r="DJ153" s="6"/>
      <c r="DK153" s="6"/>
      <c r="DL153" s="6"/>
      <c r="DM153" s="6"/>
      <c r="DN153" s="7">
        <f>ROUND(3466.17,2)</f>
        <v>3466.17</v>
      </c>
      <c r="DO153" s="6"/>
      <c r="DP153" s="7">
        <f>ROUND(2481.44,2)</f>
        <v>2481.44</v>
      </c>
      <c r="DQ153" s="6"/>
      <c r="DR153" s="6"/>
      <c r="DS153" s="6"/>
      <c r="DT153" s="6"/>
      <c r="DU153" s="6"/>
      <c r="DV153" s="6"/>
      <c r="DW153" s="6"/>
      <c r="DX153" s="6"/>
      <c r="DY153" s="7">
        <f>ROUND(11234.8599999999,2)</f>
        <v>11234.86</v>
      </c>
      <c r="DZ153" s="6"/>
      <c r="EA153" s="7">
        <f>ROUND(5729.80999999999,2)</f>
        <v>5729.81</v>
      </c>
      <c r="EB153" s="6"/>
      <c r="EC153" s="6"/>
      <c r="ED153" s="7">
        <f>ROUND(1895.03,2)</f>
        <v>1895.03</v>
      </c>
      <c r="EE153" s="7">
        <f>ROUND(371.85,2)</f>
        <v>371.85</v>
      </c>
      <c r="EF153" s="7">
        <f>ROUND(1026.88,2)</f>
        <v>1026.8800000000001</v>
      </c>
      <c r="EG153" s="7">
        <f>ROUND(385.08,2)</f>
        <v>385.08</v>
      </c>
      <c r="EH153" s="7">
        <f>ROUND(1733.48,2)</f>
        <v>1733.48</v>
      </c>
      <c r="EI153" s="7">
        <f>ROUND(1743.44999999999,2)</f>
        <v>1743.45</v>
      </c>
      <c r="EJ153" s="6"/>
      <c r="EK153" s="7">
        <f>ROUND(585.3,2)</f>
        <v>585.29999999999995</v>
      </c>
      <c r="EL153" s="6"/>
      <c r="EM153" s="6"/>
      <c r="EN153" s="7">
        <f>ROUND(256.72,2)</f>
        <v>256.72000000000003</v>
      </c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7">
        <f>ROUND(832.11,2)</f>
        <v>832.11</v>
      </c>
      <c r="FC153" s="6"/>
      <c r="FD153" s="7">
        <f>ROUND(472.34,2)</f>
        <v>472.34</v>
      </c>
      <c r="FE153" s="7">
        <f>ROUND(876.29,2)</f>
        <v>876.29</v>
      </c>
      <c r="FF153" s="6"/>
      <c r="FG153" s="6"/>
      <c r="FH153" s="6"/>
      <c r="FI153" s="6"/>
      <c r="FJ153" s="7">
        <f>ROUND(1350,2)</f>
        <v>1350</v>
      </c>
      <c r="FK153" s="6"/>
      <c r="FL153" s="6"/>
      <c r="FM153" s="6"/>
      <c r="FN153" s="6"/>
      <c r="FO153" s="6"/>
      <c r="FP153" s="6"/>
      <c r="FQ153" s="6"/>
      <c r="FR153" s="6"/>
      <c r="FS153" s="6"/>
      <c r="FT153" s="7">
        <f>ROUND(3000,2)</f>
        <v>3000</v>
      </c>
      <c r="FU153" s="6"/>
      <c r="FV153" s="6"/>
      <c r="FW153" s="6"/>
      <c r="FX153" s="7">
        <f>ROUND(801.12,2)</f>
        <v>801.12</v>
      </c>
      <c r="FY153" s="7">
        <f>ROUND(93457.04,2)</f>
        <v>93457.04</v>
      </c>
    </row>
    <row r="154" spans="1:181" x14ac:dyDescent="0.3">
      <c r="A154" s="4" t="s">
        <v>526</v>
      </c>
      <c r="B154" s="5" t="s">
        <v>1029</v>
      </c>
      <c r="C154" s="5" t="s">
        <v>181</v>
      </c>
      <c r="D154" s="5" t="s">
        <v>527</v>
      </c>
      <c r="E154" s="5" t="s">
        <v>528</v>
      </c>
      <c r="F154" s="5" t="s">
        <v>0</v>
      </c>
      <c r="G154" s="5" t="s">
        <v>183</v>
      </c>
      <c r="H154" s="8">
        <v>33.71</v>
      </c>
      <c r="I154" s="7">
        <f>ROUND(51735.36,2)</f>
        <v>51735.360000000001</v>
      </c>
      <c r="J154" s="6"/>
      <c r="K154" s="6"/>
      <c r="L154" s="6"/>
      <c r="M154" s="6"/>
      <c r="N154" s="7">
        <f>ROUND(1360.67,2)</f>
        <v>1360.67</v>
      </c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7">
        <f>ROUND(40,2)</f>
        <v>40</v>
      </c>
      <c r="AV154" s="6"/>
      <c r="AW154" s="7">
        <f>ROUND(5,2)</f>
        <v>5</v>
      </c>
      <c r="AX154" s="6"/>
      <c r="AY154" s="7">
        <f>ROUND(70,2)</f>
        <v>70</v>
      </c>
      <c r="AZ154" s="6"/>
      <c r="BA154" s="6"/>
      <c r="BB154" s="7">
        <f>ROUND(5,2)</f>
        <v>5</v>
      </c>
      <c r="BC154" s="6"/>
      <c r="BD154" s="7">
        <f>ROUND(8,2)</f>
        <v>8</v>
      </c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7">
        <f>ROUND(25,2)</f>
        <v>25</v>
      </c>
      <c r="CQ154" s="7">
        <f>ROUND(1513.66999999999,2)</f>
        <v>1513.67</v>
      </c>
      <c r="CR154" s="6"/>
      <c r="CS154" s="6"/>
      <c r="CT154" s="6"/>
      <c r="CU154" s="6"/>
      <c r="CV154" s="7">
        <f>ROUND(44363.59,2)</f>
        <v>44363.59</v>
      </c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7">
        <f>ROUND(1306.1,2)</f>
        <v>1306.0999999999999</v>
      </c>
      <c r="EE154" s="6"/>
      <c r="EF154" s="7">
        <f>ROUND(160.45,2)</f>
        <v>160.44999999999999</v>
      </c>
      <c r="EG154" s="6"/>
      <c r="EH154" s="7">
        <f>ROUND(2265.5,2)</f>
        <v>2265.5</v>
      </c>
      <c r="EI154" s="6"/>
      <c r="EJ154" s="6"/>
      <c r="EK154" s="7">
        <f>ROUND(165.25,2)</f>
        <v>165.25</v>
      </c>
      <c r="EL154" s="6"/>
      <c r="EM154" s="6"/>
      <c r="EN154" s="7">
        <f>ROUND(256.72,2)</f>
        <v>256.72000000000003</v>
      </c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7">
        <f>ROUND(875,2)</f>
        <v>875</v>
      </c>
      <c r="FK154" s="6"/>
      <c r="FL154" s="6"/>
      <c r="FM154" s="6"/>
      <c r="FN154" s="6"/>
      <c r="FO154" s="6"/>
      <c r="FP154" s="6"/>
      <c r="FQ154" s="6"/>
      <c r="FR154" s="6"/>
      <c r="FS154" s="6"/>
      <c r="FT154" s="7">
        <f>ROUND(1500,2)</f>
        <v>1500</v>
      </c>
      <c r="FU154" s="6"/>
      <c r="FV154" s="6"/>
      <c r="FW154" s="6"/>
      <c r="FX154" s="7">
        <f>ROUND(842.75,2)</f>
        <v>842.75</v>
      </c>
      <c r="FY154" s="7">
        <f>ROUND(51735.36,2)</f>
        <v>51735.360000000001</v>
      </c>
    </row>
    <row r="155" spans="1:181" ht="26.4" x14ac:dyDescent="0.3">
      <c r="A155" s="4" t="s">
        <v>529</v>
      </c>
      <c r="B155" s="5"/>
      <c r="C155" s="5" t="s">
        <v>394</v>
      </c>
      <c r="D155" s="5" t="s">
        <v>530</v>
      </c>
      <c r="E155" s="5" t="s">
        <v>0</v>
      </c>
      <c r="F155" s="5" t="s">
        <v>0</v>
      </c>
      <c r="G155" s="5" t="s">
        <v>531</v>
      </c>
      <c r="H155" s="8">
        <f>ROUND(2576.4,2)</f>
        <v>2576.4</v>
      </c>
      <c r="I155" s="7">
        <f>ROUND(142732.559999999,2)</f>
        <v>142732.56</v>
      </c>
      <c r="J155" s="7">
        <f>ROUND(1680,2)</f>
        <v>1680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7">
        <f>ROUND(-16,2)</f>
        <v>-16</v>
      </c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7">
        <f>ROUND(8,2)</f>
        <v>8</v>
      </c>
      <c r="BX155" s="6"/>
      <c r="BY155" s="6"/>
      <c r="BZ155" s="6"/>
      <c r="CA155" s="6"/>
      <c r="CB155" s="6"/>
      <c r="CC155" s="6"/>
      <c r="CD155" s="6"/>
      <c r="CE155" s="6"/>
      <c r="CF155" s="6"/>
      <c r="CG155" s="7">
        <f>ROUND(24,2)</f>
        <v>24</v>
      </c>
      <c r="CH155" s="7">
        <f>ROUND(56,2)</f>
        <v>56</v>
      </c>
      <c r="CI155" s="7">
        <f>ROUND(32,2)</f>
        <v>32</v>
      </c>
      <c r="CJ155" s="6"/>
      <c r="CK155" s="6"/>
      <c r="CL155" s="6"/>
      <c r="CM155" s="6"/>
      <c r="CN155" s="7">
        <f>ROUND(144,2)</f>
        <v>144</v>
      </c>
      <c r="CO155" s="6"/>
      <c r="CP155" s="6"/>
      <c r="CQ155" s="7">
        <f>ROUND(1928,2)</f>
        <v>1928</v>
      </c>
      <c r="CR155" s="7">
        <f>ROUND(131396.399999999,2)</f>
        <v>131396.4</v>
      </c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7">
        <f>ROUND(-1030.56,2)</f>
        <v>-1030.56</v>
      </c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7">
        <f>ROUND(515.28,2)</f>
        <v>515.28</v>
      </c>
      <c r="FH155" s="6"/>
      <c r="FI155" s="6"/>
      <c r="FJ155" s="7">
        <f>ROUND(6183.36,2)</f>
        <v>6183.36</v>
      </c>
      <c r="FK155" s="6"/>
      <c r="FL155" s="6"/>
      <c r="FM155" s="7">
        <f>ROUND(1545.84,2)</f>
        <v>1545.84</v>
      </c>
      <c r="FN155" s="7">
        <f>ROUND(1545.84,2)</f>
        <v>1545.84</v>
      </c>
      <c r="FO155" s="7">
        <f>ROUND(1030.56,2)</f>
        <v>1030.56</v>
      </c>
      <c r="FP155" s="6"/>
      <c r="FQ155" s="6"/>
      <c r="FR155" s="6"/>
      <c r="FS155" s="6"/>
      <c r="FT155" s="6"/>
      <c r="FU155" s="6"/>
      <c r="FV155" s="7">
        <f>ROUND(1545.84,2)</f>
        <v>1545.84</v>
      </c>
      <c r="FW155" s="6"/>
      <c r="FX155" s="6"/>
      <c r="FY155" s="7">
        <f>ROUND(142732.559999999,2)</f>
        <v>142732.56</v>
      </c>
    </row>
    <row r="156" spans="1:181" x14ac:dyDescent="0.3">
      <c r="A156" s="4" t="s">
        <v>532</v>
      </c>
      <c r="B156" s="5" t="s">
        <v>1029</v>
      </c>
      <c r="C156" s="5" t="s">
        <v>181</v>
      </c>
      <c r="D156" s="5" t="s">
        <v>468</v>
      </c>
      <c r="E156" s="5" t="s">
        <v>0</v>
      </c>
      <c r="F156" s="5" t="s">
        <v>0</v>
      </c>
      <c r="G156" s="5" t="s">
        <v>183</v>
      </c>
      <c r="H156" s="8">
        <v>33.71</v>
      </c>
      <c r="I156" s="7">
        <f>ROUND(83429.9,2)</f>
        <v>83429.899999999994</v>
      </c>
      <c r="J156" s="6"/>
      <c r="K156" s="6"/>
      <c r="L156" s="6"/>
      <c r="M156" s="6"/>
      <c r="N156" s="7">
        <f>ROUND(1492.83,2)</f>
        <v>1492.83</v>
      </c>
      <c r="O156" s="6"/>
      <c r="P156" s="6"/>
      <c r="Q156" s="7">
        <f>ROUND(129.29,2)</f>
        <v>129.29</v>
      </c>
      <c r="R156" s="6"/>
      <c r="S156" s="6"/>
      <c r="T156" s="6"/>
      <c r="U156" s="6"/>
      <c r="V156" s="7">
        <f>ROUND(8.65,2)</f>
        <v>8.65</v>
      </c>
      <c r="W156" s="6"/>
      <c r="X156" s="6"/>
      <c r="Y156" s="6"/>
      <c r="Z156" s="6"/>
      <c r="AA156" s="6"/>
      <c r="AB156" s="6"/>
      <c r="AC156" s="6"/>
      <c r="AD156" s="6"/>
      <c r="AE156" s="7">
        <f>ROUND(118.54,2)</f>
        <v>118.54</v>
      </c>
      <c r="AF156" s="6"/>
      <c r="AG156" s="7">
        <f>ROUND(2.5,2)</f>
        <v>2.5</v>
      </c>
      <c r="AH156" s="6"/>
      <c r="AI156" s="6"/>
      <c r="AJ156" s="6"/>
      <c r="AK156" s="6"/>
      <c r="AL156" s="6"/>
      <c r="AM156" s="6"/>
      <c r="AN156" s="6"/>
      <c r="AO156" s="6"/>
      <c r="AP156" s="7">
        <f>ROUND(281.9,2)</f>
        <v>281.89999999999998</v>
      </c>
      <c r="AQ156" s="6"/>
      <c r="AR156" s="7">
        <f>ROUND(11.4699999999999,2)</f>
        <v>11.47</v>
      </c>
      <c r="AS156" s="6"/>
      <c r="AT156" s="6"/>
      <c r="AU156" s="7">
        <f>ROUND(66,2)</f>
        <v>66</v>
      </c>
      <c r="AV156" s="7">
        <f>ROUND(8,2)</f>
        <v>8</v>
      </c>
      <c r="AW156" s="7">
        <f>ROUND(17.99,2)</f>
        <v>17.989999999999998</v>
      </c>
      <c r="AX156" s="7">
        <f>ROUND(14.01,2)</f>
        <v>14.01</v>
      </c>
      <c r="AY156" s="7">
        <f>ROUND(101.75,2)</f>
        <v>101.75</v>
      </c>
      <c r="AZ156" s="7">
        <f>ROUND(2.25,2)</f>
        <v>2.25</v>
      </c>
      <c r="BA156" s="6"/>
      <c r="BB156" s="7">
        <f>ROUND(26,2)</f>
        <v>26</v>
      </c>
      <c r="BC156" s="6"/>
      <c r="BD156" s="7">
        <f>ROUND(8,2)</f>
        <v>8</v>
      </c>
      <c r="BE156" s="7">
        <f>ROUND(1.3,2)</f>
        <v>1.3</v>
      </c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7">
        <f>ROUND(8,2)</f>
        <v>8</v>
      </c>
      <c r="BZ156" s="6"/>
      <c r="CA156" s="7">
        <f>ROUND(18,2)</f>
        <v>18</v>
      </c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7">
        <f>ROUND(40,2)</f>
        <v>40</v>
      </c>
      <c r="CQ156" s="7">
        <f>ROUND(2356.47999999999,2)</f>
        <v>2356.48</v>
      </c>
      <c r="CR156" s="6"/>
      <c r="CS156" s="6"/>
      <c r="CT156" s="6"/>
      <c r="CU156" s="6"/>
      <c r="CV156" s="7">
        <f>ROUND(48729.68,2)</f>
        <v>48729.68</v>
      </c>
      <c r="CW156" s="6"/>
      <c r="CX156" s="6"/>
      <c r="CY156" s="7">
        <f>ROUND(6346.23,2)</f>
        <v>6346.23</v>
      </c>
      <c r="CZ156" s="6"/>
      <c r="DA156" s="6"/>
      <c r="DB156" s="6"/>
      <c r="DC156" s="6"/>
      <c r="DD156" s="7">
        <f>ROUND(278.88,2)</f>
        <v>278.88</v>
      </c>
      <c r="DE156" s="6"/>
      <c r="DF156" s="6"/>
      <c r="DG156" s="6"/>
      <c r="DH156" s="6"/>
      <c r="DI156" s="6"/>
      <c r="DJ156" s="6"/>
      <c r="DK156" s="6"/>
      <c r="DL156" s="6"/>
      <c r="DM156" s="6"/>
      <c r="DN156" s="7">
        <f>ROUND(3850.04,2)</f>
        <v>3850.04</v>
      </c>
      <c r="DO156" s="6"/>
      <c r="DP156" s="7">
        <f>ROUND(123.63,2)</f>
        <v>123.63</v>
      </c>
      <c r="DQ156" s="6"/>
      <c r="DR156" s="6"/>
      <c r="DS156" s="6"/>
      <c r="DT156" s="6"/>
      <c r="DU156" s="6"/>
      <c r="DV156" s="6"/>
      <c r="DW156" s="6"/>
      <c r="DX156" s="6"/>
      <c r="DY156" s="7">
        <f>ROUND(9156.63,2)</f>
        <v>9156.6299999999992</v>
      </c>
      <c r="DZ156" s="6"/>
      <c r="EA156" s="7">
        <f>ROUND(563.34,2)</f>
        <v>563.34</v>
      </c>
      <c r="EB156" s="6"/>
      <c r="EC156" s="6"/>
      <c r="ED156" s="7">
        <f>ROUND(2146.26,2)</f>
        <v>2146.2600000000002</v>
      </c>
      <c r="EE156" s="7">
        <f>ROUND(396.64,2)</f>
        <v>396.64</v>
      </c>
      <c r="EF156" s="7">
        <f>ROUND(580.5,2)</f>
        <v>580.5</v>
      </c>
      <c r="EG156" s="7">
        <f>ROUND(681.1,2)</f>
        <v>681.1</v>
      </c>
      <c r="EH156" s="7">
        <f>ROUND(3303.56,2)</f>
        <v>3303.56</v>
      </c>
      <c r="EI156" s="7">
        <f>ROUND(108.3,2)</f>
        <v>108.3</v>
      </c>
      <c r="EJ156" s="6"/>
      <c r="EK156" s="7">
        <f>ROUND(842.02,2)</f>
        <v>842.02</v>
      </c>
      <c r="EL156" s="6"/>
      <c r="EM156" s="6"/>
      <c r="EN156" s="7">
        <f>ROUND(256.72,2)</f>
        <v>256.72000000000003</v>
      </c>
      <c r="EO156" s="7">
        <f>ROUND(42.97,2)</f>
        <v>42.97</v>
      </c>
      <c r="EP156" s="6"/>
      <c r="EQ156" s="6"/>
      <c r="ER156" s="6"/>
      <c r="ES156" s="6"/>
      <c r="ET156" s="6"/>
      <c r="EU156" s="6"/>
      <c r="EV156" s="7">
        <f>ROUND(500,2)</f>
        <v>500</v>
      </c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7">
        <f>ROUND(1175,2)</f>
        <v>1175</v>
      </c>
      <c r="FK156" s="6"/>
      <c r="FL156" s="6"/>
      <c r="FM156" s="6"/>
      <c r="FN156" s="6"/>
      <c r="FO156" s="6"/>
      <c r="FP156" s="6"/>
      <c r="FQ156" s="6"/>
      <c r="FR156" s="6"/>
      <c r="FS156" s="6"/>
      <c r="FT156" s="7">
        <f>ROUND(3000,2)</f>
        <v>3000</v>
      </c>
      <c r="FU156" s="6"/>
      <c r="FV156" s="6"/>
      <c r="FW156" s="6"/>
      <c r="FX156" s="7">
        <f>ROUND(1348.4,2)</f>
        <v>1348.4</v>
      </c>
      <c r="FY156" s="7">
        <f>ROUND(83429.9,2)</f>
        <v>83429.899999999994</v>
      </c>
    </row>
    <row r="157" spans="1:181" ht="26.4" x14ac:dyDescent="0.3">
      <c r="A157" s="4" t="s">
        <v>533</v>
      </c>
      <c r="B157" s="5"/>
      <c r="C157" s="5" t="s">
        <v>201</v>
      </c>
      <c r="D157" s="5" t="s">
        <v>534</v>
      </c>
      <c r="E157" s="5" t="s">
        <v>0</v>
      </c>
      <c r="F157" s="5" t="s">
        <v>535</v>
      </c>
      <c r="G157" s="5" t="s">
        <v>203</v>
      </c>
      <c r="H157" s="8">
        <f>ROUND(18,2)</f>
        <v>18</v>
      </c>
      <c r="I157" s="7">
        <f>ROUND(23294.25,2)</f>
        <v>23294.25</v>
      </c>
      <c r="J157" s="7">
        <f>ROUND(1179,2)</f>
        <v>1179</v>
      </c>
      <c r="K157" s="7">
        <f>ROUND(22.75,2)</f>
        <v>22.75</v>
      </c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7">
        <f>ROUND(36,2)</f>
        <v>36</v>
      </c>
      <c r="CH157" s="7">
        <f>ROUND(20,2)</f>
        <v>20</v>
      </c>
      <c r="CI157" s="6"/>
      <c r="CJ157" s="6"/>
      <c r="CK157" s="6"/>
      <c r="CL157" s="6"/>
      <c r="CM157" s="6"/>
      <c r="CN157" s="7">
        <f>ROUND(25,2)</f>
        <v>25</v>
      </c>
      <c r="CO157" s="6"/>
      <c r="CP157" s="6"/>
      <c r="CQ157" s="7">
        <f>ROUND(1282.75,2)</f>
        <v>1282.75</v>
      </c>
      <c r="CR157" s="7">
        <f>ROUND(21222,2)</f>
        <v>21222</v>
      </c>
      <c r="CS157" s="7">
        <f>ROUND(614.25,2)</f>
        <v>614.25</v>
      </c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7">
        <f>ROUND(648,2)</f>
        <v>648</v>
      </c>
      <c r="FN157" s="7">
        <f>ROUND(360,2)</f>
        <v>360</v>
      </c>
      <c r="FO157" s="6"/>
      <c r="FP157" s="6"/>
      <c r="FQ157" s="6"/>
      <c r="FR157" s="6"/>
      <c r="FS157" s="6"/>
      <c r="FT157" s="6"/>
      <c r="FU157" s="6"/>
      <c r="FV157" s="7">
        <f>ROUND(450,2)</f>
        <v>450</v>
      </c>
      <c r="FW157" s="6"/>
      <c r="FX157" s="6"/>
      <c r="FY157" s="7">
        <f>ROUND(23294.25,2)</f>
        <v>23294.25</v>
      </c>
    </row>
    <row r="158" spans="1:181" x14ac:dyDescent="0.3">
      <c r="A158" s="4" t="s">
        <v>536</v>
      </c>
      <c r="B158" s="5" t="s">
        <v>1029</v>
      </c>
      <c r="C158" s="5" t="s">
        <v>181</v>
      </c>
      <c r="D158" s="5" t="s">
        <v>537</v>
      </c>
      <c r="E158" s="5" t="s">
        <v>0</v>
      </c>
      <c r="F158" s="5" t="s">
        <v>0</v>
      </c>
      <c r="G158" s="5" t="s">
        <v>183</v>
      </c>
      <c r="H158" s="8">
        <v>33.380000000000003</v>
      </c>
      <c r="I158" s="7">
        <f>ROUND(79962.29,2)</f>
        <v>79962.289999999994</v>
      </c>
      <c r="J158" s="6"/>
      <c r="K158" s="6"/>
      <c r="L158" s="6"/>
      <c r="M158" s="6"/>
      <c r="N158" s="7">
        <f>ROUND(1705.38999999999,2)</f>
        <v>1705.39</v>
      </c>
      <c r="O158" s="6"/>
      <c r="P158" s="6"/>
      <c r="Q158" s="7">
        <f>ROUND(49.1299999999999,2)</f>
        <v>49.13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7">
        <f>ROUND(68,2)</f>
        <v>68</v>
      </c>
      <c r="AV158" s="6"/>
      <c r="AW158" s="7">
        <f>ROUND(32,2)</f>
        <v>32</v>
      </c>
      <c r="AX158" s="6"/>
      <c r="AY158" s="7">
        <f>ROUND(78.67,2)</f>
        <v>78.67</v>
      </c>
      <c r="AZ158" s="7">
        <f>ROUND(1.33,2)</f>
        <v>1.33</v>
      </c>
      <c r="BA158" s="6"/>
      <c r="BB158" s="7">
        <f>ROUND(40,2)</f>
        <v>40</v>
      </c>
      <c r="BC158" s="6"/>
      <c r="BD158" s="7">
        <f>ROUND(8,2)</f>
        <v>8</v>
      </c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7">
        <f>ROUND(129.8,2)</f>
        <v>129.80000000000001</v>
      </c>
      <c r="BP158" s="7">
        <f>ROUND(132.7,2)</f>
        <v>132.69999999999999</v>
      </c>
      <c r="BQ158" s="6"/>
      <c r="BR158" s="6"/>
      <c r="BS158" s="6"/>
      <c r="BT158" s="6"/>
      <c r="BU158" s="7">
        <f>ROUND(84.83,2)</f>
        <v>84.83</v>
      </c>
      <c r="BV158" s="7">
        <f>ROUND(6.08,2)</f>
        <v>6.08</v>
      </c>
      <c r="BW158" s="6"/>
      <c r="BX158" s="6"/>
      <c r="BY158" s="6"/>
      <c r="BZ158" s="6"/>
      <c r="CA158" s="7">
        <f>ROUND(24,2)</f>
        <v>24</v>
      </c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7">
        <f>ROUND(2359.92999999999,2)</f>
        <v>2359.9299999999998</v>
      </c>
      <c r="CR158" s="6"/>
      <c r="CS158" s="6"/>
      <c r="CT158" s="6"/>
      <c r="CU158" s="6"/>
      <c r="CV158" s="7">
        <f>ROUND(55831.98,2)</f>
        <v>55831.98</v>
      </c>
      <c r="CW158" s="6"/>
      <c r="CX158" s="6"/>
      <c r="CY158" s="7">
        <f>ROUND(2410.05,2)</f>
        <v>2410.0500000000002</v>
      </c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7">
        <f>ROUND(2215.48,2)</f>
        <v>2215.48</v>
      </c>
      <c r="EE158" s="6"/>
      <c r="EF158" s="7">
        <f>ROUND(1026.88,2)</f>
        <v>1026.8800000000001</v>
      </c>
      <c r="EG158" s="6"/>
      <c r="EH158" s="7">
        <f>ROUND(2524.52,2)</f>
        <v>2524.52</v>
      </c>
      <c r="EI158" s="7">
        <f>ROUND(64.02,2)</f>
        <v>64.02</v>
      </c>
      <c r="EJ158" s="6"/>
      <c r="EK158" s="7">
        <f>ROUND(1283.6,2)</f>
        <v>1283.5999999999999</v>
      </c>
      <c r="EL158" s="6"/>
      <c r="EM158" s="6"/>
      <c r="EN158" s="7">
        <f>ROUND(256.72,2)</f>
        <v>256.72000000000003</v>
      </c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7">
        <f>ROUND(4234.65,2)</f>
        <v>4234.6499999999996</v>
      </c>
      <c r="FC158" s="7">
        <f>ROUND(6489.38999999999,2)</f>
        <v>6489.39</v>
      </c>
      <c r="FD158" s="6"/>
      <c r="FE158" s="6"/>
      <c r="FF158" s="6"/>
      <c r="FG158" s="6"/>
      <c r="FH158" s="6"/>
      <c r="FI158" s="6"/>
      <c r="FJ158" s="7">
        <f>ROUND(625,2)</f>
        <v>625</v>
      </c>
      <c r="FK158" s="6"/>
      <c r="FL158" s="6"/>
      <c r="FM158" s="6"/>
      <c r="FN158" s="6"/>
      <c r="FO158" s="6"/>
      <c r="FP158" s="6"/>
      <c r="FQ158" s="6"/>
      <c r="FR158" s="6"/>
      <c r="FS158" s="6"/>
      <c r="FT158" s="7">
        <f>ROUND(3000,2)</f>
        <v>3000</v>
      </c>
      <c r="FU158" s="6"/>
      <c r="FV158" s="6"/>
      <c r="FW158" s="6"/>
      <c r="FX158" s="6"/>
      <c r="FY158" s="7">
        <f>ROUND(79962.29,2)</f>
        <v>79962.289999999994</v>
      </c>
    </row>
    <row r="159" spans="1:181" x14ac:dyDescent="0.3">
      <c r="A159" s="4" t="s">
        <v>538</v>
      </c>
      <c r="B159" s="5" t="s">
        <v>1029</v>
      </c>
      <c r="C159" s="5" t="s">
        <v>181</v>
      </c>
      <c r="D159" s="5" t="s">
        <v>276</v>
      </c>
      <c r="E159" s="5" t="s">
        <v>0</v>
      </c>
      <c r="F159" s="5" t="s">
        <v>0</v>
      </c>
      <c r="G159" s="5" t="s">
        <v>183</v>
      </c>
      <c r="H159" s="8">
        <v>33.380000000000003</v>
      </c>
      <c r="I159" s="7">
        <f>ROUND(97506.9499999999,2)</f>
        <v>97506.95</v>
      </c>
      <c r="J159" s="6"/>
      <c r="K159" s="6"/>
      <c r="L159" s="6"/>
      <c r="M159" s="6"/>
      <c r="N159" s="7">
        <f>ROUND(1358.79,2)</f>
        <v>1358.79</v>
      </c>
      <c r="O159" s="6"/>
      <c r="P159" s="6"/>
      <c r="Q159" s="7">
        <f>ROUND(248.29,2)</f>
        <v>248.29</v>
      </c>
      <c r="R159" s="6"/>
      <c r="S159" s="6"/>
      <c r="T159" s="6"/>
      <c r="U159" s="6"/>
      <c r="V159" s="7">
        <f>ROUND(19.28,2)</f>
        <v>19.28</v>
      </c>
      <c r="W159" s="7">
        <f>ROUND(4.64,2)</f>
        <v>4.6399999999999997</v>
      </c>
      <c r="X159" s="7">
        <f>ROUND(3.67999999999999,2)</f>
        <v>3.68</v>
      </c>
      <c r="Y159" s="7">
        <f>ROUND(3.22,2)</f>
        <v>3.22</v>
      </c>
      <c r="Z159" s="6"/>
      <c r="AA159" s="6"/>
      <c r="AB159" s="6"/>
      <c r="AC159" s="6"/>
      <c r="AD159" s="6"/>
      <c r="AE159" s="7">
        <f>ROUND(166.54,2)</f>
        <v>166.54</v>
      </c>
      <c r="AF159" s="6"/>
      <c r="AG159" s="7">
        <f>ROUND(60.13,2)</f>
        <v>60.13</v>
      </c>
      <c r="AH159" s="6"/>
      <c r="AI159" s="6"/>
      <c r="AJ159" s="6"/>
      <c r="AK159" s="6"/>
      <c r="AL159" s="6"/>
      <c r="AM159" s="6"/>
      <c r="AN159" s="6"/>
      <c r="AO159" s="6"/>
      <c r="AP159" s="7">
        <f>ROUND(347,2)</f>
        <v>347</v>
      </c>
      <c r="AQ159" s="6"/>
      <c r="AR159" s="7">
        <f>ROUND(150.97,2)</f>
        <v>150.97</v>
      </c>
      <c r="AS159" s="6"/>
      <c r="AT159" s="6"/>
      <c r="AU159" s="7">
        <f>ROUND(72,2)</f>
        <v>72</v>
      </c>
      <c r="AV159" s="6"/>
      <c r="AW159" s="7">
        <f>ROUND(19.84,2)</f>
        <v>19.84</v>
      </c>
      <c r="AX159" s="7">
        <f>ROUND(18.16,2)</f>
        <v>18.16</v>
      </c>
      <c r="AY159" s="7">
        <f>ROUND(61.15,2)</f>
        <v>61.15</v>
      </c>
      <c r="AZ159" s="7">
        <f>ROUND(10.85,2)</f>
        <v>10.85</v>
      </c>
      <c r="BA159" s="6"/>
      <c r="BB159" s="7">
        <f>ROUND(18,2)</f>
        <v>18</v>
      </c>
      <c r="BC159" s="6"/>
      <c r="BD159" s="7">
        <f>ROUND(6,2)</f>
        <v>6</v>
      </c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7">
        <f>ROUND(45.75,2)</f>
        <v>45.75</v>
      </c>
      <c r="BP159" s="6"/>
      <c r="BQ159" s="6"/>
      <c r="BR159" s="6"/>
      <c r="BS159" s="6"/>
      <c r="BT159" s="7">
        <f>ROUND(7.63,2)</f>
        <v>7.63</v>
      </c>
      <c r="BU159" s="6"/>
      <c r="BV159" s="6"/>
      <c r="BW159" s="6"/>
      <c r="BX159" s="6"/>
      <c r="BY159" s="7">
        <f>ROUND(16,2)</f>
        <v>16</v>
      </c>
      <c r="BZ159" s="6"/>
      <c r="CA159" s="7">
        <f>ROUND(8,2)</f>
        <v>8</v>
      </c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7">
        <f>ROUND(2645.92,2)</f>
        <v>2645.92</v>
      </c>
      <c r="CR159" s="6"/>
      <c r="CS159" s="6"/>
      <c r="CT159" s="6"/>
      <c r="CU159" s="6"/>
      <c r="CV159" s="7">
        <f>ROUND(44365.15,2)</f>
        <v>44365.15</v>
      </c>
      <c r="CW159" s="6"/>
      <c r="CX159" s="6"/>
      <c r="CY159" s="7">
        <f>ROUND(12059.9999999999,2)</f>
        <v>12060</v>
      </c>
      <c r="CZ159" s="6"/>
      <c r="DA159" s="6"/>
      <c r="DB159" s="6"/>
      <c r="DC159" s="6"/>
      <c r="DD159" s="7">
        <f>ROUND(625.77,2)</f>
        <v>625.77</v>
      </c>
      <c r="DE159" s="7">
        <f>ROUND(231.079999999999,2)</f>
        <v>231.08</v>
      </c>
      <c r="DF159" s="7">
        <f>ROUND(119.009999999999,2)</f>
        <v>119.01</v>
      </c>
      <c r="DG159" s="7">
        <f>ROUND(156.07,2)</f>
        <v>156.07</v>
      </c>
      <c r="DH159" s="6"/>
      <c r="DI159" s="6"/>
      <c r="DJ159" s="6"/>
      <c r="DK159" s="6"/>
      <c r="DL159" s="6"/>
      <c r="DM159" s="6"/>
      <c r="DN159" s="7">
        <f>ROUND(5433.89999999999,2)</f>
        <v>5433.9</v>
      </c>
      <c r="DO159" s="6"/>
      <c r="DP159" s="7">
        <f>ROUND(2939.39,2)</f>
        <v>2939.39</v>
      </c>
      <c r="DQ159" s="6"/>
      <c r="DR159" s="6"/>
      <c r="DS159" s="6"/>
      <c r="DT159" s="6"/>
      <c r="DU159" s="6"/>
      <c r="DV159" s="6"/>
      <c r="DW159" s="6"/>
      <c r="DX159" s="6"/>
      <c r="DY159" s="7">
        <f>ROUND(11347.75,2)</f>
        <v>11347.75</v>
      </c>
      <c r="DZ159" s="6"/>
      <c r="EA159" s="7">
        <f>ROUND(7414.48999999999,2)</f>
        <v>7414.49</v>
      </c>
      <c r="EB159" s="6"/>
      <c r="EC159" s="6"/>
      <c r="ED159" s="7">
        <f>ROUND(2348.34,2)</f>
        <v>2348.34</v>
      </c>
      <c r="EE159" s="6"/>
      <c r="EF159" s="7">
        <f>ROUND(640.67,2)</f>
        <v>640.66999999999996</v>
      </c>
      <c r="EG159" s="7">
        <f>ROUND(879.65,2)</f>
        <v>879.65</v>
      </c>
      <c r="EH159" s="7">
        <f>ROUND(1967.91999999999,2)</f>
        <v>1967.92</v>
      </c>
      <c r="EI159" s="7">
        <f>ROUND(525.36,2)</f>
        <v>525.36</v>
      </c>
      <c r="EJ159" s="6"/>
      <c r="EK159" s="7">
        <f>ROUND(587.22,2)</f>
        <v>587.22</v>
      </c>
      <c r="EL159" s="6"/>
      <c r="EM159" s="6"/>
      <c r="EN159" s="7">
        <f>ROUND(192.54,2)</f>
        <v>192.54</v>
      </c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7">
        <f>ROUND(1497.63999999999,2)</f>
        <v>1497.64</v>
      </c>
      <c r="FC159" s="6"/>
      <c r="FD159" s="6"/>
      <c r="FE159" s="6"/>
      <c r="FF159" s="6"/>
      <c r="FG159" s="6"/>
      <c r="FH159" s="6"/>
      <c r="FI159" s="6"/>
      <c r="FJ159" s="7">
        <f>ROUND(1175,2)</f>
        <v>1175</v>
      </c>
      <c r="FK159" s="6"/>
      <c r="FL159" s="6"/>
      <c r="FM159" s="6"/>
      <c r="FN159" s="6"/>
      <c r="FO159" s="6"/>
      <c r="FP159" s="6"/>
      <c r="FQ159" s="6"/>
      <c r="FR159" s="6"/>
      <c r="FS159" s="6"/>
      <c r="FT159" s="7">
        <f>ROUND(3000,2)</f>
        <v>3000</v>
      </c>
      <c r="FU159" s="6"/>
      <c r="FV159" s="6"/>
      <c r="FW159" s="6"/>
      <c r="FX159" s="6"/>
      <c r="FY159" s="7">
        <f>ROUND(97506.95,2)</f>
        <v>97506.95</v>
      </c>
    </row>
    <row r="160" spans="1:181" x14ac:dyDescent="0.3">
      <c r="A160" s="4" t="s">
        <v>539</v>
      </c>
      <c r="B160" s="5" t="s">
        <v>1029</v>
      </c>
      <c r="C160" s="5" t="s">
        <v>181</v>
      </c>
      <c r="D160" s="5" t="s">
        <v>188</v>
      </c>
      <c r="E160" s="5" t="s">
        <v>0</v>
      </c>
      <c r="F160" s="5" t="s">
        <v>0</v>
      </c>
      <c r="G160" s="5" t="s">
        <v>183</v>
      </c>
      <c r="H160" s="8">
        <v>33.380000000000003</v>
      </c>
      <c r="I160" s="7">
        <f>ROUND(80758.54,2)</f>
        <v>80758.539999999994</v>
      </c>
      <c r="J160" s="6"/>
      <c r="K160" s="6"/>
      <c r="L160" s="6"/>
      <c r="M160" s="6"/>
      <c r="N160" s="7">
        <f>ROUND(1448.87,2)</f>
        <v>1448.87</v>
      </c>
      <c r="O160" s="6"/>
      <c r="P160" s="6"/>
      <c r="Q160" s="7">
        <f>ROUND(127.829999999999,2)</f>
        <v>127.83</v>
      </c>
      <c r="R160" s="6"/>
      <c r="S160" s="6"/>
      <c r="T160" s="6"/>
      <c r="U160" s="6"/>
      <c r="V160" s="7">
        <f>ROUND(12.55,2)</f>
        <v>12.55</v>
      </c>
      <c r="W160" s="6"/>
      <c r="X160" s="6"/>
      <c r="Y160" s="6"/>
      <c r="Z160" s="6"/>
      <c r="AA160" s="6"/>
      <c r="AB160" s="6"/>
      <c r="AC160" s="6"/>
      <c r="AD160" s="6"/>
      <c r="AE160" s="7">
        <f>ROUND(164.69,2)</f>
        <v>164.69</v>
      </c>
      <c r="AF160" s="6"/>
      <c r="AG160" s="7">
        <f>ROUND(3.73,2)</f>
        <v>3.73</v>
      </c>
      <c r="AH160" s="6"/>
      <c r="AI160" s="6"/>
      <c r="AJ160" s="6"/>
      <c r="AK160" s="6"/>
      <c r="AL160" s="6"/>
      <c r="AM160" s="6"/>
      <c r="AN160" s="6"/>
      <c r="AO160" s="6"/>
      <c r="AP160" s="7">
        <f>ROUND(275.86,2)</f>
        <v>275.86</v>
      </c>
      <c r="AQ160" s="6"/>
      <c r="AR160" s="7">
        <f>ROUND(3.65,2)</f>
        <v>3.65</v>
      </c>
      <c r="AS160" s="6"/>
      <c r="AT160" s="6"/>
      <c r="AU160" s="7">
        <f>ROUND(68,2)</f>
        <v>68</v>
      </c>
      <c r="AV160" s="6"/>
      <c r="AW160" s="7">
        <f>ROUND(35.26,2)</f>
        <v>35.26</v>
      </c>
      <c r="AX160" s="7">
        <f>ROUND(6.74,2)</f>
        <v>6.74</v>
      </c>
      <c r="AY160" s="7">
        <f>ROUND(54.78,2)</f>
        <v>54.78</v>
      </c>
      <c r="AZ160" s="7">
        <f>ROUND(3.22,2)</f>
        <v>3.22</v>
      </c>
      <c r="BA160" s="6"/>
      <c r="BB160" s="7">
        <f>ROUND(34,2)</f>
        <v>34</v>
      </c>
      <c r="BC160" s="6"/>
      <c r="BD160" s="7">
        <f>ROUND(8,2)</f>
        <v>8</v>
      </c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7">
        <f>ROUND(10.25,2)</f>
        <v>10.25</v>
      </c>
      <c r="BP160" s="6"/>
      <c r="BQ160" s="7">
        <f>ROUND(10,2)</f>
        <v>10</v>
      </c>
      <c r="BR160" s="6"/>
      <c r="BS160" s="6"/>
      <c r="BT160" s="7">
        <f>ROUND(5.83,2)</f>
        <v>5.83</v>
      </c>
      <c r="BU160" s="6"/>
      <c r="BV160" s="6"/>
      <c r="BW160" s="7">
        <f>ROUND(8,2)</f>
        <v>8</v>
      </c>
      <c r="BX160" s="6"/>
      <c r="BY160" s="7">
        <f>ROUND(8,2)</f>
        <v>8</v>
      </c>
      <c r="BZ160" s="6"/>
      <c r="CA160" s="7">
        <f>ROUND(8,2)</f>
        <v>8</v>
      </c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7">
        <f>ROUND(2297.26,2)</f>
        <v>2297.2600000000002</v>
      </c>
      <c r="CR160" s="6"/>
      <c r="CS160" s="6"/>
      <c r="CT160" s="6"/>
      <c r="CU160" s="6"/>
      <c r="CV160" s="7">
        <f>ROUND(47241.4099999999,2)</f>
        <v>47241.41</v>
      </c>
      <c r="CW160" s="6"/>
      <c r="CX160" s="6"/>
      <c r="CY160" s="7">
        <f>ROUND(6274.79,2)</f>
        <v>6274.79</v>
      </c>
      <c r="CZ160" s="6"/>
      <c r="DA160" s="6"/>
      <c r="DB160" s="6"/>
      <c r="DC160" s="6"/>
      <c r="DD160" s="7">
        <f>ROUND(403.99,2)</f>
        <v>403.99</v>
      </c>
      <c r="DE160" s="6"/>
      <c r="DF160" s="6"/>
      <c r="DG160" s="6"/>
      <c r="DH160" s="6"/>
      <c r="DI160" s="6"/>
      <c r="DJ160" s="6"/>
      <c r="DK160" s="6"/>
      <c r="DL160" s="6"/>
      <c r="DM160" s="6"/>
      <c r="DN160" s="7">
        <f>ROUND(5366.24,2)</f>
        <v>5366.24</v>
      </c>
      <c r="DO160" s="6"/>
      <c r="DP160" s="7">
        <f>ROUND(180.67,2)</f>
        <v>180.67</v>
      </c>
      <c r="DQ160" s="6"/>
      <c r="DR160" s="6"/>
      <c r="DS160" s="6"/>
      <c r="DT160" s="6"/>
      <c r="DU160" s="6"/>
      <c r="DV160" s="6"/>
      <c r="DW160" s="6"/>
      <c r="DX160" s="6"/>
      <c r="DY160" s="7">
        <f>ROUND(8977.5,2)</f>
        <v>8977.5</v>
      </c>
      <c r="DZ160" s="6"/>
      <c r="EA160" s="7">
        <f>ROUND(177.92,2)</f>
        <v>177.92</v>
      </c>
      <c r="EB160" s="6"/>
      <c r="EC160" s="6"/>
      <c r="ED160" s="7">
        <f>ROUND(2219.98,2)</f>
        <v>2219.98</v>
      </c>
      <c r="EE160" s="6"/>
      <c r="EF160" s="7">
        <f>ROUND(1135.79,2)</f>
        <v>1135.79</v>
      </c>
      <c r="EG160" s="7">
        <f>ROUND(329.49,2)</f>
        <v>329.49</v>
      </c>
      <c r="EH160" s="7">
        <f>ROUND(1805.88999999999,2)</f>
        <v>1805.89</v>
      </c>
      <c r="EI160" s="7">
        <f>ROUND(154.99,2)</f>
        <v>154.99</v>
      </c>
      <c r="EJ160" s="6"/>
      <c r="EK160" s="7">
        <f>ROUND(1098.74,2)</f>
        <v>1098.74</v>
      </c>
      <c r="EL160" s="6"/>
      <c r="EM160" s="6"/>
      <c r="EN160" s="7">
        <f>ROUND(256.72,2)</f>
        <v>256.72000000000003</v>
      </c>
      <c r="EO160" s="6"/>
      <c r="EP160" s="6"/>
      <c r="EQ160" s="6"/>
      <c r="ER160" s="6"/>
      <c r="ES160" s="6"/>
      <c r="ET160" s="6"/>
      <c r="EU160" s="6"/>
      <c r="EV160" s="7">
        <f>ROUND(500,2)</f>
        <v>500</v>
      </c>
      <c r="EW160" s="6"/>
      <c r="EX160" s="6"/>
      <c r="EY160" s="6"/>
      <c r="EZ160" s="6"/>
      <c r="FA160" s="6"/>
      <c r="FB160" s="7">
        <f>ROUND(328.92,2)</f>
        <v>328.92</v>
      </c>
      <c r="FC160" s="6"/>
      <c r="FD160" s="7">
        <f>ROUND(330.5,2)</f>
        <v>330.5</v>
      </c>
      <c r="FE160" s="6"/>
      <c r="FF160" s="6"/>
      <c r="FG160" s="6"/>
      <c r="FH160" s="6"/>
      <c r="FI160" s="6"/>
      <c r="FJ160" s="7">
        <f>ROUND(975,2)</f>
        <v>975</v>
      </c>
      <c r="FK160" s="6"/>
      <c r="FL160" s="6"/>
      <c r="FM160" s="6"/>
      <c r="FN160" s="6"/>
      <c r="FO160" s="6"/>
      <c r="FP160" s="6"/>
      <c r="FQ160" s="6"/>
      <c r="FR160" s="6"/>
      <c r="FS160" s="6"/>
      <c r="FT160" s="7">
        <f>ROUND(3000,2)</f>
        <v>3000</v>
      </c>
      <c r="FU160" s="6"/>
      <c r="FV160" s="6"/>
      <c r="FW160" s="6"/>
      <c r="FX160" s="6"/>
      <c r="FY160" s="7">
        <f>ROUND(80758.54,2)</f>
        <v>80758.539999999994</v>
      </c>
    </row>
    <row r="161" spans="1:181" ht="26.4" x14ac:dyDescent="0.3">
      <c r="A161" s="4" t="s">
        <v>540</v>
      </c>
      <c r="B161" s="5"/>
      <c r="C161" s="5" t="s">
        <v>476</v>
      </c>
      <c r="D161" s="5" t="s">
        <v>541</v>
      </c>
      <c r="E161" s="5" t="s">
        <v>542</v>
      </c>
      <c r="F161" s="5" t="s">
        <v>0</v>
      </c>
      <c r="G161" s="5" t="s">
        <v>543</v>
      </c>
      <c r="H161" s="8">
        <f>ROUND(1470.22,2)</f>
        <v>1470.22</v>
      </c>
      <c r="I161" s="7">
        <f>ROUND(1470.22,2)</f>
        <v>1470.22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7">
        <f>ROUND(40,2)</f>
        <v>40</v>
      </c>
      <c r="CF161" s="6"/>
      <c r="CG161" s="6"/>
      <c r="CH161" s="7">
        <f>ROUND(0,2)</f>
        <v>0</v>
      </c>
      <c r="CI161" s="6"/>
      <c r="CJ161" s="6"/>
      <c r="CK161" s="6"/>
      <c r="CL161" s="6"/>
      <c r="CM161" s="6"/>
      <c r="CN161" s="6"/>
      <c r="CO161" s="6"/>
      <c r="CP161" s="6"/>
      <c r="CQ161" s="7">
        <f>ROUND(40,2)</f>
        <v>40</v>
      </c>
      <c r="CR161" s="7">
        <f>ROUND(0,2)</f>
        <v>0</v>
      </c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7">
        <f>ROUND(1470.22,2)</f>
        <v>1470.22</v>
      </c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7">
        <f>ROUND(1470.22,2)</f>
        <v>1470.22</v>
      </c>
    </row>
    <row r="162" spans="1:181" x14ac:dyDescent="0.3">
      <c r="A162" s="4" t="s">
        <v>544</v>
      </c>
      <c r="B162" s="5" t="s">
        <v>1029</v>
      </c>
      <c r="C162" s="5" t="s">
        <v>181</v>
      </c>
      <c r="D162" s="5" t="s">
        <v>545</v>
      </c>
      <c r="E162" s="5" t="s">
        <v>0</v>
      </c>
      <c r="F162" s="5" t="s">
        <v>0</v>
      </c>
      <c r="G162" s="5" t="s">
        <v>183</v>
      </c>
      <c r="H162" s="8">
        <v>33.380000000000003</v>
      </c>
      <c r="I162" s="7">
        <f>ROUND(77642.2899999999,2)</f>
        <v>77642.289999999994</v>
      </c>
      <c r="J162" s="6"/>
      <c r="K162" s="6"/>
      <c r="L162" s="6"/>
      <c r="M162" s="6"/>
      <c r="N162" s="7">
        <f>ROUND(1789.67,2)</f>
        <v>1789.67</v>
      </c>
      <c r="O162" s="6"/>
      <c r="P162" s="6"/>
      <c r="Q162" s="7">
        <f>ROUND(137.299999999999,2)</f>
        <v>137.30000000000001</v>
      </c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7">
        <f>ROUND(68,2)</f>
        <v>68</v>
      </c>
      <c r="AV162" s="6"/>
      <c r="AW162" s="7">
        <f>ROUND(32,2)</f>
        <v>32</v>
      </c>
      <c r="AX162" s="6"/>
      <c r="AY162" s="7">
        <f>ROUND(112,2)</f>
        <v>112</v>
      </c>
      <c r="AZ162" s="6"/>
      <c r="BA162" s="6"/>
      <c r="BB162" s="7">
        <f>ROUND(8,2)</f>
        <v>8</v>
      </c>
      <c r="BC162" s="6"/>
      <c r="BD162" s="7">
        <f>ROUND(8,2)</f>
        <v>8</v>
      </c>
      <c r="BE162" s="7">
        <f>ROUND(1.58,2)</f>
        <v>1.58</v>
      </c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7">
        <f>ROUND(24,2)</f>
        <v>24</v>
      </c>
      <c r="BY162" s="7">
        <f>ROUND(8,2)</f>
        <v>8</v>
      </c>
      <c r="BZ162" s="7">
        <f>ROUND(80,2)</f>
        <v>80</v>
      </c>
      <c r="CA162" s="7">
        <f>ROUND(8,2)</f>
        <v>8</v>
      </c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7">
        <f>ROUND(2276.55,2)</f>
        <v>2276.5500000000002</v>
      </c>
      <c r="CR162" s="6"/>
      <c r="CS162" s="6"/>
      <c r="CT162" s="6"/>
      <c r="CU162" s="6"/>
      <c r="CV162" s="7">
        <f>ROUND(58654.59,2)</f>
        <v>58654.59</v>
      </c>
      <c r="CW162" s="6"/>
      <c r="CX162" s="6"/>
      <c r="CY162" s="7">
        <f>ROUND(6825.44,2)</f>
        <v>6825.44</v>
      </c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7">
        <f>ROUND(2215.48,2)</f>
        <v>2215.48</v>
      </c>
      <c r="EE162" s="6"/>
      <c r="EF162" s="7">
        <f>ROUND(1034.56,2)</f>
        <v>1034.56</v>
      </c>
      <c r="EG162" s="6"/>
      <c r="EH162" s="7">
        <f>ROUND(3647.84,2)</f>
        <v>3647.84</v>
      </c>
      <c r="EI162" s="6"/>
      <c r="EJ162" s="6"/>
      <c r="EK162" s="7">
        <f>ROUND(256.72,2)</f>
        <v>256.72000000000003</v>
      </c>
      <c r="EL162" s="6"/>
      <c r="EM162" s="6"/>
      <c r="EN162" s="7">
        <f>ROUND(256.72,2)</f>
        <v>256.72000000000003</v>
      </c>
      <c r="EO162" s="7">
        <f>ROUND(50.94,2)</f>
        <v>50.94</v>
      </c>
      <c r="EP162" s="6"/>
      <c r="EQ162" s="6"/>
      <c r="ER162" s="6"/>
      <c r="ES162" s="6"/>
      <c r="ET162" s="6"/>
      <c r="EU162" s="6"/>
      <c r="EV162" s="7">
        <f>ROUND(500,2)</f>
        <v>500</v>
      </c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7">
        <f>ROUND(1200,2)</f>
        <v>1200</v>
      </c>
      <c r="FK162" s="6"/>
      <c r="FL162" s="6"/>
      <c r="FM162" s="6"/>
      <c r="FN162" s="6"/>
      <c r="FO162" s="6"/>
      <c r="FP162" s="6"/>
      <c r="FQ162" s="6"/>
      <c r="FR162" s="6"/>
      <c r="FS162" s="6"/>
      <c r="FT162" s="7">
        <f>ROUND(3000,2)</f>
        <v>3000</v>
      </c>
      <c r="FU162" s="6"/>
      <c r="FV162" s="6"/>
      <c r="FW162" s="6"/>
      <c r="FX162" s="6"/>
      <c r="FY162" s="7">
        <f>ROUND(77642.2899999999,2)</f>
        <v>77642.289999999994</v>
      </c>
    </row>
    <row r="163" spans="1:181" x14ac:dyDescent="0.3">
      <c r="A163" s="4" t="s">
        <v>546</v>
      </c>
      <c r="B163" s="5"/>
      <c r="C163" s="5" t="s">
        <v>294</v>
      </c>
      <c r="D163" s="5" t="s">
        <v>547</v>
      </c>
      <c r="E163" s="5" t="s">
        <v>0</v>
      </c>
      <c r="F163" s="5" t="s">
        <v>0</v>
      </c>
      <c r="G163" s="5" t="s">
        <v>474</v>
      </c>
      <c r="H163" s="8">
        <f>ROUND(1387.33,2)</f>
        <v>1387.33</v>
      </c>
      <c r="I163" s="7">
        <f>ROUND(98885.53,2)</f>
        <v>98885.53</v>
      </c>
      <c r="J163" s="7">
        <f>ROUND(1688,2)</f>
        <v>1688</v>
      </c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7">
        <f>ROUND(-16,2)</f>
        <v>-16</v>
      </c>
      <c r="AC163" s="7">
        <f>ROUND(11,2)</f>
        <v>11</v>
      </c>
      <c r="AD163" s="7">
        <f>ROUND(47,2)</f>
        <v>47</v>
      </c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7">
        <f>ROUND(32,2)</f>
        <v>32</v>
      </c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7">
        <f>ROUND(56,2)</f>
        <v>56</v>
      </c>
      <c r="CI163" s="7">
        <f>ROUND(32,2)</f>
        <v>32</v>
      </c>
      <c r="CJ163" s="6"/>
      <c r="CK163" s="6"/>
      <c r="CL163" s="6"/>
      <c r="CM163" s="6"/>
      <c r="CN163" s="7">
        <f>ROUND(136,2)</f>
        <v>136</v>
      </c>
      <c r="CO163" s="6"/>
      <c r="CP163" s="7">
        <f>ROUND(8,2)</f>
        <v>8</v>
      </c>
      <c r="CQ163" s="7">
        <f>ROUND(1994,2)</f>
        <v>1994</v>
      </c>
      <c r="CR163" s="7">
        <f>ROUND(71031.28,2)</f>
        <v>71031.28</v>
      </c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7">
        <f>ROUND(-554.94,2)</f>
        <v>-554.94000000000005</v>
      </c>
      <c r="DL163" s="7">
        <f>ROUND(4125,2)</f>
        <v>4125</v>
      </c>
      <c r="DM163" s="7">
        <f>ROUND(17625,2)</f>
        <v>17625</v>
      </c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7">
        <f>ROUND(554.94,2)</f>
        <v>554.94000000000005</v>
      </c>
      <c r="FH163" s="6"/>
      <c r="FI163" s="6"/>
      <c r="FJ163" s="7">
        <f>ROUND(3329.6,2)</f>
        <v>3329.6</v>
      </c>
      <c r="FK163" s="6"/>
      <c r="FL163" s="6"/>
      <c r="FM163" s="6"/>
      <c r="FN163" s="7">
        <f>ROUND(832.41,2)</f>
        <v>832.41</v>
      </c>
      <c r="FO163" s="6"/>
      <c r="FP163" s="6"/>
      <c r="FQ163" s="6"/>
      <c r="FR163" s="6"/>
      <c r="FS163" s="6"/>
      <c r="FT163" s="6"/>
      <c r="FU163" s="6"/>
      <c r="FV163" s="7">
        <f>ROUND(1664.8,2)</f>
        <v>1664.8</v>
      </c>
      <c r="FW163" s="6"/>
      <c r="FX163" s="7">
        <f>ROUND(277.44,2)</f>
        <v>277.44</v>
      </c>
      <c r="FY163" s="7">
        <f>ROUND(98885.53,2)</f>
        <v>98885.53</v>
      </c>
    </row>
    <row r="164" spans="1:181" x14ac:dyDescent="0.3">
      <c r="A164" s="4" t="s">
        <v>548</v>
      </c>
      <c r="B164" s="5" t="s">
        <v>1029</v>
      </c>
      <c r="C164" s="5" t="s">
        <v>181</v>
      </c>
      <c r="D164" s="5" t="s">
        <v>424</v>
      </c>
      <c r="E164" s="5" t="s">
        <v>0</v>
      </c>
      <c r="F164" s="5" t="s">
        <v>0</v>
      </c>
      <c r="G164" s="5" t="s">
        <v>183</v>
      </c>
      <c r="H164" s="9">
        <v>31.71</v>
      </c>
      <c r="I164" s="7">
        <f>ROUND(47721.34,2)</f>
        <v>47721.34</v>
      </c>
      <c r="J164" s="6"/>
      <c r="K164" s="6"/>
      <c r="L164" s="6"/>
      <c r="M164" s="6"/>
      <c r="N164" s="7">
        <f>ROUND(1475.11,2)</f>
        <v>1475.11</v>
      </c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7">
        <f>ROUND(35,2)</f>
        <v>35</v>
      </c>
      <c r="AV164" s="6"/>
      <c r="AW164" s="6"/>
      <c r="AX164" s="6"/>
      <c r="AY164" s="7">
        <f>ROUND(5,2)</f>
        <v>5</v>
      </c>
      <c r="AZ164" s="6"/>
      <c r="BA164" s="6"/>
      <c r="BB164" s="7">
        <f>ROUND(10,2)</f>
        <v>10</v>
      </c>
      <c r="BC164" s="6"/>
      <c r="BD164" s="7">
        <f>ROUND(8,2)</f>
        <v>8</v>
      </c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7">
        <f>ROUND(5,2)</f>
        <v>5</v>
      </c>
      <c r="BX164" s="6"/>
      <c r="BY164" s="6"/>
      <c r="BZ164" s="6"/>
      <c r="CA164" s="7">
        <f>ROUND(5,2)</f>
        <v>5</v>
      </c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7">
        <f>ROUND(10,2)</f>
        <v>10</v>
      </c>
      <c r="CQ164" s="7">
        <f>ROUND(1553.11,2)</f>
        <v>1553.11</v>
      </c>
      <c r="CR164" s="6"/>
      <c r="CS164" s="6"/>
      <c r="CT164" s="6"/>
      <c r="CU164" s="6"/>
      <c r="CV164" s="7">
        <f>ROUND(43405.3999999999,2)</f>
        <v>43405.4</v>
      </c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7">
        <f>ROUND(1025.9,2)</f>
        <v>1025.9000000000001</v>
      </c>
      <c r="EE164" s="6"/>
      <c r="EF164" s="6"/>
      <c r="EG164" s="6"/>
      <c r="EH164" s="7">
        <f>ROUND(144.4,2)</f>
        <v>144.4</v>
      </c>
      <c r="EI164" s="6"/>
      <c r="EJ164" s="6"/>
      <c r="EK164" s="7">
        <f>ROUND(297.5,2)</f>
        <v>297.5</v>
      </c>
      <c r="EL164" s="6"/>
      <c r="EM164" s="6"/>
      <c r="EN164" s="7">
        <f>ROUND(231.04,2)</f>
        <v>231.04</v>
      </c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7">
        <f>ROUND(800,2)</f>
        <v>800</v>
      </c>
      <c r="FK164" s="6"/>
      <c r="FL164" s="6"/>
      <c r="FM164" s="6"/>
      <c r="FN164" s="6"/>
      <c r="FO164" s="6"/>
      <c r="FP164" s="6"/>
      <c r="FQ164" s="6"/>
      <c r="FR164" s="6"/>
      <c r="FS164" s="6"/>
      <c r="FT164" s="7">
        <f>ROUND(1500,2)</f>
        <v>1500</v>
      </c>
      <c r="FU164" s="6"/>
      <c r="FV164" s="6"/>
      <c r="FW164" s="6"/>
      <c r="FX164" s="7">
        <f>ROUND(317.1,2)</f>
        <v>317.10000000000002</v>
      </c>
      <c r="FY164" s="7">
        <f>ROUND(47721.34,2)</f>
        <v>47721.34</v>
      </c>
    </row>
    <row r="165" spans="1:181" x14ac:dyDescent="0.3">
      <c r="A165" s="4" t="s">
        <v>549</v>
      </c>
      <c r="B165" s="5" t="s">
        <v>1029</v>
      </c>
      <c r="C165" s="5" t="s">
        <v>181</v>
      </c>
      <c r="D165" s="5" t="s">
        <v>550</v>
      </c>
      <c r="E165" s="5" t="s">
        <v>0</v>
      </c>
      <c r="F165" s="5" t="s">
        <v>0</v>
      </c>
      <c r="G165" s="5" t="s">
        <v>183</v>
      </c>
      <c r="H165" s="8">
        <v>33.380000000000003</v>
      </c>
      <c r="I165" s="7">
        <f>ROUND(61767.77,2)</f>
        <v>61767.77</v>
      </c>
      <c r="J165" s="6"/>
      <c r="K165" s="6"/>
      <c r="L165" s="6"/>
      <c r="M165" s="6"/>
      <c r="N165" s="7">
        <f>ROUND(1346.68,2)</f>
        <v>1346.68</v>
      </c>
      <c r="O165" s="6"/>
      <c r="P165" s="6"/>
      <c r="Q165" s="7">
        <f>ROUND(39.36,2)</f>
        <v>39.36</v>
      </c>
      <c r="R165" s="6"/>
      <c r="S165" s="6"/>
      <c r="T165" s="6"/>
      <c r="U165" s="6"/>
      <c r="V165" s="6"/>
      <c r="W165" s="7">
        <f>ROUND(7.83,2)</f>
        <v>7.83</v>
      </c>
      <c r="X165" s="6"/>
      <c r="Y165" s="6"/>
      <c r="Z165" s="6"/>
      <c r="AA165" s="6"/>
      <c r="AB165" s="6"/>
      <c r="AC165" s="6"/>
      <c r="AD165" s="6"/>
      <c r="AE165" s="7">
        <f>ROUND(80.08,2)</f>
        <v>80.08</v>
      </c>
      <c r="AF165" s="6"/>
      <c r="AG165" s="7">
        <f>ROUND(28.17,2)</f>
        <v>28.17</v>
      </c>
      <c r="AH165" s="6"/>
      <c r="AI165" s="6"/>
      <c r="AJ165" s="6"/>
      <c r="AK165" s="6"/>
      <c r="AL165" s="6"/>
      <c r="AM165" s="6"/>
      <c r="AN165" s="6"/>
      <c r="AO165" s="6"/>
      <c r="AP165" s="7">
        <f>ROUND(10,2)</f>
        <v>10</v>
      </c>
      <c r="AQ165" s="6"/>
      <c r="AR165" s="7">
        <f>ROUND(5,2)</f>
        <v>5</v>
      </c>
      <c r="AS165" s="6"/>
      <c r="AT165" s="6"/>
      <c r="AU165" s="7">
        <f>ROUND(70,2)</f>
        <v>70</v>
      </c>
      <c r="AV165" s="6"/>
      <c r="AW165" s="7">
        <f>ROUND(48,2)</f>
        <v>48</v>
      </c>
      <c r="AX165" s="6"/>
      <c r="AY165" s="7">
        <f>ROUND(48,2)</f>
        <v>48</v>
      </c>
      <c r="AZ165" s="6"/>
      <c r="BA165" s="6"/>
      <c r="BB165" s="7">
        <f>ROUND(32,2)</f>
        <v>32</v>
      </c>
      <c r="BC165" s="6"/>
      <c r="BD165" s="7">
        <f>ROUND(8,2)</f>
        <v>8</v>
      </c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7">
        <f>ROUND(336,2)</f>
        <v>336</v>
      </c>
      <c r="BT165" s="6"/>
      <c r="BU165" s="7">
        <f>ROUND(40,2)</f>
        <v>40</v>
      </c>
      <c r="BV165" s="6"/>
      <c r="BW165" s="6"/>
      <c r="BX165" s="6"/>
      <c r="BY165" s="7">
        <f>ROUND(8,2)</f>
        <v>8</v>
      </c>
      <c r="BZ165" s="6"/>
      <c r="CA165" s="7">
        <f>ROUND(136,2)</f>
        <v>136</v>
      </c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7">
        <f>ROUND(16,2)</f>
        <v>16</v>
      </c>
      <c r="CQ165" s="7">
        <f>ROUND(2259.12,2)</f>
        <v>2259.12</v>
      </c>
      <c r="CR165" s="6"/>
      <c r="CS165" s="6"/>
      <c r="CT165" s="6"/>
      <c r="CU165" s="6"/>
      <c r="CV165" s="7">
        <f>ROUND(43871.56,2)</f>
        <v>43871.56</v>
      </c>
      <c r="CW165" s="6"/>
      <c r="CX165" s="6"/>
      <c r="CY165" s="7">
        <f>ROUND(1937.04,2)</f>
        <v>1937.04</v>
      </c>
      <c r="CZ165" s="6"/>
      <c r="DA165" s="6"/>
      <c r="DB165" s="6"/>
      <c r="DC165" s="6"/>
      <c r="DD165" s="6"/>
      <c r="DE165" s="7">
        <f>ROUND(388.17,2)</f>
        <v>388.17</v>
      </c>
      <c r="DF165" s="6"/>
      <c r="DG165" s="6"/>
      <c r="DH165" s="6"/>
      <c r="DI165" s="6"/>
      <c r="DJ165" s="6"/>
      <c r="DK165" s="6"/>
      <c r="DL165" s="6"/>
      <c r="DM165" s="6"/>
      <c r="DN165" s="7">
        <f>ROUND(2625.49,2)</f>
        <v>2625.49</v>
      </c>
      <c r="DO165" s="6"/>
      <c r="DP165" s="7">
        <f>ROUND(1377.11,2)</f>
        <v>1377.11</v>
      </c>
      <c r="DQ165" s="6"/>
      <c r="DR165" s="6"/>
      <c r="DS165" s="6"/>
      <c r="DT165" s="6"/>
      <c r="DU165" s="6"/>
      <c r="DV165" s="6"/>
      <c r="DW165" s="6"/>
      <c r="DX165" s="6"/>
      <c r="DY165" s="7">
        <f>ROUND(333.8,2)</f>
        <v>333.8</v>
      </c>
      <c r="DZ165" s="6"/>
      <c r="EA165" s="7">
        <f>ROUND(247.88,2)</f>
        <v>247.88</v>
      </c>
      <c r="EB165" s="6"/>
      <c r="EC165" s="6"/>
      <c r="ED165" s="7">
        <f>ROUND(2282.24,2)</f>
        <v>2282.2399999999998</v>
      </c>
      <c r="EE165" s="6"/>
      <c r="EF165" s="7">
        <f>ROUND(1568.64,2)</f>
        <v>1568.64</v>
      </c>
      <c r="EG165" s="6"/>
      <c r="EH165" s="7">
        <f>ROUND(1540.32,2)</f>
        <v>1540.32</v>
      </c>
      <c r="EI165" s="6"/>
      <c r="EJ165" s="6"/>
      <c r="EK165" s="7">
        <f>ROUND(1034.56,2)</f>
        <v>1034.56</v>
      </c>
      <c r="EL165" s="6"/>
      <c r="EM165" s="6"/>
      <c r="EN165" s="7">
        <f>ROUND(256.72,2)</f>
        <v>256.72000000000003</v>
      </c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7">
        <f>ROUND(770.16,2)</f>
        <v>770.16</v>
      </c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7">
        <f>ROUND(3000,2)</f>
        <v>3000</v>
      </c>
      <c r="FU165" s="6"/>
      <c r="FV165" s="6"/>
      <c r="FW165" s="6"/>
      <c r="FX165" s="7">
        <f>ROUND(534.08,2)</f>
        <v>534.08000000000004</v>
      </c>
      <c r="FY165" s="7">
        <f>ROUND(61767.77,2)</f>
        <v>61767.77</v>
      </c>
    </row>
    <row r="166" spans="1:181" ht="26.4" x14ac:dyDescent="0.3">
      <c r="A166" s="4" t="s">
        <v>551</v>
      </c>
      <c r="B166" s="5"/>
      <c r="C166" s="5" t="s">
        <v>244</v>
      </c>
      <c r="D166" s="5" t="s">
        <v>552</v>
      </c>
      <c r="E166" s="5" t="s">
        <v>0</v>
      </c>
      <c r="F166" s="5" t="s">
        <v>0</v>
      </c>
      <c r="G166" s="5" t="s">
        <v>247</v>
      </c>
      <c r="H166" s="8">
        <f>ROUND(19.673,2)</f>
        <v>19.670000000000002</v>
      </c>
      <c r="I166" s="7">
        <f>ROUND(46532.9299999999,2)</f>
        <v>46532.93</v>
      </c>
      <c r="J166" s="7">
        <f>ROUND(1990.25,2)</f>
        <v>1990.25</v>
      </c>
      <c r="K166" s="7">
        <f>ROUND(71.25,2)</f>
        <v>71.25</v>
      </c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7">
        <f>ROUND(32,2)</f>
        <v>32</v>
      </c>
      <c r="BX166" s="6"/>
      <c r="BY166" s="6"/>
      <c r="BZ166" s="6"/>
      <c r="CA166" s="6"/>
      <c r="CB166" s="6"/>
      <c r="CC166" s="6"/>
      <c r="CD166" s="6"/>
      <c r="CE166" s="6"/>
      <c r="CF166" s="7">
        <f>ROUND(24,2)</f>
        <v>24</v>
      </c>
      <c r="CG166" s="7">
        <f>ROUND(27,2)</f>
        <v>27</v>
      </c>
      <c r="CH166" s="7">
        <f>ROUND(16,2)</f>
        <v>16</v>
      </c>
      <c r="CI166" s="7">
        <f>ROUND(4,2)</f>
        <v>4</v>
      </c>
      <c r="CJ166" s="7">
        <f>ROUND(25,2)</f>
        <v>25</v>
      </c>
      <c r="CK166" s="6"/>
      <c r="CL166" s="7">
        <f>ROUND(19,2)</f>
        <v>19</v>
      </c>
      <c r="CM166" s="6"/>
      <c r="CN166" s="6"/>
      <c r="CO166" s="6"/>
      <c r="CP166" s="6"/>
      <c r="CQ166" s="7">
        <f>ROUND(2208.5,2)</f>
        <v>2208.5</v>
      </c>
      <c r="CR166" s="7">
        <f>ROUND(39154.2099999999,2)</f>
        <v>39154.21</v>
      </c>
      <c r="CS166" s="7">
        <f>ROUND(2102.58,2)</f>
        <v>2102.58</v>
      </c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7">
        <f>ROUND(629.53,2)</f>
        <v>629.53</v>
      </c>
      <c r="FH166" s="6"/>
      <c r="FI166" s="6"/>
      <c r="FJ166" s="7">
        <f>ROUND(2138.31999999999,2)</f>
        <v>2138.3200000000002</v>
      </c>
      <c r="FK166" s="6"/>
      <c r="FL166" s="7">
        <f>ROUND(472.15,2)</f>
        <v>472.15</v>
      </c>
      <c r="FM166" s="7">
        <f>ROUND(531.16,2)</f>
        <v>531.16</v>
      </c>
      <c r="FN166" s="7">
        <f>ROUND(314.76,2)</f>
        <v>314.76</v>
      </c>
      <c r="FO166" s="7">
        <f>ROUND(78.69,2)</f>
        <v>78.69</v>
      </c>
      <c r="FP166" s="7">
        <f>ROUND(737.75,2)</f>
        <v>737.75</v>
      </c>
      <c r="FQ166" s="6"/>
      <c r="FR166" s="6"/>
      <c r="FS166" s="7">
        <f>ROUND(373.78,2)</f>
        <v>373.78</v>
      </c>
      <c r="FT166" s="6"/>
      <c r="FU166" s="6"/>
      <c r="FV166" s="6"/>
      <c r="FW166" s="6"/>
      <c r="FX166" s="6"/>
      <c r="FY166" s="7">
        <f>ROUND(46532.9299999999,2)</f>
        <v>46532.93</v>
      </c>
    </row>
    <row r="167" spans="1:181" x14ac:dyDescent="0.3">
      <c r="A167" s="4" t="s">
        <v>553</v>
      </c>
      <c r="B167" s="5" t="s">
        <v>1029</v>
      </c>
      <c r="C167" s="5" t="s">
        <v>181</v>
      </c>
      <c r="D167" s="5" t="s">
        <v>554</v>
      </c>
      <c r="E167" s="5" t="s">
        <v>0</v>
      </c>
      <c r="F167" s="5" t="s">
        <v>0</v>
      </c>
      <c r="G167" s="5" t="s">
        <v>183</v>
      </c>
      <c r="H167" s="9">
        <v>30.04</v>
      </c>
      <c r="I167" s="7">
        <f>ROUND(41329.45,2)</f>
        <v>41329.449999999997</v>
      </c>
      <c r="J167" s="6"/>
      <c r="K167" s="6"/>
      <c r="L167" s="6"/>
      <c r="M167" s="6"/>
      <c r="N167" s="7">
        <f>ROUND(1181.98999999999,2)</f>
        <v>1181.99</v>
      </c>
      <c r="O167" s="6"/>
      <c r="P167" s="6"/>
      <c r="Q167" s="7">
        <f>ROUND(0.67,2)</f>
        <v>0.67</v>
      </c>
      <c r="R167" s="6"/>
      <c r="S167" s="6"/>
      <c r="T167" s="6"/>
      <c r="U167" s="6"/>
      <c r="V167" s="7">
        <f>ROUND(1.58,2)</f>
        <v>1.58</v>
      </c>
      <c r="W167" s="6"/>
      <c r="X167" s="7">
        <f>ROUND(0.42,2)</f>
        <v>0.42</v>
      </c>
      <c r="Y167" s="6"/>
      <c r="Z167" s="6"/>
      <c r="AA167" s="6"/>
      <c r="AB167" s="6"/>
      <c r="AC167" s="6"/>
      <c r="AD167" s="6"/>
      <c r="AE167" s="7">
        <f>ROUND(60,2)</f>
        <v>60</v>
      </c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7">
        <f>ROUND(25.08,2)</f>
        <v>25.08</v>
      </c>
      <c r="AQ167" s="6"/>
      <c r="AR167" s="6"/>
      <c r="AS167" s="6"/>
      <c r="AT167" s="6"/>
      <c r="AU167" s="7">
        <f>ROUND(40,2)</f>
        <v>40</v>
      </c>
      <c r="AV167" s="6"/>
      <c r="AW167" s="7">
        <f>ROUND(5,2)</f>
        <v>5</v>
      </c>
      <c r="AX167" s="6"/>
      <c r="AY167" s="7">
        <f>ROUND(15,2)</f>
        <v>15</v>
      </c>
      <c r="AZ167" s="6"/>
      <c r="BA167" s="6"/>
      <c r="BB167" s="6"/>
      <c r="BC167" s="6"/>
      <c r="BD167" s="7">
        <f>ROUND(158,2)</f>
        <v>158</v>
      </c>
      <c r="BE167" s="6"/>
      <c r="BF167" s="7">
        <f>ROUND(14.93,2)</f>
        <v>14.93</v>
      </c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7">
        <f>ROUND(1.67,2)</f>
        <v>1.67</v>
      </c>
      <c r="BT167" s="7">
        <f>ROUND(1.10999999999999,2)</f>
        <v>1.1100000000000001</v>
      </c>
      <c r="BU167" s="6"/>
      <c r="BV167" s="6"/>
      <c r="BW167" s="6"/>
      <c r="BX167" s="6"/>
      <c r="BY167" s="7">
        <f>ROUND(20,2)</f>
        <v>20</v>
      </c>
      <c r="BZ167" s="6"/>
      <c r="CA167" s="7">
        <f>ROUND(40,2)</f>
        <v>40</v>
      </c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7">
        <f>ROUND(1565.44999999999,2)</f>
        <v>1565.45</v>
      </c>
      <c r="CR167" s="6"/>
      <c r="CS167" s="6"/>
      <c r="CT167" s="6"/>
      <c r="CU167" s="6"/>
      <c r="CV167" s="7">
        <f>ROUND(31696.07,2)</f>
        <v>31696.07</v>
      </c>
      <c r="CW167" s="6"/>
      <c r="CX167" s="6"/>
      <c r="CY167" s="7">
        <f>ROUND(17.59,2)</f>
        <v>17.59</v>
      </c>
      <c r="CZ167" s="6"/>
      <c r="DA167" s="6"/>
      <c r="DB167" s="6"/>
      <c r="DC167" s="6"/>
      <c r="DD167" s="7">
        <f>ROUND(44.38,2)</f>
        <v>44.38</v>
      </c>
      <c r="DE167" s="6"/>
      <c r="DF167" s="7">
        <f>ROUND(11.8,2)</f>
        <v>11.8</v>
      </c>
      <c r="DG167" s="6"/>
      <c r="DH167" s="6"/>
      <c r="DI167" s="6"/>
      <c r="DJ167" s="6"/>
      <c r="DK167" s="6"/>
      <c r="DL167" s="6"/>
      <c r="DM167" s="6"/>
      <c r="DN167" s="7">
        <f>ROUND(1622.34,2)</f>
        <v>1622.34</v>
      </c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7">
        <f>ROUND(720.71,2)</f>
        <v>720.71</v>
      </c>
      <c r="DZ167" s="6"/>
      <c r="EA167" s="6"/>
      <c r="EB167" s="6"/>
      <c r="EC167" s="6"/>
      <c r="ED167" s="7">
        <f>ROUND(1019.59999999999,2)</f>
        <v>1019.6</v>
      </c>
      <c r="EE167" s="6"/>
      <c r="EF167" s="7">
        <f>ROUND(140.45,2)</f>
        <v>140.44999999999999</v>
      </c>
      <c r="EG167" s="6"/>
      <c r="EH167" s="7">
        <f>ROUND(421.349999999999,2)</f>
        <v>421.35</v>
      </c>
      <c r="EI167" s="6"/>
      <c r="EJ167" s="6"/>
      <c r="EK167" s="6"/>
      <c r="EL167" s="6"/>
      <c r="EM167" s="6"/>
      <c r="EN167" s="7">
        <f>ROUND(2843.24,2)</f>
        <v>2843.24</v>
      </c>
      <c r="EO167" s="6"/>
      <c r="EP167" s="7">
        <f>ROUND(391.919999999999,2)</f>
        <v>391.92</v>
      </c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7">
        <f>ROUND(900,2)</f>
        <v>900</v>
      </c>
      <c r="FK167" s="6"/>
      <c r="FL167" s="6"/>
      <c r="FM167" s="6"/>
      <c r="FN167" s="6"/>
      <c r="FO167" s="6"/>
      <c r="FP167" s="6"/>
      <c r="FQ167" s="6"/>
      <c r="FR167" s="6"/>
      <c r="FS167" s="6"/>
      <c r="FT167" s="7">
        <f>ROUND(1500,2)</f>
        <v>1500</v>
      </c>
      <c r="FU167" s="6"/>
      <c r="FV167" s="6"/>
      <c r="FW167" s="6"/>
      <c r="FX167" s="6"/>
      <c r="FY167" s="7">
        <f>ROUND(41329.45,2)</f>
        <v>41329.449999999997</v>
      </c>
    </row>
    <row r="168" spans="1:181" ht="26.4" x14ac:dyDescent="0.3">
      <c r="A168" s="4" t="s">
        <v>555</v>
      </c>
      <c r="B168" s="5"/>
      <c r="C168" s="5" t="s">
        <v>311</v>
      </c>
      <c r="D168" s="5" t="s">
        <v>556</v>
      </c>
      <c r="E168" s="5" t="s">
        <v>557</v>
      </c>
      <c r="F168" s="5" t="s">
        <v>0</v>
      </c>
      <c r="G168" s="5" t="s">
        <v>312</v>
      </c>
      <c r="H168" s="8">
        <f>ROUND(18.5,2)</f>
        <v>18.5</v>
      </c>
      <c r="I168" s="7">
        <f>ROUND(18453.75,2)</f>
        <v>18453.75</v>
      </c>
      <c r="J168" s="7">
        <f>ROUND(904,2)</f>
        <v>904</v>
      </c>
      <c r="K168" s="7">
        <f>ROUND(17,2)</f>
        <v>17</v>
      </c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7">
        <f>ROUND(8,2)</f>
        <v>8</v>
      </c>
      <c r="CI168" s="7">
        <f>ROUND(8,2)</f>
        <v>8</v>
      </c>
      <c r="CJ168" s="7">
        <f>ROUND(8,2)</f>
        <v>8</v>
      </c>
      <c r="CK168" s="6"/>
      <c r="CL168" s="6"/>
      <c r="CM168" s="6"/>
      <c r="CN168" s="6"/>
      <c r="CO168" s="6"/>
      <c r="CP168" s="7">
        <f>ROUND(40,2)</f>
        <v>40</v>
      </c>
      <c r="CQ168" s="7">
        <f>ROUND(985,2)</f>
        <v>985</v>
      </c>
      <c r="CR168" s="7">
        <f>ROUND(16724,2)</f>
        <v>16724</v>
      </c>
      <c r="CS168" s="7">
        <f>ROUND(471.75,2)</f>
        <v>471.75</v>
      </c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7">
        <f>ROUND(148,2)</f>
        <v>148</v>
      </c>
      <c r="FO168" s="7">
        <f>ROUND(148,2)</f>
        <v>148</v>
      </c>
      <c r="FP168" s="7">
        <f>ROUND(222,2)</f>
        <v>222</v>
      </c>
      <c r="FQ168" s="6"/>
      <c r="FR168" s="6"/>
      <c r="FS168" s="6"/>
      <c r="FT168" s="6"/>
      <c r="FU168" s="6"/>
      <c r="FV168" s="6"/>
      <c r="FW168" s="6"/>
      <c r="FX168" s="7">
        <f>ROUND(740,2)</f>
        <v>740</v>
      </c>
      <c r="FY168" s="7">
        <f>ROUND(18453.75,2)</f>
        <v>18453.75</v>
      </c>
    </row>
    <row r="169" spans="1:181" ht="26.4" x14ac:dyDescent="0.3">
      <c r="A169" s="4" t="s">
        <v>558</v>
      </c>
      <c r="B169" s="5"/>
      <c r="C169" s="5" t="s">
        <v>360</v>
      </c>
      <c r="D169" s="5" t="s">
        <v>559</v>
      </c>
      <c r="E169" s="5" t="s">
        <v>0</v>
      </c>
      <c r="F169" s="5" t="s">
        <v>0</v>
      </c>
      <c r="G169" s="5" t="s">
        <v>560</v>
      </c>
      <c r="H169" s="8">
        <f>ROUND(2333.97,2)</f>
        <v>2333.9699999999998</v>
      </c>
      <c r="I169" s="7">
        <f>ROUND(129169.15,2)</f>
        <v>129169.15</v>
      </c>
      <c r="J169" s="7">
        <f>ROUND(1642,2)</f>
        <v>1642</v>
      </c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7">
        <f>ROUND(-16,2)</f>
        <v>-16</v>
      </c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7">
        <f>ROUND(8,2)</f>
        <v>8</v>
      </c>
      <c r="BX169" s="6"/>
      <c r="BY169" s="6"/>
      <c r="BZ169" s="6"/>
      <c r="CA169" s="6"/>
      <c r="CB169" s="6"/>
      <c r="CC169" s="6"/>
      <c r="CD169" s="6"/>
      <c r="CE169" s="6"/>
      <c r="CF169" s="6"/>
      <c r="CG169" s="7">
        <f>ROUND(12.5,2)</f>
        <v>12.5</v>
      </c>
      <c r="CH169" s="7">
        <f>ROUND(56,2)</f>
        <v>56</v>
      </c>
      <c r="CI169" s="7">
        <f>ROUND(32,2)</f>
        <v>32</v>
      </c>
      <c r="CJ169" s="6"/>
      <c r="CK169" s="6"/>
      <c r="CL169" s="6"/>
      <c r="CM169" s="6"/>
      <c r="CN169" s="7">
        <f>ROUND(144,2)</f>
        <v>144</v>
      </c>
      <c r="CO169" s="6"/>
      <c r="CP169" s="6"/>
      <c r="CQ169" s="7">
        <f>ROUND(1878.5,2)</f>
        <v>1878.5</v>
      </c>
      <c r="CR169" s="7">
        <f>ROUND(116815.21,2)</f>
        <v>116815.21</v>
      </c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7">
        <f>ROUND(-933.58,2)</f>
        <v>-933.58</v>
      </c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7">
        <f>ROUND(334,2)</f>
        <v>334</v>
      </c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7">
        <f>ROUND(466.79,2)</f>
        <v>466.79</v>
      </c>
      <c r="FH169" s="6"/>
      <c r="FI169" s="6"/>
      <c r="FJ169" s="7">
        <f>ROUND(5601.53,2)</f>
        <v>5601.53</v>
      </c>
      <c r="FK169" s="6"/>
      <c r="FL169" s="6"/>
      <c r="FM169" s="7">
        <f>ROUND(116.7,2)</f>
        <v>116.7</v>
      </c>
      <c r="FN169" s="7">
        <f>ROUND(1400.37,2)</f>
        <v>1400.37</v>
      </c>
      <c r="FO169" s="7">
        <f>ROUND(1400.38,2)</f>
        <v>1400.38</v>
      </c>
      <c r="FP169" s="6"/>
      <c r="FQ169" s="6"/>
      <c r="FR169" s="6"/>
      <c r="FS169" s="6"/>
      <c r="FT169" s="6"/>
      <c r="FU169" s="6"/>
      <c r="FV169" s="7">
        <f>ROUND(3967.75,2)</f>
        <v>3967.75</v>
      </c>
      <c r="FW169" s="6"/>
      <c r="FX169" s="6"/>
      <c r="FY169" s="7">
        <f>ROUND(129169.15,2)</f>
        <v>129169.15</v>
      </c>
    </row>
    <row r="170" spans="1:181" x14ac:dyDescent="0.3">
      <c r="A170" s="4" t="s">
        <v>561</v>
      </c>
      <c r="B170" s="5" t="s">
        <v>1029</v>
      </c>
      <c r="C170" s="5" t="s">
        <v>181</v>
      </c>
      <c r="D170" s="5" t="s">
        <v>471</v>
      </c>
      <c r="E170" s="5" t="s">
        <v>562</v>
      </c>
      <c r="F170" s="5" t="s">
        <v>0</v>
      </c>
      <c r="G170" s="5" t="s">
        <v>183</v>
      </c>
      <c r="H170" s="9">
        <v>28.09</v>
      </c>
      <c r="I170" s="7">
        <f>ROUND(26167.35,2)</f>
        <v>26167.35</v>
      </c>
      <c r="J170" s="6"/>
      <c r="K170" s="6"/>
      <c r="L170" s="6"/>
      <c r="M170" s="6"/>
      <c r="N170" s="7">
        <f>ROUND(692.98,2)</f>
        <v>692.98</v>
      </c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7">
        <f>ROUND(60.33,2)</f>
        <v>60.33</v>
      </c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7">
        <f>ROUND(20,2)</f>
        <v>20</v>
      </c>
      <c r="AV170" s="6"/>
      <c r="AW170" s="6"/>
      <c r="AX170" s="6"/>
      <c r="AY170" s="6"/>
      <c r="AZ170" s="6"/>
      <c r="BA170" s="6"/>
      <c r="BB170" s="6"/>
      <c r="BC170" s="6"/>
      <c r="BD170" s="7">
        <f>ROUND(309.9,2)</f>
        <v>309.89999999999998</v>
      </c>
      <c r="BE170" s="6"/>
      <c r="BF170" s="7">
        <f>ROUND(8.58,2)</f>
        <v>8.58</v>
      </c>
      <c r="BG170" s="6"/>
      <c r="BH170" s="6"/>
      <c r="BI170" s="7">
        <f>ROUND(18.1,2)</f>
        <v>18.100000000000001</v>
      </c>
      <c r="BJ170" s="7">
        <f>ROUND(11.57,2)</f>
        <v>11.57</v>
      </c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7">
        <f>ROUND(5,2)</f>
        <v>5</v>
      </c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7">
        <f>ROUND(1126.46,2)</f>
        <v>1126.46</v>
      </c>
      <c r="CR170" s="6"/>
      <c r="CS170" s="6"/>
      <c r="CT170" s="6"/>
      <c r="CU170" s="6"/>
      <c r="CV170" s="7">
        <f>ROUND(17498.03,2)</f>
        <v>17498.03</v>
      </c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7">
        <f>ROUND(1471.52,2)</f>
        <v>1471.52</v>
      </c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7">
        <f>ROUND(488.499999999999,2)</f>
        <v>488.5</v>
      </c>
      <c r="EE170" s="6"/>
      <c r="EF170" s="6"/>
      <c r="EG170" s="6"/>
      <c r="EH170" s="6"/>
      <c r="EI170" s="6"/>
      <c r="EJ170" s="6"/>
      <c r="EK170" s="6"/>
      <c r="EL170" s="6"/>
      <c r="EM170" s="6"/>
      <c r="EN170" s="7">
        <f>ROUND(5488.61,2)</f>
        <v>5488.61</v>
      </c>
      <c r="EO170" s="6"/>
      <c r="EP170" s="7">
        <f>ROUND(225.23,2)</f>
        <v>225.23</v>
      </c>
      <c r="EQ170" s="6"/>
      <c r="ER170" s="6"/>
      <c r="ES170" s="6"/>
      <c r="ET170" s="7">
        <f>ROUND(316.75,2)</f>
        <v>316.75</v>
      </c>
      <c r="EU170" s="7">
        <f>ROUND(303.71,2)</f>
        <v>303.70999999999998</v>
      </c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7">
        <f>ROUND(375,2)</f>
        <v>375</v>
      </c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7">
        <f>ROUND(26167.35,2)</f>
        <v>26167.35</v>
      </c>
    </row>
    <row r="171" spans="1:181" x14ac:dyDescent="0.3">
      <c r="A171" s="4" t="s">
        <v>563</v>
      </c>
      <c r="B171" s="5" t="s">
        <v>1029</v>
      </c>
      <c r="C171" s="5" t="s">
        <v>181</v>
      </c>
      <c r="D171" s="5" t="s">
        <v>303</v>
      </c>
      <c r="E171" s="5" t="s">
        <v>0</v>
      </c>
      <c r="F171" s="5" t="s">
        <v>0</v>
      </c>
      <c r="G171" s="5" t="s">
        <v>183</v>
      </c>
      <c r="H171" s="6">
        <v>33.380000000000003</v>
      </c>
      <c r="I171" s="7">
        <f>ROUND(60687.7499999999,2)</f>
        <v>60687.75</v>
      </c>
      <c r="J171" s="6"/>
      <c r="K171" s="6"/>
      <c r="L171" s="6"/>
      <c r="M171" s="6"/>
      <c r="N171" s="7">
        <f>ROUND(878.469999999999,2)</f>
        <v>878.47</v>
      </c>
      <c r="O171" s="6"/>
      <c r="P171" s="6"/>
      <c r="Q171" s="7">
        <f>ROUND(85.0799999999999,2)</f>
        <v>85.08</v>
      </c>
      <c r="R171" s="6"/>
      <c r="S171" s="6"/>
      <c r="T171" s="6"/>
      <c r="U171" s="6"/>
      <c r="V171" s="7">
        <f>ROUND(18.46,2)</f>
        <v>18.46</v>
      </c>
      <c r="W171" s="7">
        <f>ROUND(5.25,2)</f>
        <v>5.25</v>
      </c>
      <c r="X171" s="6"/>
      <c r="Y171" s="6"/>
      <c r="Z171" s="6"/>
      <c r="AA171" s="6"/>
      <c r="AB171" s="6"/>
      <c r="AC171" s="6"/>
      <c r="AD171" s="6"/>
      <c r="AE171" s="7">
        <f>ROUND(224.23,2)</f>
        <v>224.23</v>
      </c>
      <c r="AF171" s="6"/>
      <c r="AG171" s="7">
        <f>ROUND(51.8,2)</f>
        <v>51.8</v>
      </c>
      <c r="AH171" s="6"/>
      <c r="AI171" s="6"/>
      <c r="AJ171" s="6"/>
      <c r="AK171" s="6"/>
      <c r="AL171" s="6"/>
      <c r="AM171" s="6"/>
      <c r="AN171" s="6"/>
      <c r="AO171" s="6"/>
      <c r="AP171" s="7">
        <f>ROUND(278.24,2)</f>
        <v>278.24</v>
      </c>
      <c r="AQ171" s="6"/>
      <c r="AR171" s="7">
        <f>ROUND(40.56,2)</f>
        <v>40.56</v>
      </c>
      <c r="AS171" s="6"/>
      <c r="AT171" s="6"/>
      <c r="AU171" s="7">
        <f>ROUND(52,2)</f>
        <v>52</v>
      </c>
      <c r="AV171" s="6"/>
      <c r="AW171" s="7">
        <f>ROUND(32,2)</f>
        <v>32</v>
      </c>
      <c r="AX171" s="6"/>
      <c r="AY171" s="7">
        <f>ROUND(40,2)</f>
        <v>40</v>
      </c>
      <c r="AZ171" s="6"/>
      <c r="BA171" s="6"/>
      <c r="BB171" s="6"/>
      <c r="BC171" s="6"/>
      <c r="BD171" s="7">
        <f>ROUND(8,2)</f>
        <v>8</v>
      </c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7">
        <f>ROUND(16.33,2)</f>
        <v>16.329999999999998</v>
      </c>
      <c r="BR171" s="6"/>
      <c r="BS171" s="6"/>
      <c r="BT171" s="7">
        <f>ROUND(7.5,2)</f>
        <v>7.5</v>
      </c>
      <c r="BU171" s="6"/>
      <c r="BV171" s="6"/>
      <c r="BW171" s="7">
        <f>ROUND(16,2)</f>
        <v>16</v>
      </c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7">
        <f>ROUND(1753.92,2)</f>
        <v>1753.92</v>
      </c>
      <c r="CR171" s="6"/>
      <c r="CS171" s="6"/>
      <c r="CT171" s="6"/>
      <c r="CU171" s="6"/>
      <c r="CV171" s="7">
        <f>ROUND(27455.1599999999,2)</f>
        <v>27455.16</v>
      </c>
      <c r="CW171" s="6"/>
      <c r="CX171" s="6"/>
      <c r="CY171" s="7">
        <f>ROUND(4019.61999999999,2)</f>
        <v>4019.62</v>
      </c>
      <c r="CZ171" s="6"/>
      <c r="DA171" s="6"/>
      <c r="DB171" s="6"/>
      <c r="DC171" s="6"/>
      <c r="DD171" s="7">
        <f>ROUND(580.89,2)</f>
        <v>580.89</v>
      </c>
      <c r="DE171" s="7">
        <f>ROUND(261.24,2)</f>
        <v>261.24</v>
      </c>
      <c r="DF171" s="6"/>
      <c r="DG171" s="6"/>
      <c r="DH171" s="6"/>
      <c r="DI171" s="6"/>
      <c r="DJ171" s="6"/>
      <c r="DK171" s="6"/>
      <c r="DL171" s="6"/>
      <c r="DM171" s="6"/>
      <c r="DN171" s="7">
        <f>ROUND(6995.98,2)</f>
        <v>6995.98</v>
      </c>
      <c r="DO171" s="6"/>
      <c r="DP171" s="7">
        <f>ROUND(2451.82,2)</f>
        <v>2451.8200000000002</v>
      </c>
      <c r="DQ171" s="6"/>
      <c r="DR171" s="6"/>
      <c r="DS171" s="6"/>
      <c r="DT171" s="6"/>
      <c r="DU171" s="6"/>
      <c r="DV171" s="6"/>
      <c r="DW171" s="6"/>
      <c r="DX171" s="6"/>
      <c r="DY171" s="7">
        <f>ROUND(8493.05,2)</f>
        <v>8493.0499999999993</v>
      </c>
      <c r="DZ171" s="6"/>
      <c r="EA171" s="7">
        <f>ROUND(1953.19,2)</f>
        <v>1953.19</v>
      </c>
      <c r="EB171" s="6"/>
      <c r="EC171" s="6"/>
      <c r="ED171" s="7">
        <f>ROUND(1611.44,2)</f>
        <v>1611.44</v>
      </c>
      <c r="EE171" s="6"/>
      <c r="EF171" s="7">
        <f>ROUND(977.679999999999,2)</f>
        <v>977.68</v>
      </c>
      <c r="EG171" s="6"/>
      <c r="EH171" s="7">
        <f>ROUND(1256,2)</f>
        <v>1256</v>
      </c>
      <c r="EI171" s="6"/>
      <c r="EJ171" s="6"/>
      <c r="EK171" s="6"/>
      <c r="EL171" s="6"/>
      <c r="EM171" s="6"/>
      <c r="EN171" s="7">
        <f>ROUND(243.92,2)</f>
        <v>243.92</v>
      </c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7">
        <f>ROUND(512.76,2)</f>
        <v>512.76</v>
      </c>
      <c r="FE171" s="6"/>
      <c r="FF171" s="6"/>
      <c r="FG171" s="6"/>
      <c r="FH171" s="6"/>
      <c r="FI171" s="6"/>
      <c r="FJ171" s="7">
        <f>ROUND(875,2)</f>
        <v>875</v>
      </c>
      <c r="FK171" s="6"/>
      <c r="FL171" s="6"/>
      <c r="FM171" s="6"/>
      <c r="FN171" s="6"/>
      <c r="FO171" s="6"/>
      <c r="FP171" s="6"/>
      <c r="FQ171" s="6"/>
      <c r="FR171" s="6"/>
      <c r="FS171" s="6"/>
      <c r="FT171" s="7">
        <f>ROUND(3000,2)</f>
        <v>3000</v>
      </c>
      <c r="FU171" s="6"/>
      <c r="FV171" s="6"/>
      <c r="FW171" s="6"/>
      <c r="FX171" s="6"/>
      <c r="FY171" s="7">
        <f>ROUND(60687.7499999999,2)</f>
        <v>60687.75</v>
      </c>
    </row>
    <row r="172" spans="1:181" ht="26.4" x14ac:dyDescent="0.3">
      <c r="A172" s="4" t="s">
        <v>564</v>
      </c>
      <c r="B172" s="5"/>
      <c r="C172" s="5" t="s">
        <v>476</v>
      </c>
      <c r="D172" s="5" t="s">
        <v>565</v>
      </c>
      <c r="E172" s="5" t="s">
        <v>566</v>
      </c>
      <c r="F172" s="5" t="s">
        <v>0</v>
      </c>
      <c r="G172" s="5" t="s">
        <v>478</v>
      </c>
      <c r="H172" s="8">
        <f>ROUND(1449.55,2)</f>
        <v>1449.55</v>
      </c>
      <c r="I172" s="7">
        <f>ROUND(50646.18,2)</f>
        <v>50646.18</v>
      </c>
      <c r="J172" s="7">
        <f>ROUND(840,2)</f>
        <v>840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7">
        <f>ROUND(16,2)</f>
        <v>16</v>
      </c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7">
        <f>ROUND(8,2)</f>
        <v>8</v>
      </c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7">
        <f>ROUND(8,2)</f>
        <v>8</v>
      </c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7">
        <f>ROUND(32,2)</f>
        <v>32</v>
      </c>
      <c r="CI172" s="7">
        <f>ROUND(32,2)</f>
        <v>32</v>
      </c>
      <c r="CJ172" s="6"/>
      <c r="CK172" s="6"/>
      <c r="CL172" s="6"/>
      <c r="CM172" s="6"/>
      <c r="CN172" s="7">
        <f>ROUND(56,2)</f>
        <v>56</v>
      </c>
      <c r="CO172" s="6"/>
      <c r="CP172" s="7">
        <f>ROUND(24,2)</f>
        <v>24</v>
      </c>
      <c r="CQ172" s="7">
        <f>ROUND(1016,2)</f>
        <v>1016</v>
      </c>
      <c r="CR172" s="7">
        <f>ROUND(43486.5,2)</f>
        <v>43486.5</v>
      </c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7">
        <f>ROUND(6000,2)</f>
        <v>6000</v>
      </c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7">
        <f>ROUND(289.92,2)</f>
        <v>289.92</v>
      </c>
      <c r="FP172" s="6"/>
      <c r="FQ172" s="6"/>
      <c r="FR172" s="6"/>
      <c r="FS172" s="6"/>
      <c r="FT172" s="6"/>
      <c r="FU172" s="6"/>
      <c r="FV172" s="6"/>
      <c r="FW172" s="6"/>
      <c r="FX172" s="7">
        <f>ROUND(869.76,2)</f>
        <v>869.76</v>
      </c>
      <c r="FY172" s="7">
        <f>ROUND(50646.18,2)</f>
        <v>50646.18</v>
      </c>
    </row>
    <row r="173" spans="1:181" x14ac:dyDescent="0.3">
      <c r="A173" s="4" t="s">
        <v>567</v>
      </c>
      <c r="B173" s="5" t="s">
        <v>1029</v>
      </c>
      <c r="C173" s="5" t="s">
        <v>181</v>
      </c>
      <c r="D173" s="5" t="s">
        <v>439</v>
      </c>
      <c r="E173" s="5" t="s">
        <v>0</v>
      </c>
      <c r="F173" s="5" t="s">
        <v>0</v>
      </c>
      <c r="G173" s="5" t="s">
        <v>183</v>
      </c>
      <c r="H173" s="8">
        <v>33.880000000000003</v>
      </c>
      <c r="I173" s="7">
        <f>ROUND(130342.31,2)</f>
        <v>130342.31</v>
      </c>
      <c r="J173" s="6"/>
      <c r="K173" s="6"/>
      <c r="L173" s="6"/>
      <c r="M173" s="6"/>
      <c r="N173" s="7">
        <f>ROUND(1674.94999999999,2)</f>
        <v>1674.95</v>
      </c>
      <c r="O173" s="6"/>
      <c r="P173" s="6"/>
      <c r="Q173" s="7">
        <f>ROUND(822.129999999999,2)</f>
        <v>822.13</v>
      </c>
      <c r="R173" s="6"/>
      <c r="S173" s="6"/>
      <c r="T173" s="6"/>
      <c r="U173" s="6"/>
      <c r="V173" s="7">
        <f>ROUND(11.3,2)</f>
        <v>11.3</v>
      </c>
      <c r="W173" s="7">
        <f>ROUND(54.83,2)</f>
        <v>54.83</v>
      </c>
      <c r="X173" s="7">
        <f>ROUND(1.95,2)</f>
        <v>1.95</v>
      </c>
      <c r="Y173" s="7">
        <f>ROUND(1.83999999999999,2)</f>
        <v>1.84</v>
      </c>
      <c r="Z173" s="6"/>
      <c r="AA173" s="6"/>
      <c r="AB173" s="6"/>
      <c r="AC173" s="6"/>
      <c r="AD173" s="6"/>
      <c r="AE173" s="7">
        <f>ROUND(224.28,2)</f>
        <v>224.28</v>
      </c>
      <c r="AF173" s="6"/>
      <c r="AG173" s="7">
        <f>ROUND(72.59,2)</f>
        <v>72.59</v>
      </c>
      <c r="AH173" s="6"/>
      <c r="AI173" s="6"/>
      <c r="AJ173" s="6"/>
      <c r="AK173" s="6"/>
      <c r="AL173" s="6"/>
      <c r="AM173" s="6"/>
      <c r="AN173" s="6"/>
      <c r="AO173" s="6"/>
      <c r="AP173" s="7">
        <f>ROUND(30,2)</f>
        <v>30</v>
      </c>
      <c r="AQ173" s="6"/>
      <c r="AR173" s="7">
        <f>ROUND(82.83,2)</f>
        <v>82.83</v>
      </c>
      <c r="AS173" s="6"/>
      <c r="AT173" s="6"/>
      <c r="AU173" s="7">
        <f>ROUND(60,2)</f>
        <v>60</v>
      </c>
      <c r="AV173" s="7">
        <f>ROUND(8,2)</f>
        <v>8</v>
      </c>
      <c r="AW173" s="7">
        <f>ROUND(16,2)</f>
        <v>16</v>
      </c>
      <c r="AX173" s="7">
        <f>ROUND(24,2)</f>
        <v>24</v>
      </c>
      <c r="AY173" s="7">
        <f>ROUND(88,2)</f>
        <v>88</v>
      </c>
      <c r="AZ173" s="7">
        <f>ROUND(8,2)</f>
        <v>8</v>
      </c>
      <c r="BA173" s="6"/>
      <c r="BB173" s="7">
        <f>ROUND(24,2)</f>
        <v>24</v>
      </c>
      <c r="BC173" s="6"/>
      <c r="BD173" s="7">
        <f>ROUND(27.42,2)</f>
        <v>27.42</v>
      </c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7">
        <f>ROUND(9.62,2)</f>
        <v>9.6199999999999992</v>
      </c>
      <c r="BU173" s="6"/>
      <c r="BV173" s="6"/>
      <c r="BW173" s="6"/>
      <c r="BX173" s="6"/>
      <c r="BY173" s="7">
        <f>ROUND(8,2)</f>
        <v>8</v>
      </c>
      <c r="BZ173" s="6"/>
      <c r="CA173" s="7">
        <f>ROUND(12,2)</f>
        <v>12</v>
      </c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7">
        <f>ROUND(80,2)</f>
        <v>80</v>
      </c>
      <c r="CQ173" s="7">
        <f>ROUND(3341.74,2)</f>
        <v>3341.74</v>
      </c>
      <c r="CR173" s="6"/>
      <c r="CS173" s="6"/>
      <c r="CT173" s="6"/>
      <c r="CU173" s="6"/>
      <c r="CV173" s="7">
        <f>ROUND(54669.1599999999,2)</f>
        <v>54669.16</v>
      </c>
      <c r="CW173" s="6"/>
      <c r="CX173" s="6"/>
      <c r="CY173" s="7">
        <f>ROUND(40381.5,2)</f>
        <v>40381.5</v>
      </c>
      <c r="CZ173" s="6"/>
      <c r="DA173" s="6"/>
      <c r="DB173" s="6"/>
      <c r="DC173" s="6"/>
      <c r="DD173" s="7">
        <f>ROUND(364.31,2)</f>
        <v>364.31</v>
      </c>
      <c r="DE173" s="7">
        <f>ROUND(2697.12,2)</f>
        <v>2697.12</v>
      </c>
      <c r="DF173" s="7">
        <f>ROUND(62.58,2)</f>
        <v>62.58</v>
      </c>
      <c r="DG173" s="7">
        <f>ROUND(89.5399999999999,2)</f>
        <v>89.54</v>
      </c>
      <c r="DH173" s="6"/>
      <c r="DI173" s="6"/>
      <c r="DJ173" s="6"/>
      <c r="DK173" s="6"/>
      <c r="DL173" s="6"/>
      <c r="DM173" s="6"/>
      <c r="DN173" s="7">
        <f>ROUND(7470.26999999999,2)</f>
        <v>7470.27</v>
      </c>
      <c r="DO173" s="6"/>
      <c r="DP173" s="7">
        <f>ROUND(3616.05,2)</f>
        <v>3616.05</v>
      </c>
      <c r="DQ173" s="6"/>
      <c r="DR173" s="6"/>
      <c r="DS173" s="6"/>
      <c r="DT173" s="6"/>
      <c r="DU173" s="6"/>
      <c r="DV173" s="6"/>
      <c r="DW173" s="6"/>
      <c r="DX173" s="6"/>
      <c r="DY173" s="7">
        <f>ROUND(967.2,2)</f>
        <v>967.2</v>
      </c>
      <c r="DZ173" s="6"/>
      <c r="EA173" s="7">
        <f>ROUND(4072.07999999999,2)</f>
        <v>4072.08</v>
      </c>
      <c r="EB173" s="6"/>
      <c r="EC173" s="6"/>
      <c r="ED173" s="7">
        <f>ROUND(1955.08,2)</f>
        <v>1955.08</v>
      </c>
      <c r="EE173" s="7">
        <f>ROUND(396.64,2)</f>
        <v>396.64</v>
      </c>
      <c r="EF173" s="7">
        <f>ROUND(521.12,2)</f>
        <v>521.12</v>
      </c>
      <c r="EG173" s="7">
        <f>ROUND(1189.8,2)</f>
        <v>1189.8</v>
      </c>
      <c r="EH173" s="7">
        <f>ROUND(2839.28,2)</f>
        <v>2839.28</v>
      </c>
      <c r="EI173" s="7">
        <f>ROUND(396.6,2)</f>
        <v>396.6</v>
      </c>
      <c r="EJ173" s="6"/>
      <c r="EK173" s="7">
        <f>ROUND(777.84,2)</f>
        <v>777.84</v>
      </c>
      <c r="EL173" s="6"/>
      <c r="EM173" s="6"/>
      <c r="EN173" s="7">
        <f>ROUND(915.74,2)</f>
        <v>915.74</v>
      </c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7">
        <f>ROUND(1250,2)</f>
        <v>1250</v>
      </c>
      <c r="FK173" s="6"/>
      <c r="FL173" s="6"/>
      <c r="FM173" s="6"/>
      <c r="FN173" s="6"/>
      <c r="FO173" s="6"/>
      <c r="FP173" s="6"/>
      <c r="FQ173" s="6"/>
      <c r="FR173" s="6"/>
      <c r="FS173" s="6"/>
      <c r="FT173" s="7">
        <f>ROUND(3000,2)</f>
        <v>3000</v>
      </c>
      <c r="FU173" s="6"/>
      <c r="FV173" s="6"/>
      <c r="FW173" s="6"/>
      <c r="FX173" s="7">
        <f>ROUND(2710.4,2)</f>
        <v>2710.4</v>
      </c>
      <c r="FY173" s="7">
        <f>ROUND(130342.31,2)</f>
        <v>130342.31</v>
      </c>
    </row>
    <row r="174" spans="1:181" x14ac:dyDescent="0.3">
      <c r="A174" s="4" t="s">
        <v>568</v>
      </c>
      <c r="B174" s="5" t="s">
        <v>1029</v>
      </c>
      <c r="C174" s="5" t="s">
        <v>236</v>
      </c>
      <c r="D174" s="5" t="s">
        <v>569</v>
      </c>
      <c r="E174" s="5" t="s">
        <v>570</v>
      </c>
      <c r="F174" s="5" t="s">
        <v>0</v>
      </c>
      <c r="G174" s="5" t="s">
        <v>238</v>
      </c>
      <c r="H174" s="8">
        <v>37.53</v>
      </c>
      <c r="I174" s="7">
        <f>ROUND(95577.4299999999,2)</f>
        <v>95577.43</v>
      </c>
      <c r="J174" s="6"/>
      <c r="K174" s="6"/>
      <c r="L174" s="7">
        <f>ROUND(1378.03,2)</f>
        <v>1378.03</v>
      </c>
      <c r="M174" s="7">
        <f>ROUND(752.83,2)</f>
        <v>752.83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7">
        <f>ROUND(16,2)</f>
        <v>16</v>
      </c>
      <c r="AV174" s="6"/>
      <c r="AW174" s="7">
        <f>ROUND(32,2)</f>
        <v>32</v>
      </c>
      <c r="AX174" s="6"/>
      <c r="AY174" s="7">
        <f>ROUND(24,2)</f>
        <v>24</v>
      </c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7">
        <f>ROUND(8,2)</f>
        <v>8</v>
      </c>
      <c r="BU174" s="6"/>
      <c r="BV174" s="6"/>
      <c r="BW174" s="7">
        <f>ROUND(16,2)</f>
        <v>16</v>
      </c>
      <c r="BX174" s="6"/>
      <c r="BY174" s="6"/>
      <c r="BZ174" s="7">
        <f>ROUND(120,2)</f>
        <v>120</v>
      </c>
      <c r="CA174" s="6"/>
      <c r="CB174" s="6"/>
      <c r="CC174" s="7">
        <f>ROUND(40,2)</f>
        <v>40</v>
      </c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7">
        <f>ROUND(16,2)</f>
        <v>16</v>
      </c>
      <c r="CQ174" s="7">
        <f>ROUND(2402.86,2)</f>
        <v>2402.86</v>
      </c>
      <c r="CR174" s="6"/>
      <c r="CS174" s="6"/>
      <c r="CT174" s="7">
        <f>ROUND(50518.56,2)</f>
        <v>50518.559999999998</v>
      </c>
      <c r="CU174" s="7">
        <f>ROUND(41282.75,2)</f>
        <v>41282.75</v>
      </c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7">
        <f>ROUND(587.04,2)</f>
        <v>587.04</v>
      </c>
      <c r="EE174" s="6"/>
      <c r="EF174" s="7">
        <f>ROUND(1152,2)</f>
        <v>1152</v>
      </c>
      <c r="EG174" s="6"/>
      <c r="EH174" s="7">
        <f>ROUND(864,2)</f>
        <v>864</v>
      </c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7">
        <f>ROUND(575,2)</f>
        <v>575</v>
      </c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7">
        <f>ROUND(598.08,2)</f>
        <v>598.08000000000004</v>
      </c>
      <c r="FY174" s="7">
        <f>ROUND(95577.4299999999,2)</f>
        <v>95577.43</v>
      </c>
    </row>
    <row r="175" spans="1:181" x14ac:dyDescent="0.3">
      <c r="A175" s="4" t="s">
        <v>571</v>
      </c>
      <c r="B175" s="5" t="s">
        <v>1029</v>
      </c>
      <c r="C175" s="5" t="s">
        <v>181</v>
      </c>
      <c r="D175" s="5" t="s">
        <v>554</v>
      </c>
      <c r="E175" s="5" t="s">
        <v>572</v>
      </c>
      <c r="F175" s="5" t="s">
        <v>0</v>
      </c>
      <c r="G175" s="5" t="s">
        <v>183</v>
      </c>
      <c r="H175" s="9">
        <v>17.5</v>
      </c>
      <c r="I175" s="7">
        <f>ROUND(2568.49,2)</f>
        <v>2568.4899999999998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7">
        <f>ROUND(10,2)</f>
        <v>10</v>
      </c>
      <c r="AV175" s="6"/>
      <c r="AW175" s="6"/>
      <c r="AX175" s="6"/>
      <c r="AY175" s="6"/>
      <c r="AZ175" s="6"/>
      <c r="BA175" s="6"/>
      <c r="BB175" s="6"/>
      <c r="BC175" s="6"/>
      <c r="BD175" s="7">
        <f>ROUND(118.92,2)</f>
        <v>118.92</v>
      </c>
      <c r="BE175" s="6"/>
      <c r="BF175" s="7">
        <f>ROUND(11.9,2)</f>
        <v>11.9</v>
      </c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7">
        <f>ROUND(0.13,2)</f>
        <v>0.13</v>
      </c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7">
        <f>ROUND(140.95,2)</f>
        <v>140.94999999999999</v>
      </c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7">
        <f>ROUND(175,2)</f>
        <v>175</v>
      </c>
      <c r="EE175" s="6"/>
      <c r="EF175" s="6"/>
      <c r="EG175" s="6"/>
      <c r="EH175" s="6"/>
      <c r="EI175" s="6"/>
      <c r="EJ175" s="6"/>
      <c r="EK175" s="6"/>
      <c r="EL175" s="6"/>
      <c r="EM175" s="6"/>
      <c r="EN175" s="7">
        <f>ROUND(2081.11,2)</f>
        <v>2081.11</v>
      </c>
      <c r="EO175" s="6"/>
      <c r="EP175" s="7">
        <f>ROUND(312.38,2)</f>
        <v>312.38</v>
      </c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7">
        <f>ROUND(2568.49,2)</f>
        <v>2568.4899999999998</v>
      </c>
    </row>
    <row r="176" spans="1:181" x14ac:dyDescent="0.3">
      <c r="A176" s="4" t="s">
        <v>573</v>
      </c>
      <c r="B176" s="5" t="s">
        <v>1029</v>
      </c>
      <c r="C176" s="5" t="s">
        <v>181</v>
      </c>
      <c r="D176" s="5" t="s">
        <v>390</v>
      </c>
      <c r="E176" s="5" t="s">
        <v>0</v>
      </c>
      <c r="F176" s="5" t="s">
        <v>0</v>
      </c>
      <c r="G176" s="5" t="s">
        <v>183</v>
      </c>
      <c r="H176" s="6">
        <v>33.380000000000003</v>
      </c>
      <c r="I176" s="7">
        <f>ROUND(87265.68,2)</f>
        <v>87265.68</v>
      </c>
      <c r="J176" s="6"/>
      <c r="K176" s="6"/>
      <c r="L176" s="6"/>
      <c r="M176" s="6"/>
      <c r="N176" s="7">
        <f>ROUND(1052.86,2)</f>
        <v>1052.8599999999999</v>
      </c>
      <c r="O176" s="6"/>
      <c r="P176" s="6"/>
      <c r="Q176" s="7">
        <f>ROUND(201.459999999999,2)</f>
        <v>201.46</v>
      </c>
      <c r="R176" s="6"/>
      <c r="S176" s="6"/>
      <c r="T176" s="6"/>
      <c r="U176" s="6"/>
      <c r="V176" s="7">
        <f>ROUND(28.3,2)</f>
        <v>28.3</v>
      </c>
      <c r="W176" s="7">
        <f>ROUND(9.07,2)</f>
        <v>9.07</v>
      </c>
      <c r="X176" s="6"/>
      <c r="Y176" s="6"/>
      <c r="Z176" s="6"/>
      <c r="AA176" s="6"/>
      <c r="AB176" s="6"/>
      <c r="AC176" s="6"/>
      <c r="AD176" s="6"/>
      <c r="AE176" s="7">
        <f>ROUND(239.62,2)</f>
        <v>239.62</v>
      </c>
      <c r="AF176" s="6"/>
      <c r="AG176" s="7">
        <f>ROUND(26.64,2)</f>
        <v>26.64</v>
      </c>
      <c r="AH176" s="6"/>
      <c r="AI176" s="6"/>
      <c r="AJ176" s="6"/>
      <c r="AK176" s="6"/>
      <c r="AL176" s="6"/>
      <c r="AM176" s="6"/>
      <c r="AN176" s="6"/>
      <c r="AO176" s="6"/>
      <c r="AP176" s="7">
        <f>ROUND(560.339999999999,2)</f>
        <v>560.34</v>
      </c>
      <c r="AQ176" s="6"/>
      <c r="AR176" s="7">
        <f>ROUND(67.49,2)</f>
        <v>67.489999999999995</v>
      </c>
      <c r="AS176" s="6"/>
      <c r="AT176" s="6"/>
      <c r="AU176" s="7">
        <f>ROUND(76,2)</f>
        <v>76</v>
      </c>
      <c r="AV176" s="6"/>
      <c r="AW176" s="7">
        <f>ROUND(9.35,2)</f>
        <v>9.35</v>
      </c>
      <c r="AX176" s="7">
        <f>ROUND(8.65,2)</f>
        <v>8.65</v>
      </c>
      <c r="AY176" s="7">
        <f>ROUND(40.5,2)</f>
        <v>40.5</v>
      </c>
      <c r="AZ176" s="7">
        <f>ROUND(3.5,2)</f>
        <v>3.5</v>
      </c>
      <c r="BA176" s="6"/>
      <c r="BB176" s="6"/>
      <c r="BC176" s="6"/>
      <c r="BD176" s="7">
        <f>ROUND(10,2)</f>
        <v>10</v>
      </c>
      <c r="BE176" s="6"/>
      <c r="BF176" s="6"/>
      <c r="BG176" s="7">
        <f>ROUND(30,2)</f>
        <v>30</v>
      </c>
      <c r="BH176" s="6"/>
      <c r="BI176" s="6"/>
      <c r="BJ176" s="6"/>
      <c r="BK176" s="6"/>
      <c r="BL176" s="6"/>
      <c r="BM176" s="6"/>
      <c r="BN176" s="6"/>
      <c r="BO176" s="7">
        <f>ROUND(37.5,2)</f>
        <v>37.5</v>
      </c>
      <c r="BP176" s="7">
        <f>ROUND(8.83,2)</f>
        <v>8.83</v>
      </c>
      <c r="BQ176" s="7">
        <f>ROUND(46.28,2)</f>
        <v>46.28</v>
      </c>
      <c r="BR176" s="6"/>
      <c r="BS176" s="6"/>
      <c r="BT176" s="7">
        <f>ROUND(0.47,2)</f>
        <v>0.47</v>
      </c>
      <c r="BU176" s="6"/>
      <c r="BV176" s="6"/>
      <c r="BW176" s="6"/>
      <c r="BX176" s="6"/>
      <c r="BY176" s="7">
        <f>ROUND(32,2)</f>
        <v>32</v>
      </c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7">
        <f>ROUND(2488.86,2)</f>
        <v>2488.86</v>
      </c>
      <c r="CR176" s="6"/>
      <c r="CS176" s="6"/>
      <c r="CT176" s="6"/>
      <c r="CU176" s="6"/>
      <c r="CV176" s="7">
        <f>ROUND(33772.16,2)</f>
        <v>33772.160000000003</v>
      </c>
      <c r="CW176" s="6"/>
      <c r="CX176" s="6"/>
      <c r="CY176" s="7">
        <f>ROUND(9872.91999999999,2)</f>
        <v>9872.92</v>
      </c>
      <c r="CZ176" s="6"/>
      <c r="DA176" s="6"/>
      <c r="DB176" s="6"/>
      <c r="DC176" s="6"/>
      <c r="DD176" s="7">
        <f>ROUND(880.449999999999,2)</f>
        <v>880.45</v>
      </c>
      <c r="DE176" s="7">
        <f>ROUND(414.82,2)</f>
        <v>414.82</v>
      </c>
      <c r="DF176" s="6"/>
      <c r="DG176" s="6"/>
      <c r="DH176" s="6"/>
      <c r="DI176" s="6"/>
      <c r="DJ176" s="6"/>
      <c r="DK176" s="6"/>
      <c r="DL176" s="6"/>
      <c r="DM176" s="6"/>
      <c r="DN176" s="7">
        <f>ROUND(7535.88999999999,2)</f>
        <v>7535.89</v>
      </c>
      <c r="DO176" s="6"/>
      <c r="DP176" s="7">
        <f>ROUND(1220.16,2)</f>
        <v>1220.1600000000001</v>
      </c>
      <c r="DQ176" s="6"/>
      <c r="DR176" s="6"/>
      <c r="DS176" s="6"/>
      <c r="DT176" s="6"/>
      <c r="DU176" s="6"/>
      <c r="DV176" s="6"/>
      <c r="DW176" s="6"/>
      <c r="DX176" s="6"/>
      <c r="DY176" s="7">
        <f>ROUND(17386.28,2)</f>
        <v>17386.28</v>
      </c>
      <c r="DZ176" s="6"/>
      <c r="EA176" s="7">
        <f>ROUND(3113.91,2)</f>
        <v>3113.91</v>
      </c>
      <c r="EB176" s="6"/>
      <c r="EC176" s="6"/>
      <c r="ED176" s="7">
        <f>ROUND(2358.22,2)</f>
        <v>2358.2199999999998</v>
      </c>
      <c r="EE176" s="6"/>
      <c r="EF176" s="7">
        <f>ROUND(285.08,2)</f>
        <v>285.08</v>
      </c>
      <c r="EG176" s="7">
        <f>ROUND(395.61,2)</f>
        <v>395.61</v>
      </c>
      <c r="EH176" s="7">
        <f>ROUND(1322.17,2)</f>
        <v>1322.17</v>
      </c>
      <c r="EI176" s="7">
        <f>ROUND(175.25,2)</f>
        <v>175.25</v>
      </c>
      <c r="EJ176" s="6"/>
      <c r="EK176" s="6"/>
      <c r="EL176" s="6"/>
      <c r="EM176" s="6"/>
      <c r="EN176" s="7">
        <f>ROUND(304.9,2)</f>
        <v>304.89999999999998</v>
      </c>
      <c r="EO176" s="6"/>
      <c r="EP176" s="6"/>
      <c r="EQ176" s="7">
        <f>ROUND(1001.4,2)</f>
        <v>1001.4</v>
      </c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7">
        <f>ROUND(1180.5,2)</f>
        <v>1180.5</v>
      </c>
      <c r="FC176" s="7">
        <f>ROUND(405.98,2)</f>
        <v>405.98</v>
      </c>
      <c r="FD176" s="7">
        <f>ROUND(1439.98,2)</f>
        <v>1439.98</v>
      </c>
      <c r="FE176" s="6"/>
      <c r="FF176" s="6"/>
      <c r="FG176" s="6"/>
      <c r="FH176" s="6"/>
      <c r="FI176" s="6"/>
      <c r="FJ176" s="7">
        <f>ROUND(1200,2)</f>
        <v>1200</v>
      </c>
      <c r="FK176" s="6"/>
      <c r="FL176" s="6"/>
      <c r="FM176" s="6"/>
      <c r="FN176" s="6"/>
      <c r="FO176" s="6"/>
      <c r="FP176" s="6"/>
      <c r="FQ176" s="6"/>
      <c r="FR176" s="6"/>
      <c r="FS176" s="6"/>
      <c r="FT176" s="7">
        <f>ROUND(3000,2)</f>
        <v>3000</v>
      </c>
      <c r="FU176" s="6"/>
      <c r="FV176" s="6"/>
      <c r="FW176" s="6"/>
      <c r="FX176" s="6"/>
      <c r="FY176" s="7">
        <f>ROUND(87265.6799999999,2)</f>
        <v>87265.68</v>
      </c>
    </row>
    <row r="177" spans="1:181" x14ac:dyDescent="0.3">
      <c r="A177" s="4" t="s">
        <v>574</v>
      </c>
      <c r="B177" s="5"/>
      <c r="C177" s="5" t="s">
        <v>575</v>
      </c>
      <c r="D177" s="5" t="s">
        <v>576</v>
      </c>
      <c r="E177" s="5" t="s">
        <v>0</v>
      </c>
      <c r="F177" s="5" t="s">
        <v>0</v>
      </c>
      <c r="G177" s="5" t="s">
        <v>577</v>
      </c>
      <c r="H177" s="8">
        <f>ROUND(1475.59,2)</f>
        <v>1475.59</v>
      </c>
      <c r="I177" s="7">
        <f>ROUND(68992.8399999999,2)</f>
        <v>68992.84</v>
      </c>
      <c r="J177" s="7">
        <f>ROUND(1690.5,2)</f>
        <v>1690.5</v>
      </c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7">
        <f>ROUND(-21,2)</f>
        <v>-21</v>
      </c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7">
        <f>ROUND(8,2)</f>
        <v>8</v>
      </c>
      <c r="BX177" s="6"/>
      <c r="BY177" s="6"/>
      <c r="BZ177" s="6"/>
      <c r="CA177" s="6"/>
      <c r="CB177" s="6"/>
      <c r="CC177" s="6"/>
      <c r="CD177" s="6"/>
      <c r="CE177" s="6"/>
      <c r="CF177" s="6"/>
      <c r="CG177" s="7">
        <f>ROUND(35,2)</f>
        <v>35</v>
      </c>
      <c r="CH177" s="7">
        <f>ROUND(40,2)</f>
        <v>40</v>
      </c>
      <c r="CI177" s="7">
        <f>ROUND(32,2)</f>
        <v>32</v>
      </c>
      <c r="CJ177" s="6"/>
      <c r="CK177" s="6"/>
      <c r="CL177" s="6"/>
      <c r="CM177" s="6"/>
      <c r="CN177" s="7">
        <f>ROUND(96,2)</f>
        <v>96</v>
      </c>
      <c r="CO177" s="6"/>
      <c r="CP177" s="6"/>
      <c r="CQ177" s="7">
        <f>ROUND(1880.5,2)</f>
        <v>1880.5</v>
      </c>
      <c r="CR177" s="7">
        <f>ROUND(63846.6999999999,2)</f>
        <v>63846.7</v>
      </c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7">
        <f>ROUND(-774.689999999999,2)</f>
        <v>-774.69</v>
      </c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7">
        <f>ROUND(2656.07,2)</f>
        <v>2656.07</v>
      </c>
      <c r="FK177" s="6"/>
      <c r="FL177" s="6"/>
      <c r="FM177" s="7">
        <f>ROUND(903.8,2)</f>
        <v>903.8</v>
      </c>
      <c r="FN177" s="7">
        <f>ROUND(885.36,2)</f>
        <v>885.36</v>
      </c>
      <c r="FO177" s="6"/>
      <c r="FP177" s="6"/>
      <c r="FQ177" s="6"/>
      <c r="FR177" s="6"/>
      <c r="FS177" s="6"/>
      <c r="FT177" s="6"/>
      <c r="FU177" s="6"/>
      <c r="FV177" s="7">
        <f>ROUND(1475.6,2)</f>
        <v>1475.6</v>
      </c>
      <c r="FW177" s="6"/>
      <c r="FX177" s="6"/>
      <c r="FY177" s="7">
        <f>ROUND(68992.8399999999,2)</f>
        <v>68992.84</v>
      </c>
    </row>
    <row r="178" spans="1:181" x14ac:dyDescent="0.3">
      <c r="A178" s="4" t="s">
        <v>578</v>
      </c>
      <c r="B178" s="5"/>
      <c r="C178" s="5" t="s">
        <v>305</v>
      </c>
      <c r="D178" s="5" t="s">
        <v>579</v>
      </c>
      <c r="E178" s="5" t="s">
        <v>580</v>
      </c>
      <c r="F178" s="5" t="s">
        <v>0</v>
      </c>
      <c r="G178" s="5" t="s">
        <v>581</v>
      </c>
      <c r="H178" s="8">
        <f>ROUND(1288.46,2)</f>
        <v>1288.46</v>
      </c>
      <c r="I178" s="7">
        <f>ROUND(55758.6599999999,2)</f>
        <v>55758.66</v>
      </c>
      <c r="J178" s="7">
        <f>ROUND(1264.5,2)</f>
        <v>1264.5</v>
      </c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7">
        <f>ROUND(-16,2)</f>
        <v>-16</v>
      </c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7">
        <f>ROUND(28,2)</f>
        <v>28</v>
      </c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7">
        <f>ROUND(8,2)</f>
        <v>8</v>
      </c>
      <c r="BX178" s="6"/>
      <c r="BY178" s="6"/>
      <c r="BZ178" s="6"/>
      <c r="CA178" s="6"/>
      <c r="CB178" s="6"/>
      <c r="CC178" s="6"/>
      <c r="CD178" s="6"/>
      <c r="CE178" s="6"/>
      <c r="CF178" s="6"/>
      <c r="CG178" s="7">
        <f>ROUND(39.5,2)</f>
        <v>39.5</v>
      </c>
      <c r="CH178" s="7">
        <f>ROUND(40,2)</f>
        <v>40</v>
      </c>
      <c r="CI178" s="7">
        <f>ROUND(56,2)</f>
        <v>56</v>
      </c>
      <c r="CJ178" s="6"/>
      <c r="CK178" s="6"/>
      <c r="CL178" s="6"/>
      <c r="CM178" s="6"/>
      <c r="CN178" s="7">
        <f>ROUND(32,2)</f>
        <v>32</v>
      </c>
      <c r="CO178" s="6"/>
      <c r="CP178" s="7">
        <f>ROUND(56,2)</f>
        <v>56</v>
      </c>
      <c r="CQ178" s="7">
        <f>ROUND(1508,2)</f>
        <v>1508</v>
      </c>
      <c r="CR178" s="7">
        <f>ROUND(52327.5599999999,2)</f>
        <v>52327.56</v>
      </c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7">
        <f>ROUND(-515.38,2)</f>
        <v>-515.38</v>
      </c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7">
        <f>ROUND(354.99,2)</f>
        <v>354.99</v>
      </c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7">
        <f>ROUND(1014.66,2)</f>
        <v>1014.66</v>
      </c>
      <c r="FN178" s="7">
        <f>ROUND(257.69,2)</f>
        <v>257.69</v>
      </c>
      <c r="FO178" s="7">
        <f>ROUND(257.69,2)</f>
        <v>257.69</v>
      </c>
      <c r="FP178" s="6"/>
      <c r="FQ178" s="6"/>
      <c r="FR178" s="6"/>
      <c r="FS178" s="6"/>
      <c r="FT178" s="6"/>
      <c r="FU178" s="6"/>
      <c r="FV178" s="7">
        <f>ROUND(257.69,2)</f>
        <v>257.69</v>
      </c>
      <c r="FW178" s="6"/>
      <c r="FX178" s="7">
        <f>ROUND(1803.76,2)</f>
        <v>1803.76</v>
      </c>
      <c r="FY178" s="7">
        <f>ROUND(55758.6599999999,2)</f>
        <v>55758.66</v>
      </c>
    </row>
    <row r="179" spans="1:181" x14ac:dyDescent="0.3">
      <c r="A179" s="4" t="s">
        <v>582</v>
      </c>
      <c r="B179" s="5" t="s">
        <v>1029</v>
      </c>
      <c r="C179" s="5" t="s">
        <v>181</v>
      </c>
      <c r="D179" s="5" t="s">
        <v>217</v>
      </c>
      <c r="E179" s="5" t="s">
        <v>0</v>
      </c>
      <c r="F179" s="5" t="s">
        <v>0</v>
      </c>
      <c r="G179" s="5" t="s">
        <v>183</v>
      </c>
      <c r="H179" s="8">
        <v>33.380000000000003</v>
      </c>
      <c r="I179" s="7">
        <f>ROUND(77483.7799999999,2)</f>
        <v>77483.78</v>
      </c>
      <c r="J179" s="6"/>
      <c r="K179" s="6"/>
      <c r="L179" s="6"/>
      <c r="M179" s="6"/>
      <c r="N179" s="7">
        <f>ROUND(1774.43999999999,2)</f>
        <v>1774.44</v>
      </c>
      <c r="O179" s="6"/>
      <c r="P179" s="6"/>
      <c r="Q179" s="7">
        <f>ROUND(119.02,2)</f>
        <v>119.02</v>
      </c>
      <c r="R179" s="6"/>
      <c r="S179" s="6"/>
      <c r="T179" s="6"/>
      <c r="U179" s="7">
        <f>ROUND(0.08,2)</f>
        <v>0.08</v>
      </c>
      <c r="V179" s="7">
        <f>ROUND(0.58,2)</f>
        <v>0.57999999999999996</v>
      </c>
      <c r="W179" s="7">
        <f>ROUND(15.54,2)</f>
        <v>15.54</v>
      </c>
      <c r="X179" s="7">
        <f>ROUND(3.21,2)</f>
        <v>3.21</v>
      </c>
      <c r="Y179" s="7">
        <f>ROUND(0.58,2)</f>
        <v>0.57999999999999996</v>
      </c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7">
        <f>ROUND(60,2)</f>
        <v>60</v>
      </c>
      <c r="AV179" s="6"/>
      <c r="AW179" s="7">
        <f>ROUND(23.2,2)</f>
        <v>23.2</v>
      </c>
      <c r="AX179" s="7">
        <f>ROUND(8.79999999999999,2)</f>
        <v>8.8000000000000007</v>
      </c>
      <c r="AY179" s="7">
        <f>ROUND(98.81,2)</f>
        <v>98.81</v>
      </c>
      <c r="AZ179" s="7">
        <f>ROUND(13.19,2)</f>
        <v>13.19</v>
      </c>
      <c r="BA179" s="6"/>
      <c r="BB179" s="7">
        <f>ROUND(16,2)</f>
        <v>16</v>
      </c>
      <c r="BC179" s="6"/>
      <c r="BD179" s="7">
        <f>ROUND(6.53,2)</f>
        <v>6.53</v>
      </c>
      <c r="BE179" s="7">
        <f>ROUND(2.65,2)</f>
        <v>2.65</v>
      </c>
      <c r="BF179" s="7">
        <f>ROUND(1.47,2)</f>
        <v>1.47</v>
      </c>
      <c r="BG179" s="7">
        <f>ROUND(24.75,2)</f>
        <v>24.75</v>
      </c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7">
        <f>ROUND(56,2)</f>
        <v>56</v>
      </c>
      <c r="BT179" s="7">
        <f>ROUND(18.35,2)</f>
        <v>18.350000000000001</v>
      </c>
      <c r="BU179" s="7">
        <f>ROUND(24,2)</f>
        <v>24</v>
      </c>
      <c r="BV179" s="6"/>
      <c r="BW179" s="7">
        <f>ROUND(8,2)</f>
        <v>8</v>
      </c>
      <c r="BX179" s="6"/>
      <c r="BY179" s="7">
        <f>ROUND(16,2)</f>
        <v>16</v>
      </c>
      <c r="BZ179" s="6"/>
      <c r="CA179" s="7">
        <f>ROUND(16,2)</f>
        <v>16</v>
      </c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7">
        <f>ROUND(2307.2,2)</f>
        <v>2307.1999999999998</v>
      </c>
      <c r="CR179" s="6"/>
      <c r="CS179" s="6"/>
      <c r="CT179" s="6"/>
      <c r="CU179" s="6"/>
      <c r="CV179" s="7">
        <f>ROUND(57864.85,2)</f>
        <v>57864.85</v>
      </c>
      <c r="CW179" s="6"/>
      <c r="CX179" s="6"/>
      <c r="CY179" s="7">
        <f>ROUND(5871.35999999999,2)</f>
        <v>5871.36</v>
      </c>
      <c r="CZ179" s="6"/>
      <c r="DA179" s="6"/>
      <c r="DB179" s="6"/>
      <c r="DC179" s="7">
        <f>ROUND(5.29,2)</f>
        <v>5.29</v>
      </c>
      <c r="DD179" s="7">
        <f>ROUND(19.26,2)</f>
        <v>19.260000000000002</v>
      </c>
      <c r="DE179" s="7">
        <f>ROUND(768.32,2)</f>
        <v>768.32</v>
      </c>
      <c r="DF179" s="7">
        <f>ROUND(105.12,2)</f>
        <v>105.12</v>
      </c>
      <c r="DG179" s="7">
        <f>ROUND(28.75,2)</f>
        <v>28.75</v>
      </c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7">
        <f>ROUND(1958.76,2)</f>
        <v>1958.76</v>
      </c>
      <c r="EE179" s="6"/>
      <c r="EF179" s="7">
        <f>ROUND(744.55,2)</f>
        <v>744.55</v>
      </c>
      <c r="EG179" s="7">
        <f>ROUND(435.01,2)</f>
        <v>435.01</v>
      </c>
      <c r="EH179" s="7">
        <f>ROUND(3184.97,2)</f>
        <v>3184.97</v>
      </c>
      <c r="EI179" s="7">
        <f>ROUND(648.22,2)</f>
        <v>648.22</v>
      </c>
      <c r="EJ179" s="6"/>
      <c r="EK179" s="7">
        <f>ROUND(513.44,2)</f>
        <v>513.44000000000005</v>
      </c>
      <c r="EL179" s="6"/>
      <c r="EM179" s="6"/>
      <c r="EN179" s="7">
        <f>ROUND(209.55,2)</f>
        <v>209.55</v>
      </c>
      <c r="EO179" s="7">
        <f>ROUND(87.58,2)</f>
        <v>87.58</v>
      </c>
      <c r="EP179" s="7">
        <f>ROUND(70.76,2)</f>
        <v>70.760000000000005</v>
      </c>
      <c r="EQ179" s="7">
        <f>ROUND(817.99,2)</f>
        <v>817.99</v>
      </c>
      <c r="ER179" s="6"/>
      <c r="ES179" s="6"/>
      <c r="ET179" s="6"/>
      <c r="EU179" s="6"/>
      <c r="EV179" s="7">
        <f>ROUND(500,2)</f>
        <v>500</v>
      </c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7">
        <f>ROUND(650,2)</f>
        <v>650</v>
      </c>
      <c r="FK179" s="6"/>
      <c r="FL179" s="6"/>
      <c r="FM179" s="6"/>
      <c r="FN179" s="6"/>
      <c r="FO179" s="6"/>
      <c r="FP179" s="6"/>
      <c r="FQ179" s="6"/>
      <c r="FR179" s="6"/>
      <c r="FS179" s="6"/>
      <c r="FT179" s="7">
        <f>ROUND(3000,2)</f>
        <v>3000</v>
      </c>
      <c r="FU179" s="6"/>
      <c r="FV179" s="6"/>
      <c r="FW179" s="6"/>
      <c r="FX179" s="6"/>
      <c r="FY179" s="7">
        <f>ROUND(77483.7799999999,2)</f>
        <v>77483.78</v>
      </c>
    </row>
    <row r="180" spans="1:181" x14ac:dyDescent="0.3">
      <c r="A180" s="4" t="s">
        <v>583</v>
      </c>
      <c r="B180" s="5" t="s">
        <v>1029</v>
      </c>
      <c r="C180" s="5" t="s">
        <v>181</v>
      </c>
      <c r="D180" s="5" t="s">
        <v>344</v>
      </c>
      <c r="E180" s="5" t="s">
        <v>0</v>
      </c>
      <c r="F180" s="5" t="s">
        <v>0</v>
      </c>
      <c r="G180" s="5" t="s">
        <v>183</v>
      </c>
      <c r="H180" s="8">
        <v>33.380000000000003</v>
      </c>
      <c r="I180" s="7">
        <f>ROUND(69655.62,2)</f>
        <v>69655.62</v>
      </c>
      <c r="J180" s="6"/>
      <c r="K180" s="6"/>
      <c r="L180" s="6"/>
      <c r="M180" s="6"/>
      <c r="N180" s="7">
        <f>ROUND(954.579999999999,2)</f>
        <v>954.58</v>
      </c>
      <c r="O180" s="6"/>
      <c r="P180" s="6"/>
      <c r="Q180" s="7">
        <f>ROUND(69.64,2)</f>
        <v>69.64</v>
      </c>
      <c r="R180" s="6"/>
      <c r="S180" s="6"/>
      <c r="T180" s="6"/>
      <c r="U180" s="6"/>
      <c r="V180" s="7">
        <f>ROUND(38.6,2)</f>
        <v>38.6</v>
      </c>
      <c r="W180" s="7">
        <f>ROUND(30.65,2)</f>
        <v>30.65</v>
      </c>
      <c r="X180" s="7">
        <f>ROUND(0.22,2)</f>
        <v>0.22</v>
      </c>
      <c r="Y180" s="6"/>
      <c r="Z180" s="6"/>
      <c r="AA180" s="6"/>
      <c r="AB180" s="6"/>
      <c r="AC180" s="6"/>
      <c r="AD180" s="6"/>
      <c r="AE180" s="7">
        <f>ROUND(277.75,2)</f>
        <v>277.75</v>
      </c>
      <c r="AF180" s="6"/>
      <c r="AG180" s="7">
        <f>ROUND(33.6999999999999,2)</f>
        <v>33.700000000000003</v>
      </c>
      <c r="AH180" s="6"/>
      <c r="AI180" s="6"/>
      <c r="AJ180" s="6"/>
      <c r="AK180" s="6"/>
      <c r="AL180" s="6"/>
      <c r="AM180" s="6"/>
      <c r="AN180" s="6"/>
      <c r="AO180" s="6"/>
      <c r="AP180" s="7">
        <f>ROUND(340.5,2)</f>
        <v>340.5</v>
      </c>
      <c r="AQ180" s="6"/>
      <c r="AR180" s="7">
        <f>ROUND(24.34,2)</f>
        <v>24.34</v>
      </c>
      <c r="AS180" s="6"/>
      <c r="AT180" s="6"/>
      <c r="AU180" s="7">
        <f>ROUND(68,2)</f>
        <v>68</v>
      </c>
      <c r="AV180" s="6"/>
      <c r="AW180" s="7">
        <f>ROUND(34,2)</f>
        <v>34</v>
      </c>
      <c r="AX180" s="6"/>
      <c r="AY180" s="7">
        <f>ROUND(16,2)</f>
        <v>16</v>
      </c>
      <c r="AZ180" s="6"/>
      <c r="BA180" s="6"/>
      <c r="BB180" s="7">
        <f>ROUND(24,2)</f>
        <v>24</v>
      </c>
      <c r="BC180" s="6"/>
      <c r="BD180" s="7">
        <f>ROUND(8,2)</f>
        <v>8</v>
      </c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7">
        <f>ROUND(49.42,2)</f>
        <v>49.42</v>
      </c>
      <c r="BP180" s="6"/>
      <c r="BQ180" s="7">
        <f>ROUND(8,2)</f>
        <v>8</v>
      </c>
      <c r="BR180" s="7">
        <f>ROUND(8,2)</f>
        <v>8</v>
      </c>
      <c r="BS180" s="7">
        <f>ROUND(39.75,2)</f>
        <v>39.75</v>
      </c>
      <c r="BT180" s="7">
        <f>ROUND(2.87,2)</f>
        <v>2.87</v>
      </c>
      <c r="BU180" s="7">
        <f>ROUND(220.39,2)</f>
        <v>220.39</v>
      </c>
      <c r="BV180" s="6"/>
      <c r="BW180" s="7">
        <f>ROUND(8,2)</f>
        <v>8</v>
      </c>
      <c r="BX180" s="6"/>
      <c r="BY180" s="7">
        <f>ROUND(10,2)</f>
        <v>10</v>
      </c>
      <c r="BZ180" s="6"/>
      <c r="CA180" s="7">
        <f>ROUND(38,2)</f>
        <v>38</v>
      </c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7">
        <f>ROUND(2304.41,2)</f>
        <v>2304.41</v>
      </c>
      <c r="CR180" s="6"/>
      <c r="CS180" s="6"/>
      <c r="CT180" s="6"/>
      <c r="CU180" s="6"/>
      <c r="CV180" s="7">
        <f>ROUND(30907.7099999999,2)</f>
        <v>30907.71</v>
      </c>
      <c r="CW180" s="6"/>
      <c r="CX180" s="6"/>
      <c r="CY180" s="7">
        <f>ROUND(3281.28,2)</f>
        <v>3281.28</v>
      </c>
      <c r="CZ180" s="6"/>
      <c r="DA180" s="6"/>
      <c r="DB180" s="6"/>
      <c r="DC180" s="6"/>
      <c r="DD180" s="7">
        <f>ROUND(1248.3,2)</f>
        <v>1248.3</v>
      </c>
      <c r="DE180" s="7">
        <f>ROUND(1523.07,2)</f>
        <v>1523.07</v>
      </c>
      <c r="DF180" s="7">
        <f>ROUND(7.27,2)</f>
        <v>7.27</v>
      </c>
      <c r="DG180" s="6"/>
      <c r="DH180" s="6"/>
      <c r="DI180" s="6"/>
      <c r="DJ180" s="6"/>
      <c r="DK180" s="6"/>
      <c r="DL180" s="6"/>
      <c r="DM180" s="6"/>
      <c r="DN180" s="7">
        <f>ROUND(8818.71,2)</f>
        <v>8818.7099999999991</v>
      </c>
      <c r="DO180" s="6"/>
      <c r="DP180" s="7">
        <f>ROUND(1596.1,2)</f>
        <v>1596.1</v>
      </c>
      <c r="DQ180" s="6"/>
      <c r="DR180" s="6"/>
      <c r="DS180" s="6"/>
      <c r="DT180" s="6"/>
      <c r="DU180" s="6"/>
      <c r="DV180" s="6"/>
      <c r="DW180" s="6"/>
      <c r="DX180" s="6"/>
      <c r="DY180" s="7">
        <f>ROUND(10789.35,2)</f>
        <v>10789.35</v>
      </c>
      <c r="DZ180" s="6"/>
      <c r="EA180" s="7">
        <f>ROUND(1138.6,2)</f>
        <v>1138.5999999999999</v>
      </c>
      <c r="EB180" s="6"/>
      <c r="EC180" s="6"/>
      <c r="ED180" s="7">
        <f>ROUND(2185.4,2)</f>
        <v>2185.4</v>
      </c>
      <c r="EE180" s="6"/>
      <c r="EF180" s="7">
        <f>ROUND(1109.06,2)</f>
        <v>1109.06</v>
      </c>
      <c r="EG180" s="6"/>
      <c r="EH180" s="7">
        <f>ROUND(521.12,2)</f>
        <v>521.12</v>
      </c>
      <c r="EI180" s="6"/>
      <c r="EJ180" s="6"/>
      <c r="EK180" s="7">
        <f>ROUND(793.199999999999,2)</f>
        <v>793.2</v>
      </c>
      <c r="EL180" s="6"/>
      <c r="EM180" s="6"/>
      <c r="EN180" s="7">
        <f>ROUND(256.72,2)</f>
        <v>256.72000000000003</v>
      </c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7">
        <f>ROUND(1549.45,2)</f>
        <v>1549.45</v>
      </c>
      <c r="FC180" s="6"/>
      <c r="FD180" s="7">
        <f>ROUND(264.4,2)</f>
        <v>264.39999999999998</v>
      </c>
      <c r="FE180" s="7">
        <f>ROUND(365.88,2)</f>
        <v>365.88</v>
      </c>
      <c r="FF180" s="6"/>
      <c r="FG180" s="6"/>
      <c r="FH180" s="6"/>
      <c r="FI180" s="6"/>
      <c r="FJ180" s="7">
        <f>ROUND(300,2)</f>
        <v>300</v>
      </c>
      <c r="FK180" s="6"/>
      <c r="FL180" s="6"/>
      <c r="FM180" s="6"/>
      <c r="FN180" s="6"/>
      <c r="FO180" s="6"/>
      <c r="FP180" s="6"/>
      <c r="FQ180" s="6"/>
      <c r="FR180" s="6"/>
      <c r="FS180" s="6"/>
      <c r="FT180" s="7">
        <f>ROUND(3000,2)</f>
        <v>3000</v>
      </c>
      <c r="FU180" s="6"/>
      <c r="FV180" s="6"/>
      <c r="FW180" s="6"/>
      <c r="FX180" s="6"/>
      <c r="FY180" s="7">
        <f>ROUND(69655.62,2)</f>
        <v>69655.62</v>
      </c>
    </row>
    <row r="181" spans="1:181" x14ac:dyDescent="0.3">
      <c r="A181" s="4" t="s">
        <v>584</v>
      </c>
      <c r="B181" s="5" t="s">
        <v>1029</v>
      </c>
      <c r="C181" s="5" t="s">
        <v>181</v>
      </c>
      <c r="D181" s="5" t="s">
        <v>276</v>
      </c>
      <c r="E181" s="5" t="s">
        <v>0</v>
      </c>
      <c r="F181" s="5" t="s">
        <v>0</v>
      </c>
      <c r="G181" s="5" t="s">
        <v>183</v>
      </c>
      <c r="H181" s="8">
        <v>33.380000000000003</v>
      </c>
      <c r="I181" s="7">
        <f>ROUND(84774.4399999999,2)</f>
        <v>84774.44</v>
      </c>
      <c r="J181" s="6"/>
      <c r="K181" s="6"/>
      <c r="L181" s="6"/>
      <c r="M181" s="6"/>
      <c r="N181" s="7">
        <f>ROUND(1664.2,2)</f>
        <v>1664.2</v>
      </c>
      <c r="O181" s="6"/>
      <c r="P181" s="6"/>
      <c r="Q181" s="7">
        <f>ROUND(198.45,2)</f>
        <v>198.45</v>
      </c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7">
        <f>ROUND(149.92,2)</f>
        <v>149.91999999999999</v>
      </c>
      <c r="AF181" s="6"/>
      <c r="AG181" s="7">
        <f>ROUND(4.5,2)</f>
        <v>4.5</v>
      </c>
      <c r="AH181" s="6"/>
      <c r="AI181" s="6"/>
      <c r="AJ181" s="6"/>
      <c r="AK181" s="6"/>
      <c r="AL181" s="6"/>
      <c r="AM181" s="6"/>
      <c r="AN181" s="6"/>
      <c r="AO181" s="6"/>
      <c r="AP181" s="7">
        <f>ROUND(140.04,2)</f>
        <v>140.04</v>
      </c>
      <c r="AQ181" s="6"/>
      <c r="AR181" s="7">
        <f>ROUND(6.6,2)</f>
        <v>6.6</v>
      </c>
      <c r="AS181" s="6"/>
      <c r="AT181" s="6"/>
      <c r="AU181" s="7">
        <f>ROUND(68,2)</f>
        <v>68</v>
      </c>
      <c r="AV181" s="6"/>
      <c r="AW181" s="7">
        <f>ROUND(28.77,2)</f>
        <v>28.77</v>
      </c>
      <c r="AX181" s="7">
        <f>ROUND(3.23,2)</f>
        <v>3.23</v>
      </c>
      <c r="AY181" s="7">
        <f>ROUND(27,2)</f>
        <v>27</v>
      </c>
      <c r="AZ181" s="7">
        <f>ROUND(5,2)</f>
        <v>5</v>
      </c>
      <c r="BA181" s="6"/>
      <c r="BB181" s="7">
        <f>ROUND(40,2)</f>
        <v>40</v>
      </c>
      <c r="BC181" s="6"/>
      <c r="BD181" s="6"/>
      <c r="BE181" s="7">
        <f>ROUND(3.2,2)</f>
        <v>3.2</v>
      </c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7">
        <f>ROUND(8,2)</f>
        <v>8</v>
      </c>
      <c r="BR181" s="6"/>
      <c r="BS181" s="6"/>
      <c r="BT181" s="7">
        <f>ROUND(1.2,2)</f>
        <v>1.2</v>
      </c>
      <c r="BU181" s="6"/>
      <c r="BV181" s="6"/>
      <c r="BW181" s="6"/>
      <c r="BX181" s="6"/>
      <c r="BY181" s="6"/>
      <c r="BZ181" s="6"/>
      <c r="CA181" s="7">
        <f>ROUND(16,2)</f>
        <v>16</v>
      </c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7">
        <f>ROUND(16,2)</f>
        <v>16</v>
      </c>
      <c r="CQ181" s="7">
        <f>ROUND(2380.10999999999,2)</f>
        <v>2380.11</v>
      </c>
      <c r="CR181" s="6"/>
      <c r="CS181" s="6"/>
      <c r="CT181" s="6"/>
      <c r="CU181" s="6"/>
      <c r="CV181" s="7">
        <f>ROUND(54340.88,2)</f>
        <v>54340.88</v>
      </c>
      <c r="CW181" s="6"/>
      <c r="CX181" s="6"/>
      <c r="CY181" s="7">
        <f>ROUND(9747.6,2)</f>
        <v>9747.6</v>
      </c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7">
        <f>ROUND(4865.46999999999,2)</f>
        <v>4865.47</v>
      </c>
      <c r="DO181" s="6"/>
      <c r="DP181" s="7">
        <f>ROUND(216.61,2)</f>
        <v>216.61</v>
      </c>
      <c r="DQ181" s="6"/>
      <c r="DR181" s="6"/>
      <c r="DS181" s="6"/>
      <c r="DT181" s="6"/>
      <c r="DU181" s="6"/>
      <c r="DV181" s="6"/>
      <c r="DW181" s="6"/>
      <c r="DX181" s="6"/>
      <c r="DY181" s="7">
        <f>ROUND(4510.24,2)</f>
        <v>4510.24</v>
      </c>
      <c r="DZ181" s="6"/>
      <c r="EA181" s="7">
        <f>ROUND(319.17,2)</f>
        <v>319.17</v>
      </c>
      <c r="EB181" s="6"/>
      <c r="EC181" s="6"/>
      <c r="ED181" s="7">
        <f>ROUND(2215.48,2)</f>
        <v>2215.48</v>
      </c>
      <c r="EE181" s="6"/>
      <c r="EF181" s="7">
        <f>ROUND(923.23,2)</f>
        <v>923.23</v>
      </c>
      <c r="EG181" s="7">
        <f>ROUND(155.47,2)</f>
        <v>155.47</v>
      </c>
      <c r="EH181" s="7">
        <f>ROUND(874.12,2)</f>
        <v>874.12</v>
      </c>
      <c r="EI181" s="7">
        <f>ROUND(240.67,2)</f>
        <v>240.67</v>
      </c>
      <c r="EJ181" s="6"/>
      <c r="EK181" s="7">
        <f>ROUND(1291.28,2)</f>
        <v>1291.28</v>
      </c>
      <c r="EL181" s="6"/>
      <c r="EM181" s="6"/>
      <c r="EN181" s="6"/>
      <c r="EO181" s="7">
        <f>ROUND(108.42,2)</f>
        <v>108.42</v>
      </c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7">
        <f>ROUND(256.72,2)</f>
        <v>256.72000000000003</v>
      </c>
      <c r="FE181" s="6"/>
      <c r="FF181" s="6"/>
      <c r="FG181" s="6"/>
      <c r="FH181" s="6"/>
      <c r="FI181" s="6"/>
      <c r="FJ181" s="7">
        <f>ROUND(1175,2)</f>
        <v>1175</v>
      </c>
      <c r="FK181" s="6"/>
      <c r="FL181" s="6"/>
      <c r="FM181" s="6"/>
      <c r="FN181" s="6"/>
      <c r="FO181" s="6"/>
      <c r="FP181" s="6"/>
      <c r="FQ181" s="6"/>
      <c r="FR181" s="6"/>
      <c r="FS181" s="6"/>
      <c r="FT181" s="7">
        <f>ROUND(3000,2)</f>
        <v>3000</v>
      </c>
      <c r="FU181" s="6"/>
      <c r="FV181" s="6"/>
      <c r="FW181" s="6"/>
      <c r="FX181" s="7">
        <f>ROUND(534.08,2)</f>
        <v>534.08000000000004</v>
      </c>
      <c r="FY181" s="7">
        <f>ROUND(84774.4399999999,2)</f>
        <v>84774.44</v>
      </c>
    </row>
    <row r="182" spans="1:181" ht="26.4" x14ac:dyDescent="0.3">
      <c r="A182" s="4" t="s">
        <v>585</v>
      </c>
      <c r="B182" s="5"/>
      <c r="C182" s="5" t="s">
        <v>244</v>
      </c>
      <c r="D182" s="5" t="s">
        <v>586</v>
      </c>
      <c r="E182" s="5" t="s">
        <v>202</v>
      </c>
      <c r="F182" s="5" t="s">
        <v>0</v>
      </c>
      <c r="G182" s="5" t="s">
        <v>247</v>
      </c>
      <c r="H182" s="8">
        <f>ROUND(18,2)</f>
        <v>18</v>
      </c>
      <c r="I182" s="7">
        <f>ROUND(8077.5,2)</f>
        <v>8077.5</v>
      </c>
      <c r="J182" s="7">
        <f>ROUND(413.75,2)</f>
        <v>413.75</v>
      </c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7">
        <f>ROUND(10,2)</f>
        <v>10</v>
      </c>
      <c r="CI182" s="6"/>
      <c r="CJ182" s="6"/>
      <c r="CK182" s="6"/>
      <c r="CL182" s="6"/>
      <c r="CM182" s="6"/>
      <c r="CN182" s="6"/>
      <c r="CO182" s="6"/>
      <c r="CP182" s="7">
        <f>ROUND(25,2)</f>
        <v>25</v>
      </c>
      <c r="CQ182" s="7">
        <f>ROUND(448.75,2)</f>
        <v>448.75</v>
      </c>
      <c r="CR182" s="7">
        <f>ROUND(7447.5,2)</f>
        <v>7447.5</v>
      </c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7">
        <f>ROUND(180,2)</f>
        <v>180</v>
      </c>
      <c r="FO182" s="6"/>
      <c r="FP182" s="6"/>
      <c r="FQ182" s="6"/>
      <c r="FR182" s="6"/>
      <c r="FS182" s="6"/>
      <c r="FT182" s="6"/>
      <c r="FU182" s="6"/>
      <c r="FV182" s="6"/>
      <c r="FW182" s="6"/>
      <c r="FX182" s="7">
        <f>ROUND(450,2)</f>
        <v>450</v>
      </c>
      <c r="FY182" s="7">
        <f>ROUND(8077.5,2)</f>
        <v>8077.5</v>
      </c>
    </row>
    <row r="183" spans="1:181" x14ac:dyDescent="0.3">
      <c r="A183" s="4" t="s">
        <v>587</v>
      </c>
      <c r="B183" s="5" t="s">
        <v>1029</v>
      </c>
      <c r="C183" s="5" t="s">
        <v>236</v>
      </c>
      <c r="D183" s="5" t="s">
        <v>588</v>
      </c>
      <c r="E183" s="5" t="s">
        <v>0</v>
      </c>
      <c r="F183" s="5" t="s">
        <v>0</v>
      </c>
      <c r="G183" s="5" t="s">
        <v>238</v>
      </c>
      <c r="H183" s="8">
        <v>37.75</v>
      </c>
      <c r="I183" s="7">
        <f>ROUND(109444.349999999,2)</f>
        <v>109444.35</v>
      </c>
      <c r="J183" s="6"/>
      <c r="K183" s="6"/>
      <c r="L183" s="7">
        <f>ROUND(1964,2)</f>
        <v>1964</v>
      </c>
      <c r="M183" s="7">
        <f>ROUND(406.13,2)</f>
        <v>406.13</v>
      </c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7">
        <f>ROUND(56,2)</f>
        <v>56</v>
      </c>
      <c r="AV183" s="6"/>
      <c r="AW183" s="7">
        <f>ROUND(32,2)</f>
        <v>32</v>
      </c>
      <c r="AX183" s="7">
        <f>ROUND(24,2)</f>
        <v>24</v>
      </c>
      <c r="AY183" s="7">
        <f>ROUND(68,2)</f>
        <v>68</v>
      </c>
      <c r="AZ183" s="7">
        <f>ROUND(52,2)</f>
        <v>52</v>
      </c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7">
        <f>ROUND(2602.13,2)</f>
        <v>2602.13</v>
      </c>
      <c r="CR183" s="6"/>
      <c r="CS183" s="6"/>
      <c r="CT183" s="7">
        <f>ROUND(72094.2799999999,2)</f>
        <v>72094.28</v>
      </c>
      <c r="CU183" s="7">
        <f>ROUND(22396.35,2)</f>
        <v>22396.35</v>
      </c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7">
        <f>ROUND(2063.12,2)</f>
        <v>2063.12</v>
      </c>
      <c r="EE183" s="6"/>
      <c r="EF183" s="7">
        <f>ROUND(1174.08,2)</f>
        <v>1174.08</v>
      </c>
      <c r="EG183" s="7">
        <f>ROUND(1350.12,2)</f>
        <v>1350.12</v>
      </c>
      <c r="EH183" s="7">
        <f>ROUND(2525.27999999999,2)</f>
        <v>2525.2800000000002</v>
      </c>
      <c r="EI183" s="7">
        <f>ROUND(2841.12,2)</f>
        <v>2841.12</v>
      </c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7">
        <f>ROUND(2000,2)</f>
        <v>2000</v>
      </c>
      <c r="FK183" s="6"/>
      <c r="FL183" s="6"/>
      <c r="FM183" s="6"/>
      <c r="FN183" s="6"/>
      <c r="FO183" s="6"/>
      <c r="FP183" s="6"/>
      <c r="FQ183" s="6"/>
      <c r="FR183" s="6"/>
      <c r="FS183" s="6"/>
      <c r="FT183" s="7">
        <f>ROUND(3000,2)</f>
        <v>3000</v>
      </c>
      <c r="FU183" s="6"/>
      <c r="FV183" s="6"/>
      <c r="FW183" s="6"/>
      <c r="FX183" s="6"/>
      <c r="FY183" s="7">
        <f>ROUND(109444.349999999,2)</f>
        <v>109444.35</v>
      </c>
    </row>
    <row r="184" spans="1:181" x14ac:dyDescent="0.3">
      <c r="A184" s="4" t="s">
        <v>589</v>
      </c>
      <c r="B184" s="5" t="s">
        <v>1029</v>
      </c>
      <c r="C184" s="5" t="s">
        <v>181</v>
      </c>
      <c r="D184" s="5" t="s">
        <v>590</v>
      </c>
      <c r="E184" s="5" t="s">
        <v>0</v>
      </c>
      <c r="F184" s="5" t="s">
        <v>0</v>
      </c>
      <c r="G184" s="5" t="s">
        <v>183</v>
      </c>
      <c r="H184" s="8">
        <v>33.880000000000003</v>
      </c>
      <c r="I184" s="7">
        <f>ROUND(96316.62,2)</f>
        <v>96316.62</v>
      </c>
      <c r="J184" s="6"/>
      <c r="K184" s="6"/>
      <c r="L184" s="6"/>
      <c r="M184" s="6"/>
      <c r="N184" s="7">
        <f>ROUND(84.01,2)</f>
        <v>84.01</v>
      </c>
      <c r="O184" s="6"/>
      <c r="P184" s="6"/>
      <c r="Q184" s="7">
        <f>ROUND(39.9699999999999,2)</f>
        <v>39.97</v>
      </c>
      <c r="R184" s="6"/>
      <c r="S184" s="6"/>
      <c r="T184" s="6"/>
      <c r="U184" s="6"/>
      <c r="V184" s="6"/>
      <c r="W184" s="7">
        <f>ROUND(37.33,2)</f>
        <v>37.33</v>
      </c>
      <c r="X184" s="7">
        <f>ROUND(33.34,2)</f>
        <v>33.340000000000003</v>
      </c>
      <c r="Y184" s="7">
        <f>ROUND(12.11,2)</f>
        <v>12.11</v>
      </c>
      <c r="Z184" s="6"/>
      <c r="AA184" s="6"/>
      <c r="AB184" s="6"/>
      <c r="AC184" s="6"/>
      <c r="AD184" s="6"/>
      <c r="AE184" s="7">
        <f>ROUND(1648.23,2)</f>
        <v>1648.23</v>
      </c>
      <c r="AF184" s="6"/>
      <c r="AG184" s="7">
        <f>ROUND(219.399999999999,2)</f>
        <v>219.4</v>
      </c>
      <c r="AH184" s="6"/>
      <c r="AI184" s="6"/>
      <c r="AJ184" s="6"/>
      <c r="AK184" s="6"/>
      <c r="AL184" s="6"/>
      <c r="AM184" s="6"/>
      <c r="AN184" s="6"/>
      <c r="AO184" s="6"/>
      <c r="AP184" s="7">
        <f>ROUND(94.6699999999999,2)</f>
        <v>94.67</v>
      </c>
      <c r="AQ184" s="6"/>
      <c r="AR184" s="7">
        <f>ROUND(106.69,2)</f>
        <v>106.69</v>
      </c>
      <c r="AS184" s="6"/>
      <c r="AT184" s="6"/>
      <c r="AU184" s="7">
        <f>ROUND(68,2)</f>
        <v>68</v>
      </c>
      <c r="AV184" s="6"/>
      <c r="AW184" s="7">
        <f>ROUND(32,2)</f>
        <v>32</v>
      </c>
      <c r="AX184" s="6"/>
      <c r="AY184" s="7">
        <f>ROUND(152,2)</f>
        <v>152</v>
      </c>
      <c r="AZ184" s="7">
        <f>ROUND(16,2)</f>
        <v>16</v>
      </c>
      <c r="BA184" s="6"/>
      <c r="BB184" s="6"/>
      <c r="BC184" s="6"/>
      <c r="BD184" s="7">
        <f>ROUND(8,2)</f>
        <v>8</v>
      </c>
      <c r="BE184" s="7">
        <f>ROUND(1.5,2)</f>
        <v>1.5</v>
      </c>
      <c r="BF184" s="6"/>
      <c r="BG184" s="6"/>
      <c r="BH184" s="6"/>
      <c r="BI184" s="6"/>
      <c r="BJ184" s="6"/>
      <c r="BK184" s="6"/>
      <c r="BL184" s="6"/>
      <c r="BM184" s="6"/>
      <c r="BN184" s="6"/>
      <c r="BO184" s="7">
        <f>ROUND(18,2)</f>
        <v>18</v>
      </c>
      <c r="BP184" s="7">
        <f>ROUND(7,2)</f>
        <v>7</v>
      </c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7">
        <f>ROUND(2578.25,2)</f>
        <v>2578.25</v>
      </c>
      <c r="CR184" s="6"/>
      <c r="CS184" s="6"/>
      <c r="CT184" s="6"/>
      <c r="CU184" s="6"/>
      <c r="CV184" s="7">
        <f>ROUND(2730.6,2)</f>
        <v>2730.6</v>
      </c>
      <c r="CW184" s="6"/>
      <c r="CX184" s="6"/>
      <c r="CY184" s="7">
        <f>ROUND(1962.31,2)</f>
        <v>1962.31</v>
      </c>
      <c r="CZ184" s="6"/>
      <c r="DA184" s="6"/>
      <c r="DB184" s="6"/>
      <c r="DC184" s="6"/>
      <c r="DD184" s="6"/>
      <c r="DE184" s="7">
        <f>ROUND(1836.92999999999,2)</f>
        <v>1836.93</v>
      </c>
      <c r="DF184" s="7">
        <f>ROUND(1089.94999999999,2)</f>
        <v>1089.95</v>
      </c>
      <c r="DG184" s="7">
        <f>ROUND(592.699999999999,2)</f>
        <v>592.70000000000005</v>
      </c>
      <c r="DH184" s="6"/>
      <c r="DI184" s="6"/>
      <c r="DJ184" s="6"/>
      <c r="DK184" s="6"/>
      <c r="DL184" s="6"/>
      <c r="DM184" s="6"/>
      <c r="DN184" s="7">
        <f>ROUND(53633.2299999999,2)</f>
        <v>53633.23</v>
      </c>
      <c r="DO184" s="6"/>
      <c r="DP184" s="7">
        <f>ROUND(10768.47,2)</f>
        <v>10768.47</v>
      </c>
      <c r="DQ184" s="6"/>
      <c r="DR184" s="6"/>
      <c r="DS184" s="6"/>
      <c r="DT184" s="6"/>
      <c r="DU184" s="6"/>
      <c r="DV184" s="6"/>
      <c r="DW184" s="6"/>
      <c r="DX184" s="6"/>
      <c r="DY184" s="7">
        <f>ROUND(3137.48,2)</f>
        <v>3137.48</v>
      </c>
      <c r="DZ184" s="6"/>
      <c r="EA184" s="7">
        <f>ROUND(5247.46999999999,2)</f>
        <v>5247.47</v>
      </c>
      <c r="EB184" s="6"/>
      <c r="EC184" s="6"/>
      <c r="ED184" s="7">
        <f>ROUND(2218.12,2)</f>
        <v>2218.12</v>
      </c>
      <c r="EE184" s="6"/>
      <c r="EF184" s="7">
        <f>ROUND(1049.92,2)</f>
        <v>1049.92</v>
      </c>
      <c r="EG184" s="6"/>
      <c r="EH184" s="7">
        <f>ROUND(4990.48,2)</f>
        <v>4990.4799999999996</v>
      </c>
      <c r="EI184" s="7">
        <f>ROUND(781.68,2)</f>
        <v>781.68</v>
      </c>
      <c r="EJ184" s="6"/>
      <c r="EK184" s="6"/>
      <c r="EL184" s="6"/>
      <c r="EM184" s="6"/>
      <c r="EN184" s="7">
        <f>ROUND(256.72,2)</f>
        <v>256.72000000000003</v>
      </c>
      <c r="EO184" s="7">
        <f>ROUND(74.36,2)</f>
        <v>74.36</v>
      </c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7">
        <f>ROUND(597.6,2)</f>
        <v>597.6</v>
      </c>
      <c r="FC184" s="7">
        <f>ROUND(348.6,2)</f>
        <v>348.6</v>
      </c>
      <c r="FD184" s="6"/>
      <c r="FE184" s="6"/>
      <c r="FF184" s="6"/>
      <c r="FG184" s="6"/>
      <c r="FH184" s="6"/>
      <c r="FI184" s="6"/>
      <c r="FJ184" s="7">
        <f>ROUND(2000,2)</f>
        <v>2000</v>
      </c>
      <c r="FK184" s="6"/>
      <c r="FL184" s="6"/>
      <c r="FM184" s="6"/>
      <c r="FN184" s="6"/>
      <c r="FO184" s="6"/>
      <c r="FP184" s="6"/>
      <c r="FQ184" s="6"/>
      <c r="FR184" s="6"/>
      <c r="FS184" s="6"/>
      <c r="FT184" s="7">
        <f>ROUND(3000,2)</f>
        <v>3000</v>
      </c>
      <c r="FU184" s="6"/>
      <c r="FV184" s="6"/>
      <c r="FW184" s="6"/>
      <c r="FX184" s="6"/>
      <c r="FY184" s="7">
        <f>ROUND(96316.62,2)</f>
        <v>96316.62</v>
      </c>
    </row>
    <row r="185" spans="1:181" ht="26.4" x14ac:dyDescent="0.3">
      <c r="A185" s="4" t="s">
        <v>591</v>
      </c>
      <c r="B185" s="5"/>
      <c r="C185" s="5" t="s">
        <v>201</v>
      </c>
      <c r="D185" s="5" t="s">
        <v>202</v>
      </c>
      <c r="E185" s="5" t="s">
        <v>0</v>
      </c>
      <c r="F185" s="5" t="s">
        <v>0</v>
      </c>
      <c r="G185" s="5" t="s">
        <v>203</v>
      </c>
      <c r="H185" s="8">
        <f>ROUND(18,2)</f>
        <v>18</v>
      </c>
      <c r="I185" s="7">
        <f>ROUND(10379.25,2)</f>
        <v>10379.25</v>
      </c>
      <c r="J185" s="7">
        <f>ROUND(543.75,2)</f>
        <v>543.75</v>
      </c>
      <c r="K185" s="7">
        <f>ROUND(10.25,2)</f>
        <v>10.25</v>
      </c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7">
        <f>ROUND(5,2)</f>
        <v>5</v>
      </c>
      <c r="CI185" s="6"/>
      <c r="CJ185" s="6"/>
      <c r="CK185" s="6"/>
      <c r="CL185" s="6"/>
      <c r="CM185" s="6"/>
      <c r="CN185" s="6"/>
      <c r="CO185" s="6"/>
      <c r="CP185" s="6"/>
      <c r="CQ185" s="7">
        <f>ROUND(559,2)</f>
        <v>559</v>
      </c>
      <c r="CR185" s="7">
        <f>ROUND(9787.5,2)</f>
        <v>9787.5</v>
      </c>
      <c r="CS185" s="7">
        <f>ROUND(276.75,2)</f>
        <v>276.75</v>
      </c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7">
        <f>ROUND(225,2)</f>
        <v>225</v>
      </c>
      <c r="FK185" s="6"/>
      <c r="FL185" s="6"/>
      <c r="FM185" s="6"/>
      <c r="FN185" s="7">
        <f>ROUND(90,2)</f>
        <v>90</v>
      </c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7">
        <f>ROUND(10379.25,2)</f>
        <v>10379.25</v>
      </c>
    </row>
    <row r="186" spans="1:181" x14ac:dyDescent="0.3">
      <c r="A186" s="4" t="s">
        <v>592</v>
      </c>
      <c r="B186" s="5" t="s">
        <v>1029</v>
      </c>
      <c r="C186" s="5" t="s">
        <v>181</v>
      </c>
      <c r="D186" s="5" t="s">
        <v>219</v>
      </c>
      <c r="E186" s="5" t="s">
        <v>0</v>
      </c>
      <c r="F186" s="5" t="s">
        <v>0</v>
      </c>
      <c r="G186" s="5" t="s">
        <v>183</v>
      </c>
      <c r="H186" s="8">
        <v>33.380000000000003</v>
      </c>
      <c r="I186" s="7">
        <f>ROUND(33303.12,2)</f>
        <v>33303.120000000003</v>
      </c>
      <c r="J186" s="6"/>
      <c r="K186" s="6"/>
      <c r="L186" s="6"/>
      <c r="M186" s="6"/>
      <c r="N186" s="7">
        <f>ROUND(454.61,2)</f>
        <v>454.61</v>
      </c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7">
        <f>ROUND(5,2)</f>
        <v>5</v>
      </c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7">
        <f>ROUND(1.98,2)</f>
        <v>1.98</v>
      </c>
      <c r="AQ186" s="6"/>
      <c r="AR186" s="6"/>
      <c r="AS186" s="6"/>
      <c r="AT186" s="6"/>
      <c r="AU186" s="7">
        <f>ROUND(30,2)</f>
        <v>30</v>
      </c>
      <c r="AV186" s="6"/>
      <c r="AW186" s="7">
        <f>ROUND(5,2)</f>
        <v>5</v>
      </c>
      <c r="AX186" s="6"/>
      <c r="AY186" s="7">
        <f>ROUND(35,2)</f>
        <v>35</v>
      </c>
      <c r="AZ186" s="6"/>
      <c r="BA186" s="6"/>
      <c r="BB186" s="7">
        <f>ROUND(15,2)</f>
        <v>15</v>
      </c>
      <c r="BC186" s="6"/>
      <c r="BD186" s="7">
        <f>ROUND(8,2)</f>
        <v>8</v>
      </c>
      <c r="BE186" s="7">
        <f>ROUND(7.33,2)</f>
        <v>7.33</v>
      </c>
      <c r="BF186" s="6"/>
      <c r="BG186" s="6"/>
      <c r="BH186" s="6"/>
      <c r="BI186" s="6"/>
      <c r="BJ186" s="6"/>
      <c r="BK186" s="6"/>
      <c r="BL186" s="6"/>
      <c r="BM186" s="6"/>
      <c r="BN186" s="6"/>
      <c r="BO186" s="7">
        <f>ROUND(388,2)</f>
        <v>388</v>
      </c>
      <c r="BP186" s="6"/>
      <c r="BQ186" s="6"/>
      <c r="BR186" s="6"/>
      <c r="BS186" s="7">
        <f>ROUND(95,2)</f>
        <v>95</v>
      </c>
      <c r="BT186" s="7">
        <f>ROUND(0.28,2)</f>
        <v>0.28000000000000003</v>
      </c>
      <c r="BU186" s="6"/>
      <c r="BV186" s="6"/>
      <c r="BW186" s="7">
        <f>ROUND(10,2)</f>
        <v>10</v>
      </c>
      <c r="BX186" s="6"/>
      <c r="BY186" s="7">
        <f>ROUND(15,2)</f>
        <v>15</v>
      </c>
      <c r="BZ186" s="6"/>
      <c r="CA186" s="7">
        <f>ROUND(15,2)</f>
        <v>15</v>
      </c>
      <c r="CB186" s="6"/>
      <c r="CC186" s="7">
        <f>ROUND(305,2)</f>
        <v>305</v>
      </c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7">
        <f>ROUND(1390.19999999999,2)</f>
        <v>1390.2</v>
      </c>
      <c r="CR186" s="6"/>
      <c r="CS186" s="6"/>
      <c r="CT186" s="6"/>
      <c r="CU186" s="6"/>
      <c r="CV186" s="7">
        <f>ROUND(14755.0899999999,2)</f>
        <v>14755.09</v>
      </c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7">
        <f>ROUND(166.9,2)</f>
        <v>166.9</v>
      </c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7">
        <f>ROUND(65.44,2)</f>
        <v>65.44</v>
      </c>
      <c r="DZ186" s="6"/>
      <c r="EA186" s="6"/>
      <c r="EB186" s="6"/>
      <c r="EC186" s="6"/>
      <c r="ED186" s="7">
        <f>ROUND(978.75,2)</f>
        <v>978.75</v>
      </c>
      <c r="EE186" s="6"/>
      <c r="EF186" s="7">
        <f>ROUND(160.45,2)</f>
        <v>160.44999999999999</v>
      </c>
      <c r="EG186" s="6"/>
      <c r="EH186" s="7">
        <f>ROUND(1132.75,2)</f>
        <v>1132.75</v>
      </c>
      <c r="EI186" s="6"/>
      <c r="EJ186" s="6"/>
      <c r="EK186" s="7">
        <f>ROUND(486.15,2)</f>
        <v>486.15</v>
      </c>
      <c r="EL186" s="6"/>
      <c r="EM186" s="6"/>
      <c r="EN186" s="7">
        <f>ROUND(256.72,2)</f>
        <v>256.72000000000003</v>
      </c>
      <c r="EO186" s="7">
        <f>ROUND(242.26,2)</f>
        <v>242.26</v>
      </c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7">
        <f>ROUND(12808.61,2)</f>
        <v>12808.61</v>
      </c>
      <c r="FC186" s="6"/>
      <c r="FD186" s="6"/>
      <c r="FE186" s="6"/>
      <c r="FF186" s="6"/>
      <c r="FG186" s="6"/>
      <c r="FH186" s="6"/>
      <c r="FI186" s="6"/>
      <c r="FJ186" s="7">
        <f>ROUND(750,2)</f>
        <v>750</v>
      </c>
      <c r="FK186" s="6"/>
      <c r="FL186" s="6"/>
      <c r="FM186" s="6"/>
      <c r="FN186" s="6"/>
      <c r="FO186" s="6"/>
      <c r="FP186" s="6"/>
      <c r="FQ186" s="6"/>
      <c r="FR186" s="6"/>
      <c r="FS186" s="6"/>
      <c r="FT186" s="7">
        <f>ROUND(1500,2)</f>
        <v>1500</v>
      </c>
      <c r="FU186" s="6"/>
      <c r="FV186" s="6"/>
      <c r="FW186" s="6"/>
      <c r="FX186" s="6"/>
      <c r="FY186" s="7">
        <f>ROUND(33303.12,2)</f>
        <v>33303.120000000003</v>
      </c>
    </row>
    <row r="187" spans="1:181" x14ac:dyDescent="0.3">
      <c r="A187" s="4" t="s">
        <v>593</v>
      </c>
      <c r="B187" s="5" t="s">
        <v>1029</v>
      </c>
      <c r="C187" s="5" t="s">
        <v>181</v>
      </c>
      <c r="D187" s="5" t="s">
        <v>190</v>
      </c>
      <c r="E187" s="5" t="s">
        <v>0</v>
      </c>
      <c r="F187" s="5" t="s">
        <v>0</v>
      </c>
      <c r="G187" s="5" t="s">
        <v>183</v>
      </c>
      <c r="H187" s="8">
        <v>33.880000000000003</v>
      </c>
      <c r="I187" s="7">
        <f>ROUND(93746.47,2)</f>
        <v>93746.47</v>
      </c>
      <c r="J187" s="6"/>
      <c r="K187" s="6"/>
      <c r="L187" s="6"/>
      <c r="M187" s="6"/>
      <c r="N187" s="7">
        <f>ROUND(80.68,2)</f>
        <v>80.680000000000007</v>
      </c>
      <c r="O187" s="6"/>
      <c r="P187" s="6"/>
      <c r="Q187" s="7">
        <f>ROUND(32.28,2)</f>
        <v>32.28</v>
      </c>
      <c r="R187" s="6"/>
      <c r="S187" s="6"/>
      <c r="T187" s="6"/>
      <c r="U187" s="6"/>
      <c r="V187" s="6"/>
      <c r="W187" s="7">
        <f>ROUND(13.17,2)</f>
        <v>13.17</v>
      </c>
      <c r="X187" s="7">
        <f>ROUND(12.06,2)</f>
        <v>12.06</v>
      </c>
      <c r="Y187" s="7">
        <f>ROUND(5.66,2)</f>
        <v>5.66</v>
      </c>
      <c r="Z187" s="6"/>
      <c r="AA187" s="6"/>
      <c r="AB187" s="6"/>
      <c r="AC187" s="6"/>
      <c r="AD187" s="6"/>
      <c r="AE187" s="7">
        <f>ROUND(1778.76,2)</f>
        <v>1778.76</v>
      </c>
      <c r="AF187" s="6"/>
      <c r="AG187" s="7">
        <f>ROUND(247.129999999999,2)</f>
        <v>247.13</v>
      </c>
      <c r="AH187" s="6"/>
      <c r="AI187" s="6"/>
      <c r="AJ187" s="6"/>
      <c r="AK187" s="6"/>
      <c r="AL187" s="6"/>
      <c r="AM187" s="6"/>
      <c r="AN187" s="6"/>
      <c r="AO187" s="6"/>
      <c r="AP187" s="7">
        <f>ROUND(6.75,2)</f>
        <v>6.75</v>
      </c>
      <c r="AQ187" s="6"/>
      <c r="AR187" s="7">
        <f>ROUND(77.25,2)</f>
        <v>77.25</v>
      </c>
      <c r="AS187" s="6"/>
      <c r="AT187" s="6"/>
      <c r="AU187" s="7">
        <f>ROUND(68,2)</f>
        <v>68</v>
      </c>
      <c r="AV187" s="6"/>
      <c r="AW187" s="7">
        <f>ROUND(40,2)</f>
        <v>40</v>
      </c>
      <c r="AX187" s="6"/>
      <c r="AY187" s="7">
        <f>ROUND(86.93,2)</f>
        <v>86.93</v>
      </c>
      <c r="AZ187" s="7">
        <f>ROUND(25.07,2)</f>
        <v>25.07</v>
      </c>
      <c r="BA187" s="6"/>
      <c r="BB187" s="6"/>
      <c r="BC187" s="6"/>
      <c r="BD187" s="7">
        <f>ROUND(8,2)</f>
        <v>8</v>
      </c>
      <c r="BE187" s="7">
        <f>ROUND(1.5,2)</f>
        <v>1.5</v>
      </c>
      <c r="BF187" s="6"/>
      <c r="BG187" s="6"/>
      <c r="BH187" s="6"/>
      <c r="BI187" s="6"/>
      <c r="BJ187" s="6"/>
      <c r="BK187" s="6"/>
      <c r="BL187" s="6"/>
      <c r="BM187" s="6"/>
      <c r="BN187" s="6"/>
      <c r="BO187" s="7">
        <f>ROUND(10,2)</f>
        <v>10</v>
      </c>
      <c r="BP187" s="6"/>
      <c r="BQ187" s="6"/>
      <c r="BR187" s="6"/>
      <c r="BS187" s="7">
        <f>ROUND(45.33,2)</f>
        <v>45.33</v>
      </c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7">
        <f>ROUND(48,2)</f>
        <v>48</v>
      </c>
      <c r="CQ187" s="7">
        <f>ROUND(2586.57,2)</f>
        <v>2586.5700000000002</v>
      </c>
      <c r="CR187" s="6"/>
      <c r="CS187" s="6"/>
      <c r="CT187" s="6"/>
      <c r="CU187" s="6"/>
      <c r="CV187" s="7">
        <f>ROUND(2621.77999999999,2)</f>
        <v>2621.78</v>
      </c>
      <c r="CW187" s="6"/>
      <c r="CX187" s="6"/>
      <c r="CY187" s="7">
        <f>ROUND(1576.89,2)</f>
        <v>1576.89</v>
      </c>
      <c r="CZ187" s="6"/>
      <c r="DA187" s="6"/>
      <c r="DB187" s="6"/>
      <c r="DC187" s="6"/>
      <c r="DD187" s="6"/>
      <c r="DE187" s="7">
        <f>ROUND(644.02,2)</f>
        <v>644.02</v>
      </c>
      <c r="DF187" s="7">
        <f>ROUND(388.269999999999,2)</f>
        <v>388.27</v>
      </c>
      <c r="DG187" s="7">
        <f>ROUND(272.43,2)</f>
        <v>272.43</v>
      </c>
      <c r="DH187" s="6"/>
      <c r="DI187" s="6"/>
      <c r="DJ187" s="6"/>
      <c r="DK187" s="6"/>
      <c r="DL187" s="6"/>
      <c r="DM187" s="6"/>
      <c r="DN187" s="7">
        <f>ROUND(58023.7699999999,2)</f>
        <v>58023.77</v>
      </c>
      <c r="DO187" s="6"/>
      <c r="DP187" s="7">
        <f>ROUND(12158.3399999999,2)</f>
        <v>12158.34</v>
      </c>
      <c r="DQ187" s="6"/>
      <c r="DR187" s="6"/>
      <c r="DS187" s="6"/>
      <c r="DT187" s="6"/>
      <c r="DU187" s="6"/>
      <c r="DV187" s="6"/>
      <c r="DW187" s="6"/>
      <c r="DX187" s="6"/>
      <c r="DY187" s="7">
        <f>ROUND(217.62,2)</f>
        <v>217.62</v>
      </c>
      <c r="DZ187" s="6"/>
      <c r="EA187" s="7">
        <f>ROUND(3776.31,2)</f>
        <v>3776.31</v>
      </c>
      <c r="EB187" s="6"/>
      <c r="EC187" s="6"/>
      <c r="ED187" s="7">
        <f>ROUND(2218.12,2)</f>
        <v>2218.12</v>
      </c>
      <c r="EE187" s="6"/>
      <c r="EF187" s="7">
        <f>ROUND(1291.28,2)</f>
        <v>1291.28</v>
      </c>
      <c r="EG187" s="6"/>
      <c r="EH187" s="7">
        <f>ROUND(2822.22,2)</f>
        <v>2822.22</v>
      </c>
      <c r="EI187" s="7">
        <f>ROUND(1238.42,2)</f>
        <v>1238.42</v>
      </c>
      <c r="EJ187" s="6"/>
      <c r="EK187" s="6"/>
      <c r="EL187" s="6"/>
      <c r="EM187" s="6"/>
      <c r="EN187" s="7">
        <f>ROUND(256.72,2)</f>
        <v>256.72000000000003</v>
      </c>
      <c r="EO187" s="7">
        <f>ROUND(49.8,2)</f>
        <v>49.8</v>
      </c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7">
        <f>ROUND(322.4,2)</f>
        <v>322.39999999999998</v>
      </c>
      <c r="FC187" s="6"/>
      <c r="FD187" s="6"/>
      <c r="FE187" s="6"/>
      <c r="FF187" s="6"/>
      <c r="FG187" s="6"/>
      <c r="FH187" s="6"/>
      <c r="FI187" s="6"/>
      <c r="FJ187" s="7">
        <f>ROUND(1250,2)</f>
        <v>1250</v>
      </c>
      <c r="FK187" s="6"/>
      <c r="FL187" s="6"/>
      <c r="FM187" s="6"/>
      <c r="FN187" s="6"/>
      <c r="FO187" s="6"/>
      <c r="FP187" s="6"/>
      <c r="FQ187" s="6"/>
      <c r="FR187" s="6"/>
      <c r="FS187" s="6"/>
      <c r="FT187" s="7">
        <f>ROUND(3000,2)</f>
        <v>3000</v>
      </c>
      <c r="FU187" s="6"/>
      <c r="FV187" s="6"/>
      <c r="FW187" s="6"/>
      <c r="FX187" s="7">
        <f>ROUND(1618.08,2)</f>
        <v>1618.08</v>
      </c>
      <c r="FY187" s="7">
        <f>ROUND(93746.47,2)</f>
        <v>93746.47</v>
      </c>
    </row>
    <row r="188" spans="1:181" x14ac:dyDescent="0.3">
      <c r="A188" s="4" t="s">
        <v>594</v>
      </c>
      <c r="B188" s="5" t="s">
        <v>1029</v>
      </c>
      <c r="C188" s="5" t="s">
        <v>181</v>
      </c>
      <c r="D188" s="5" t="s">
        <v>276</v>
      </c>
      <c r="E188" s="5" t="s">
        <v>595</v>
      </c>
      <c r="F188" s="5" t="s">
        <v>0</v>
      </c>
      <c r="G188" s="5" t="s">
        <v>183</v>
      </c>
      <c r="H188" s="8">
        <v>33.049999999999997</v>
      </c>
      <c r="I188" s="7">
        <f>ROUND(83236.7699999999,2)</f>
        <v>83236.77</v>
      </c>
      <c r="J188" s="6"/>
      <c r="K188" s="6"/>
      <c r="L188" s="6"/>
      <c r="M188" s="6"/>
      <c r="N188" s="7">
        <f>ROUND(1629.92,2)</f>
        <v>1629.92</v>
      </c>
      <c r="O188" s="6"/>
      <c r="P188" s="6"/>
      <c r="Q188" s="7">
        <f>ROUND(389.85,2)</f>
        <v>389.85</v>
      </c>
      <c r="R188" s="6"/>
      <c r="S188" s="6"/>
      <c r="T188" s="6"/>
      <c r="U188" s="6"/>
      <c r="V188" s="7">
        <f>ROUND(12.92,2)</f>
        <v>12.92</v>
      </c>
      <c r="W188" s="6"/>
      <c r="X188" s="6"/>
      <c r="Y188" s="7">
        <f>ROUND(0.83,2)</f>
        <v>0.83</v>
      </c>
      <c r="Z188" s="6"/>
      <c r="AA188" s="6"/>
      <c r="AB188" s="6"/>
      <c r="AC188" s="6"/>
      <c r="AD188" s="6"/>
      <c r="AE188" s="7">
        <f>ROUND(6,2)</f>
        <v>6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7">
        <f>ROUND(67.96,2)</f>
        <v>67.959999999999994</v>
      </c>
      <c r="AQ188" s="6"/>
      <c r="AR188" s="7">
        <f>ROUND(14.26,2)</f>
        <v>14.26</v>
      </c>
      <c r="AS188" s="6"/>
      <c r="AT188" s="6"/>
      <c r="AU188" s="7">
        <f>ROUND(48,2)</f>
        <v>48</v>
      </c>
      <c r="AV188" s="6"/>
      <c r="AW188" s="7">
        <f>ROUND(21.38,2)</f>
        <v>21.38</v>
      </c>
      <c r="AX188" s="7">
        <f>ROUND(10.62,2)</f>
        <v>10.62</v>
      </c>
      <c r="AY188" s="7">
        <f>ROUND(16,2)</f>
        <v>16</v>
      </c>
      <c r="AZ188" s="6"/>
      <c r="BA188" s="6"/>
      <c r="BB188" s="7">
        <f>ROUND(44,2)</f>
        <v>44</v>
      </c>
      <c r="BC188" s="6"/>
      <c r="BD188" s="7">
        <f>ROUND(8,2)</f>
        <v>8</v>
      </c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7">
        <f>ROUND(34.53,2)</f>
        <v>34.53</v>
      </c>
      <c r="BR188" s="7">
        <f>ROUND(1.47,2)</f>
        <v>1.47</v>
      </c>
      <c r="BS188" s="7">
        <f>ROUND(82,2)</f>
        <v>82</v>
      </c>
      <c r="BT188" s="7">
        <f>ROUND(0.83,2)</f>
        <v>0.83</v>
      </c>
      <c r="BU188" s="6"/>
      <c r="BV188" s="6"/>
      <c r="BW188" s="7">
        <f>ROUND(18,2)</f>
        <v>18</v>
      </c>
      <c r="BX188" s="6"/>
      <c r="BY188" s="6"/>
      <c r="BZ188" s="7">
        <f>ROUND(56,2)</f>
        <v>56</v>
      </c>
      <c r="CA188" s="7">
        <f>ROUND(32.25,2)</f>
        <v>32.25</v>
      </c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7">
        <f>ROUND(24,2)</f>
        <v>24</v>
      </c>
      <c r="CQ188" s="7">
        <f>ROUND(2518.82,2)</f>
        <v>2518.8200000000002</v>
      </c>
      <c r="CR188" s="6"/>
      <c r="CS188" s="6"/>
      <c r="CT188" s="6"/>
      <c r="CU188" s="6"/>
      <c r="CV188" s="7">
        <f>ROUND(53091.93,2)</f>
        <v>53091.93</v>
      </c>
      <c r="CW188" s="6"/>
      <c r="CX188" s="6"/>
      <c r="CY188" s="7">
        <f>ROUND(19049.76,2)</f>
        <v>19049.759999999998</v>
      </c>
      <c r="CZ188" s="6"/>
      <c r="DA188" s="6"/>
      <c r="DB188" s="6"/>
      <c r="DC188" s="6"/>
      <c r="DD188" s="7">
        <f>ROUND(416.539999999999,2)</f>
        <v>416.54</v>
      </c>
      <c r="DE188" s="6"/>
      <c r="DF188" s="6"/>
      <c r="DG188" s="7">
        <f>ROUND(39.95,2)</f>
        <v>39.950000000000003</v>
      </c>
      <c r="DH188" s="6"/>
      <c r="DI188" s="6"/>
      <c r="DJ188" s="6"/>
      <c r="DK188" s="6"/>
      <c r="DL188" s="6"/>
      <c r="DM188" s="6"/>
      <c r="DN188" s="7">
        <f>ROUND(192.54,2)</f>
        <v>192.54</v>
      </c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7">
        <f>ROUND(2190.08999999999,2)</f>
        <v>2190.09</v>
      </c>
      <c r="DZ188" s="6"/>
      <c r="EA188" s="7">
        <f>ROUND(687.79,2)</f>
        <v>687.79</v>
      </c>
      <c r="EB188" s="6"/>
      <c r="EC188" s="6"/>
      <c r="ED188" s="7">
        <f>ROUND(1555.68,2)</f>
        <v>1555.68</v>
      </c>
      <c r="EE188" s="6"/>
      <c r="EF188" s="7">
        <f>ROUND(696.91,2)</f>
        <v>696.91</v>
      </c>
      <c r="EG188" s="7">
        <f>ROUND(517.98,2)</f>
        <v>517.98</v>
      </c>
      <c r="EH188" s="7">
        <f>ROUND(528.8,2)</f>
        <v>528.79999999999995</v>
      </c>
      <c r="EI188" s="6"/>
      <c r="EJ188" s="6"/>
      <c r="EK188" s="7">
        <f>ROUND(1411.96,2)</f>
        <v>1411.96</v>
      </c>
      <c r="EL188" s="6"/>
      <c r="EM188" s="6"/>
      <c r="EN188" s="7">
        <f>ROUND(256.72,2)</f>
        <v>256.72000000000003</v>
      </c>
      <c r="EO188" s="6"/>
      <c r="EP188" s="6"/>
      <c r="EQ188" s="6"/>
      <c r="ER188" s="7">
        <f>ROUND(318,2)</f>
        <v>318</v>
      </c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7">
        <f>ROUND(1141.21999999999,2)</f>
        <v>1141.22</v>
      </c>
      <c r="FE188" s="7">
        <f>ROUND(72.88,2)</f>
        <v>72.88</v>
      </c>
      <c r="FF188" s="6"/>
      <c r="FG188" s="6"/>
      <c r="FH188" s="6"/>
      <c r="FI188" s="6"/>
      <c r="FJ188" s="7">
        <f>ROUND(275,2)</f>
        <v>275</v>
      </c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7">
        <f>ROUND(793.02,2)</f>
        <v>793.02</v>
      </c>
      <c r="FY188" s="7">
        <f>ROUND(83236.7699999999,2)</f>
        <v>83236.77</v>
      </c>
    </row>
    <row r="189" spans="1:181" ht="26.4" x14ac:dyDescent="0.3">
      <c r="A189" s="4" t="s">
        <v>596</v>
      </c>
      <c r="B189" s="5"/>
      <c r="C189" s="5" t="s">
        <v>201</v>
      </c>
      <c r="D189" s="5" t="s">
        <v>597</v>
      </c>
      <c r="E189" s="5" t="s">
        <v>598</v>
      </c>
      <c r="F189" s="5" t="s">
        <v>0</v>
      </c>
      <c r="G189" s="5" t="s">
        <v>203</v>
      </c>
      <c r="H189" s="8">
        <f>ROUND(18,2)</f>
        <v>18</v>
      </c>
      <c r="I189" s="7">
        <f>ROUND(20787.75,2)</f>
        <v>20787.75</v>
      </c>
      <c r="J189" s="7">
        <f>ROUND(962.5,2)</f>
        <v>962.5</v>
      </c>
      <c r="K189" s="7">
        <f>ROUND(69.5,2)</f>
        <v>69.5</v>
      </c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7">
        <f>ROUND(-8.25,2)</f>
        <v>-8.25</v>
      </c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7">
        <f>ROUND(16,2)</f>
        <v>16</v>
      </c>
      <c r="CI189" s="7">
        <f>ROUND(16,2)</f>
        <v>16</v>
      </c>
      <c r="CJ189" s="7">
        <f>ROUND(8.25,2)</f>
        <v>8.25</v>
      </c>
      <c r="CK189" s="6"/>
      <c r="CL189" s="7">
        <f>ROUND(12,2)</f>
        <v>12</v>
      </c>
      <c r="CM189" s="6"/>
      <c r="CN189" s="7">
        <f>ROUND(40,2)</f>
        <v>40</v>
      </c>
      <c r="CO189" s="6"/>
      <c r="CP189" s="6"/>
      <c r="CQ189" s="7">
        <f>ROUND(1116,2)</f>
        <v>1116</v>
      </c>
      <c r="CR189" s="7">
        <f>ROUND(17325,2)</f>
        <v>17325</v>
      </c>
      <c r="CS189" s="7">
        <f>ROUND(1876.5,2)</f>
        <v>1876.5</v>
      </c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7">
        <f>ROUND(-148.5,2)</f>
        <v>-148.5</v>
      </c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7">
        <f>ROUND(288,2)</f>
        <v>288</v>
      </c>
      <c r="FO189" s="7">
        <f>ROUND(288,2)</f>
        <v>288</v>
      </c>
      <c r="FP189" s="7">
        <f>ROUND(222.75,2)</f>
        <v>222.75</v>
      </c>
      <c r="FQ189" s="6"/>
      <c r="FR189" s="6"/>
      <c r="FS189" s="7">
        <f>ROUND(216,2)</f>
        <v>216</v>
      </c>
      <c r="FT189" s="6"/>
      <c r="FU189" s="6"/>
      <c r="FV189" s="7">
        <f>ROUND(720,2)</f>
        <v>720</v>
      </c>
      <c r="FW189" s="6"/>
      <c r="FX189" s="6"/>
      <c r="FY189" s="7">
        <f>ROUND(20787.75,2)</f>
        <v>20787.75</v>
      </c>
    </row>
    <row r="190" spans="1:181" ht="26.4" x14ac:dyDescent="0.3">
      <c r="A190" s="4" t="s">
        <v>599</v>
      </c>
      <c r="B190" s="5"/>
      <c r="C190" s="5" t="s">
        <v>294</v>
      </c>
      <c r="D190" s="5" t="s">
        <v>194</v>
      </c>
      <c r="E190" s="5" t="s">
        <v>0</v>
      </c>
      <c r="F190" s="5" t="s">
        <v>0</v>
      </c>
      <c r="G190" s="5" t="s">
        <v>315</v>
      </c>
      <c r="H190" s="8">
        <f>ROUND(1386.53,2)</f>
        <v>1386.53</v>
      </c>
      <c r="I190" s="7">
        <f>ROUND(88813.7699999999,2)</f>
        <v>88813.77</v>
      </c>
      <c r="J190" s="7">
        <f>ROUND(1688,2)</f>
        <v>1688</v>
      </c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7">
        <f>ROUND(-40,2)</f>
        <v>-40</v>
      </c>
      <c r="AC190" s="7">
        <f>ROUND(6,2)</f>
        <v>6</v>
      </c>
      <c r="AD190" s="7">
        <f>ROUND(26,2)</f>
        <v>26</v>
      </c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7">
        <f>ROUND(16,2)</f>
        <v>16</v>
      </c>
      <c r="BX190" s="6"/>
      <c r="BY190" s="6"/>
      <c r="BZ190" s="6"/>
      <c r="CA190" s="6"/>
      <c r="CB190" s="6"/>
      <c r="CC190" s="6"/>
      <c r="CD190" s="6"/>
      <c r="CE190" s="6"/>
      <c r="CF190" s="6"/>
      <c r="CG190" s="7">
        <f>ROUND(32,2)</f>
        <v>32</v>
      </c>
      <c r="CH190" s="7">
        <f>ROUND(48,2)</f>
        <v>48</v>
      </c>
      <c r="CI190" s="7">
        <f>ROUND(32,2)</f>
        <v>32</v>
      </c>
      <c r="CJ190" s="6"/>
      <c r="CK190" s="6"/>
      <c r="CL190" s="6"/>
      <c r="CM190" s="6"/>
      <c r="CN190" s="7">
        <f>ROUND(136,2)</f>
        <v>136</v>
      </c>
      <c r="CO190" s="6"/>
      <c r="CP190" s="6"/>
      <c r="CQ190" s="7">
        <f>ROUND(1944,2)</f>
        <v>1944</v>
      </c>
      <c r="CR190" s="7">
        <f>ROUND(70990.3099999999,2)</f>
        <v>70990.31</v>
      </c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>
        <f>ROUND(-1386.54,2)</f>
        <v>-1386.54</v>
      </c>
      <c r="DL190" s="7">
        <f>ROUND(2250,2)</f>
        <v>2250</v>
      </c>
      <c r="DM190" s="7">
        <f>ROUND(9750,2)</f>
        <v>9750</v>
      </c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7">
        <f>ROUND(3327.68,2)</f>
        <v>3327.68</v>
      </c>
      <c r="FK190" s="6"/>
      <c r="FL190" s="6"/>
      <c r="FM190" s="7">
        <f>ROUND(1109.23,2)</f>
        <v>1109.23</v>
      </c>
      <c r="FN190" s="7">
        <f>ROUND(554.62,2)</f>
        <v>554.62</v>
      </c>
      <c r="FO190" s="6"/>
      <c r="FP190" s="6"/>
      <c r="FQ190" s="6"/>
      <c r="FR190" s="6"/>
      <c r="FS190" s="6"/>
      <c r="FT190" s="6"/>
      <c r="FU190" s="6"/>
      <c r="FV190" s="7">
        <f>ROUND(2218.47,2)</f>
        <v>2218.4699999999998</v>
      </c>
      <c r="FW190" s="6"/>
      <c r="FX190" s="6"/>
      <c r="FY190" s="7">
        <f>ROUND(88813.7699999999,2)</f>
        <v>88813.77</v>
      </c>
    </row>
    <row r="191" spans="1:181" x14ac:dyDescent="0.3">
      <c r="A191" s="4" t="s">
        <v>600</v>
      </c>
      <c r="B191" s="5" t="s">
        <v>1029</v>
      </c>
      <c r="C191" s="5" t="s">
        <v>181</v>
      </c>
      <c r="D191" s="5" t="s">
        <v>377</v>
      </c>
      <c r="E191" s="5" t="s">
        <v>0</v>
      </c>
      <c r="F191" s="5" t="s">
        <v>0</v>
      </c>
      <c r="G191" s="5" t="s">
        <v>183</v>
      </c>
      <c r="H191" s="9">
        <v>17.5</v>
      </c>
      <c r="I191" s="7">
        <f>ROUND(15322.38,2)</f>
        <v>15322.38</v>
      </c>
      <c r="J191" s="6"/>
      <c r="K191" s="6"/>
      <c r="L191" s="6"/>
      <c r="M191" s="6"/>
      <c r="N191" s="7">
        <f>ROUND(85.64,2)</f>
        <v>85.64</v>
      </c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7">
        <f>ROUND(10,2)</f>
        <v>10</v>
      </c>
      <c r="AV191" s="6"/>
      <c r="AW191" s="6"/>
      <c r="AX191" s="6"/>
      <c r="AY191" s="6"/>
      <c r="AZ191" s="6"/>
      <c r="BA191" s="6"/>
      <c r="BB191" s="6"/>
      <c r="BC191" s="6"/>
      <c r="BD191" s="7">
        <f>ROUND(468.46,2)</f>
        <v>468.46</v>
      </c>
      <c r="BE191" s="6"/>
      <c r="BF191" s="7">
        <f>ROUND(56.65,2)</f>
        <v>56.65</v>
      </c>
      <c r="BG191" s="6"/>
      <c r="BH191" s="6"/>
      <c r="BI191" s="7">
        <f>ROUND(10.75,2)</f>
        <v>10.75</v>
      </c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7">
        <f>ROUND(631.5,2)</f>
        <v>631.5</v>
      </c>
      <c r="CR191" s="6"/>
      <c r="CS191" s="6"/>
      <c r="CT191" s="6"/>
      <c r="CU191" s="6"/>
      <c r="CV191" s="7">
        <f>ROUND(2062.71,2)</f>
        <v>2062.71</v>
      </c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7">
        <f>ROUND(265.7,2)</f>
        <v>265.7</v>
      </c>
      <c r="EE191" s="6"/>
      <c r="EF191" s="6"/>
      <c r="EG191" s="6"/>
      <c r="EH191" s="6"/>
      <c r="EI191" s="6"/>
      <c r="EJ191" s="6"/>
      <c r="EK191" s="6"/>
      <c r="EL191" s="6"/>
      <c r="EM191" s="6"/>
      <c r="EN191" s="7">
        <f>ROUND(9026.03,2)</f>
        <v>9026.0300000000007</v>
      </c>
      <c r="EO191" s="6"/>
      <c r="EP191" s="7">
        <f>ROUND(2183.71,2)</f>
        <v>2183.71</v>
      </c>
      <c r="EQ191" s="6"/>
      <c r="ER191" s="6"/>
      <c r="ES191" s="6"/>
      <c r="ET191" s="7">
        <f>ROUND(284.23,2)</f>
        <v>284.23</v>
      </c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7">
        <f>ROUND(1500,2)</f>
        <v>1500</v>
      </c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7">
        <f>ROUND(15322.38,2)</f>
        <v>15322.38</v>
      </c>
    </row>
    <row r="192" spans="1:181" ht="26.4" x14ac:dyDescent="0.3">
      <c r="A192" s="4" t="s">
        <v>601</v>
      </c>
      <c r="B192" s="5"/>
      <c r="C192" s="5" t="s">
        <v>476</v>
      </c>
      <c r="D192" s="5" t="s">
        <v>602</v>
      </c>
      <c r="E192" s="5" t="s">
        <v>0</v>
      </c>
      <c r="F192" s="5" t="s">
        <v>0</v>
      </c>
      <c r="G192" s="5" t="s">
        <v>603</v>
      </c>
      <c r="H192" s="8">
        <f>ROUND(2625.7,2)</f>
        <v>2625.7</v>
      </c>
      <c r="I192" s="7">
        <f>ROUND(144938.639999999,2)</f>
        <v>144938.64000000001</v>
      </c>
      <c r="J192" s="7">
        <f>ROUND(1680,2)</f>
        <v>1680</v>
      </c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7">
        <f>ROUND(-16,2)</f>
        <v>-16</v>
      </c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7">
        <f>ROUND(8,2)</f>
        <v>8</v>
      </c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7">
        <f>ROUND(56,2)</f>
        <v>56</v>
      </c>
      <c r="CI192" s="7">
        <f>ROUND(32,2)</f>
        <v>32</v>
      </c>
      <c r="CJ192" s="6"/>
      <c r="CK192" s="6"/>
      <c r="CL192" s="6"/>
      <c r="CM192" s="6"/>
      <c r="CN192" s="7">
        <f>ROUND(136,2)</f>
        <v>136</v>
      </c>
      <c r="CO192" s="6"/>
      <c r="CP192" s="6"/>
      <c r="CQ192" s="7">
        <f>ROUND(1896,2)</f>
        <v>1896</v>
      </c>
      <c r="CR192" s="7">
        <f>ROUND(133910.699999999,2)</f>
        <v>133910.70000000001</v>
      </c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7">
        <f>ROUND(-1050.28,2)</f>
        <v>-1050.28</v>
      </c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7">
        <f>ROUND(6301.68,2)</f>
        <v>6301.68</v>
      </c>
      <c r="FK192" s="6"/>
      <c r="FL192" s="6"/>
      <c r="FM192" s="6"/>
      <c r="FN192" s="7">
        <f>ROUND(1575.42,2)</f>
        <v>1575.42</v>
      </c>
      <c r="FO192" s="7">
        <f>ROUND(1050.28,2)</f>
        <v>1050.28</v>
      </c>
      <c r="FP192" s="6"/>
      <c r="FQ192" s="6"/>
      <c r="FR192" s="6"/>
      <c r="FS192" s="6"/>
      <c r="FT192" s="6"/>
      <c r="FU192" s="6"/>
      <c r="FV192" s="7">
        <f>ROUND(3150.84,2)</f>
        <v>3150.84</v>
      </c>
      <c r="FW192" s="6"/>
      <c r="FX192" s="6"/>
      <c r="FY192" s="7">
        <f>ROUND(144938.639999999,2)</f>
        <v>144938.64000000001</v>
      </c>
    </row>
    <row r="193" spans="1:181" x14ac:dyDescent="0.3">
      <c r="A193" s="4" t="s">
        <v>604</v>
      </c>
      <c r="B193" s="5" t="s">
        <v>1029</v>
      </c>
      <c r="C193" s="5" t="s">
        <v>181</v>
      </c>
      <c r="D193" s="5" t="s">
        <v>377</v>
      </c>
      <c r="E193" s="5" t="s">
        <v>605</v>
      </c>
      <c r="F193" s="5" t="s">
        <v>0</v>
      </c>
      <c r="G193" s="5" t="s">
        <v>183</v>
      </c>
      <c r="H193" s="9">
        <v>29.22</v>
      </c>
      <c r="I193" s="7">
        <f>ROUND(15171.74,2)</f>
        <v>15171.74</v>
      </c>
      <c r="J193" s="6"/>
      <c r="K193" s="6"/>
      <c r="L193" s="6"/>
      <c r="M193" s="6"/>
      <c r="N193" s="7">
        <f>ROUND(88.91,2)</f>
        <v>88.91</v>
      </c>
      <c r="O193" s="6"/>
      <c r="P193" s="6"/>
      <c r="Q193" s="7">
        <f>ROUND(21.3,2)</f>
        <v>21.3</v>
      </c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7">
        <f>ROUND(10.5,2)</f>
        <v>10.5</v>
      </c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7">
        <f>ROUND(10,2)</f>
        <v>10</v>
      </c>
      <c r="AV193" s="6"/>
      <c r="AW193" s="6"/>
      <c r="AX193" s="6"/>
      <c r="AY193" s="6"/>
      <c r="AZ193" s="6"/>
      <c r="BA193" s="6"/>
      <c r="BB193" s="6"/>
      <c r="BC193" s="6"/>
      <c r="BD193" s="7">
        <f>ROUND(457.22,2)</f>
        <v>457.22</v>
      </c>
      <c r="BE193" s="6"/>
      <c r="BF193" s="7">
        <f>ROUND(34.22,2)</f>
        <v>34.22</v>
      </c>
      <c r="BG193" s="6"/>
      <c r="BH193" s="6"/>
      <c r="BI193" s="7">
        <f>ROUND(10.75,2)</f>
        <v>10.75</v>
      </c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7">
        <f>ROUND(0.17,2)</f>
        <v>0.17</v>
      </c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7">
        <f>ROUND(633.07,2)</f>
        <v>633.07000000000005</v>
      </c>
      <c r="CR193" s="6"/>
      <c r="CS193" s="6"/>
      <c r="CT193" s="6"/>
      <c r="CU193" s="6"/>
      <c r="CV193" s="7">
        <f>ROUND(2053.7,2)</f>
        <v>2053.6999999999998</v>
      </c>
      <c r="CW193" s="6"/>
      <c r="CX193" s="6"/>
      <c r="CY193" s="7">
        <f>ROUND(844.79,2)</f>
        <v>844.79</v>
      </c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7">
        <f>ROUND(280.36,2)</f>
        <v>280.36</v>
      </c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7">
        <f>ROUND(265.7,2)</f>
        <v>265.7</v>
      </c>
      <c r="EE193" s="6"/>
      <c r="EF193" s="6"/>
      <c r="EG193" s="6"/>
      <c r="EH193" s="6"/>
      <c r="EI193" s="6"/>
      <c r="EJ193" s="6"/>
      <c r="EK193" s="6"/>
      <c r="EL193" s="6"/>
      <c r="EM193" s="6"/>
      <c r="EN193" s="7">
        <f>ROUND(8855.01,2)</f>
        <v>8855.01</v>
      </c>
      <c r="EO193" s="6"/>
      <c r="EP193" s="7">
        <f>ROUND(1087.95,2)</f>
        <v>1087.95</v>
      </c>
      <c r="EQ193" s="6"/>
      <c r="ER193" s="6"/>
      <c r="ES193" s="6"/>
      <c r="ET193" s="7">
        <f>ROUND(284.23,2)</f>
        <v>284.23</v>
      </c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7">
        <f>ROUND(1500,2)</f>
        <v>1500</v>
      </c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7">
        <f>ROUND(15171.74,2)</f>
        <v>15171.74</v>
      </c>
    </row>
    <row r="194" spans="1:181" x14ac:dyDescent="0.3">
      <c r="A194" s="4" t="s">
        <v>606</v>
      </c>
      <c r="B194" s="5" t="s">
        <v>1029</v>
      </c>
      <c r="C194" s="5" t="s">
        <v>181</v>
      </c>
      <c r="D194" s="5" t="s">
        <v>579</v>
      </c>
      <c r="E194" s="5" t="s">
        <v>0</v>
      </c>
      <c r="F194" s="5" t="s">
        <v>0</v>
      </c>
      <c r="G194" s="5" t="s">
        <v>183</v>
      </c>
      <c r="H194" s="6">
        <v>33.380000000000003</v>
      </c>
      <c r="I194" s="7">
        <f>ROUND(77168.55,2)</f>
        <v>77168.55</v>
      </c>
      <c r="J194" s="6"/>
      <c r="K194" s="6"/>
      <c r="L194" s="6"/>
      <c r="M194" s="6"/>
      <c r="N194" s="7">
        <f>ROUND(846.959999999999,2)</f>
        <v>846.96</v>
      </c>
      <c r="O194" s="6"/>
      <c r="P194" s="6"/>
      <c r="Q194" s="7">
        <f>ROUND(57.92,2)</f>
        <v>57.92</v>
      </c>
      <c r="R194" s="6"/>
      <c r="S194" s="6"/>
      <c r="T194" s="6"/>
      <c r="U194" s="6"/>
      <c r="V194" s="7">
        <f>ROUND(26.42,2)</f>
        <v>26.42</v>
      </c>
      <c r="W194" s="7">
        <f>ROUND(9.07,2)</f>
        <v>9.07</v>
      </c>
      <c r="X194" s="7">
        <f>ROUND(0.25,2)</f>
        <v>0.25</v>
      </c>
      <c r="Y194" s="7">
        <f>ROUND(0.5,2)</f>
        <v>0.5</v>
      </c>
      <c r="Z194" s="7">
        <f>ROUND(0.43,2)</f>
        <v>0.43</v>
      </c>
      <c r="AA194" s="6"/>
      <c r="AB194" s="6"/>
      <c r="AC194" s="6"/>
      <c r="AD194" s="6"/>
      <c r="AE194" s="7">
        <f>ROUND(282.039999999999,2)</f>
        <v>282.04000000000002</v>
      </c>
      <c r="AF194" s="6"/>
      <c r="AG194" s="7">
        <f>ROUND(52.71,2)</f>
        <v>52.71</v>
      </c>
      <c r="AH194" s="6"/>
      <c r="AI194" s="6"/>
      <c r="AJ194" s="6"/>
      <c r="AK194" s="6"/>
      <c r="AL194" s="6"/>
      <c r="AM194" s="6"/>
      <c r="AN194" s="6"/>
      <c r="AO194" s="6"/>
      <c r="AP194" s="7">
        <f>ROUND(801.62,2)</f>
        <v>801.62</v>
      </c>
      <c r="AQ194" s="6"/>
      <c r="AR194" s="7">
        <f>ROUND(132.57,2)</f>
        <v>132.57</v>
      </c>
      <c r="AS194" s="6"/>
      <c r="AT194" s="6"/>
      <c r="AU194" s="7">
        <f>ROUND(64,2)</f>
        <v>64</v>
      </c>
      <c r="AV194" s="6"/>
      <c r="AW194" s="7">
        <f>ROUND(10,2)</f>
        <v>10</v>
      </c>
      <c r="AX194" s="7">
        <f>ROUND(8,2)</f>
        <v>8</v>
      </c>
      <c r="AY194" s="7">
        <f>ROUND(8,2)</f>
        <v>8</v>
      </c>
      <c r="AZ194" s="6"/>
      <c r="BA194" s="6"/>
      <c r="BB194" s="7">
        <f>ROUND(32,2)</f>
        <v>32</v>
      </c>
      <c r="BC194" s="6"/>
      <c r="BD194" s="7">
        <f>ROUND(8.67,2)</f>
        <v>8.67</v>
      </c>
      <c r="BE194" s="7">
        <f>ROUND(1.65,2)</f>
        <v>1.65</v>
      </c>
      <c r="BF194" s="6"/>
      <c r="BG194" s="6"/>
      <c r="BH194" s="6"/>
      <c r="BI194" s="6"/>
      <c r="BJ194" s="6"/>
      <c r="BK194" s="6"/>
      <c r="BL194" s="6"/>
      <c r="BM194" s="6"/>
      <c r="BN194" s="6"/>
      <c r="BO194" s="7">
        <f>ROUND(8.68,2)</f>
        <v>8.68</v>
      </c>
      <c r="BP194" s="7">
        <f>ROUND(5.07,2)</f>
        <v>5.07</v>
      </c>
      <c r="BQ194" s="7">
        <f>ROUND(21.42,2)</f>
        <v>21.42</v>
      </c>
      <c r="BR194" s="6"/>
      <c r="BS194" s="6"/>
      <c r="BT194" s="7">
        <f>ROUND(15.2,2)</f>
        <v>15.2</v>
      </c>
      <c r="BU194" s="6"/>
      <c r="BV194" s="6"/>
      <c r="BW194" s="7">
        <f>ROUND(8,2)</f>
        <v>8</v>
      </c>
      <c r="BX194" s="7">
        <f>ROUND(24,2)</f>
        <v>24</v>
      </c>
      <c r="BY194" s="6"/>
      <c r="BZ194" s="6"/>
      <c r="CA194" s="7">
        <f>ROUND(16,2)</f>
        <v>16</v>
      </c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7">
        <f>ROUND(2441.18,2)</f>
        <v>2441.1799999999998</v>
      </c>
      <c r="CR194" s="6"/>
      <c r="CS194" s="6"/>
      <c r="CT194" s="6"/>
      <c r="CU194" s="6"/>
      <c r="CV194" s="7">
        <f>ROUND(24531.1499999999,2)</f>
        <v>24531.15</v>
      </c>
      <c r="CW194" s="6"/>
      <c r="CX194" s="6"/>
      <c r="CY194" s="7">
        <f>ROUND(2465.48,2)</f>
        <v>2465.48</v>
      </c>
      <c r="CZ194" s="6"/>
      <c r="DA194" s="6"/>
      <c r="DB194" s="6"/>
      <c r="DC194" s="6"/>
      <c r="DD194" s="7">
        <f>ROUND(765.27,2)</f>
        <v>765.27</v>
      </c>
      <c r="DE194" s="7">
        <f>ROUND(381.83,2)</f>
        <v>381.83</v>
      </c>
      <c r="DF194" s="7">
        <f>ROUND(7.44,2)</f>
        <v>7.44</v>
      </c>
      <c r="DG194" s="7">
        <f>ROUND(20.46,2)</f>
        <v>20.46</v>
      </c>
      <c r="DH194" s="7">
        <f>ROUND(23.46,2)</f>
        <v>23.46</v>
      </c>
      <c r="DI194" s="6"/>
      <c r="DJ194" s="6"/>
      <c r="DK194" s="6"/>
      <c r="DL194" s="6"/>
      <c r="DM194" s="6"/>
      <c r="DN194" s="7">
        <f>ROUND(8268.94,2)</f>
        <v>8268.94</v>
      </c>
      <c r="DO194" s="6"/>
      <c r="DP194" s="7">
        <f>ROUND(2374.02999999999,2)</f>
        <v>2374.0300000000002</v>
      </c>
      <c r="DQ194" s="6"/>
      <c r="DR194" s="6"/>
      <c r="DS194" s="6"/>
      <c r="DT194" s="6"/>
      <c r="DU194" s="6"/>
      <c r="DV194" s="6"/>
      <c r="DW194" s="6"/>
      <c r="DX194" s="6"/>
      <c r="DY194" s="7">
        <f>ROUND(23455.21,2)</f>
        <v>23455.21</v>
      </c>
      <c r="DZ194" s="6"/>
      <c r="EA194" s="7">
        <f>ROUND(5870.42999999999,2)</f>
        <v>5870.43</v>
      </c>
      <c r="EB194" s="6"/>
      <c r="EC194" s="6"/>
      <c r="ED194" s="7">
        <f>ROUND(1874.78,2)</f>
        <v>1874.78</v>
      </c>
      <c r="EE194" s="6"/>
      <c r="EF194" s="7">
        <f>ROUND(297.5,2)</f>
        <v>297.5</v>
      </c>
      <c r="EG194" s="7">
        <f>ROUND(327.36,2)</f>
        <v>327.36</v>
      </c>
      <c r="EH194" s="7">
        <f>ROUND(238,2)</f>
        <v>238</v>
      </c>
      <c r="EI194" s="6"/>
      <c r="EJ194" s="6"/>
      <c r="EK194" s="7">
        <f>ROUND(892.72,2)</f>
        <v>892.72</v>
      </c>
      <c r="EL194" s="6"/>
      <c r="EM194" s="6"/>
      <c r="EN194" s="7">
        <f>ROUND(250.97,2)</f>
        <v>250.97</v>
      </c>
      <c r="EO194" s="7">
        <f>ROUND(47.65,2)</f>
        <v>47.65</v>
      </c>
      <c r="EP194" s="6"/>
      <c r="EQ194" s="6"/>
      <c r="ER194" s="6"/>
      <c r="ES194" s="6"/>
      <c r="ET194" s="6"/>
      <c r="EU194" s="6"/>
      <c r="EV194" s="7">
        <f>ROUND(125,2)</f>
        <v>125</v>
      </c>
      <c r="EW194" s="6"/>
      <c r="EX194" s="6"/>
      <c r="EY194" s="6"/>
      <c r="EZ194" s="6"/>
      <c r="FA194" s="6"/>
      <c r="FB194" s="7">
        <f>ROUND(236.79,2)</f>
        <v>236.79</v>
      </c>
      <c r="FC194" s="7">
        <f>ROUND(207.46,2)</f>
        <v>207.46</v>
      </c>
      <c r="FD194" s="7">
        <f>ROUND(606.62,2)</f>
        <v>606.62</v>
      </c>
      <c r="FE194" s="6"/>
      <c r="FF194" s="6"/>
      <c r="FG194" s="6"/>
      <c r="FH194" s="6"/>
      <c r="FI194" s="6"/>
      <c r="FJ194" s="7">
        <f>ROUND(900,2)</f>
        <v>900</v>
      </c>
      <c r="FK194" s="6"/>
      <c r="FL194" s="6"/>
      <c r="FM194" s="6"/>
      <c r="FN194" s="6"/>
      <c r="FO194" s="6"/>
      <c r="FP194" s="6"/>
      <c r="FQ194" s="6"/>
      <c r="FR194" s="6"/>
      <c r="FS194" s="6"/>
      <c r="FT194" s="7">
        <f>ROUND(3000,2)</f>
        <v>3000</v>
      </c>
      <c r="FU194" s="6"/>
      <c r="FV194" s="6"/>
      <c r="FW194" s="6"/>
      <c r="FX194" s="6"/>
      <c r="FY194" s="7">
        <f>ROUND(77168.55,2)</f>
        <v>77168.55</v>
      </c>
    </row>
    <row r="195" spans="1:181" ht="26.4" x14ac:dyDescent="0.3">
      <c r="A195" s="4" t="s">
        <v>607</v>
      </c>
      <c r="B195" s="5"/>
      <c r="C195" s="5" t="s">
        <v>244</v>
      </c>
      <c r="D195" s="5" t="s">
        <v>326</v>
      </c>
      <c r="E195" s="5" t="s">
        <v>0</v>
      </c>
      <c r="F195" s="5" t="s">
        <v>0</v>
      </c>
      <c r="G195" s="5" t="s">
        <v>247</v>
      </c>
      <c r="H195" s="8">
        <f>ROUND(18,2)</f>
        <v>18</v>
      </c>
      <c r="I195" s="7">
        <f>ROUND(4171.5,2)</f>
        <v>4171.5</v>
      </c>
      <c r="J195" s="7">
        <f>ROUND(219.25,2)</f>
        <v>219.25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7">
        <f>ROUND(219.25,2)</f>
        <v>219.25</v>
      </c>
      <c r="CR195" s="7">
        <f>ROUND(3946.5,2)</f>
        <v>3946.5</v>
      </c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7">
        <f>ROUND(225,2)</f>
        <v>225</v>
      </c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7">
        <f>ROUND(4171.5,2)</f>
        <v>4171.5</v>
      </c>
    </row>
    <row r="196" spans="1:181" x14ac:dyDescent="0.3">
      <c r="A196" s="4" t="s">
        <v>608</v>
      </c>
      <c r="B196" s="5"/>
      <c r="C196" s="5" t="s">
        <v>201</v>
      </c>
      <c r="D196" s="5" t="s">
        <v>609</v>
      </c>
      <c r="E196" s="5" t="s">
        <v>610</v>
      </c>
      <c r="F196" s="5" t="s">
        <v>0</v>
      </c>
      <c r="G196" s="5" t="s">
        <v>265</v>
      </c>
      <c r="H196" s="8">
        <f>ROUND(17,2)</f>
        <v>17</v>
      </c>
      <c r="I196" s="7">
        <f>ROUND(442,2)</f>
        <v>442</v>
      </c>
      <c r="J196" s="7">
        <f>ROUND(26,2)</f>
        <v>26</v>
      </c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7">
        <f>ROUND(26,2)</f>
        <v>26</v>
      </c>
      <c r="CR196" s="7">
        <f>ROUND(442,2)</f>
        <v>442</v>
      </c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7">
        <f>ROUND(442,2)</f>
        <v>442</v>
      </c>
    </row>
    <row r="197" spans="1:181" ht="26.4" x14ac:dyDescent="0.3">
      <c r="A197" s="4" t="s">
        <v>611</v>
      </c>
      <c r="B197" s="5"/>
      <c r="C197" s="5" t="s">
        <v>294</v>
      </c>
      <c r="D197" s="5" t="s">
        <v>289</v>
      </c>
      <c r="E197" s="5" t="s">
        <v>0</v>
      </c>
      <c r="F197" s="5" t="s">
        <v>0</v>
      </c>
      <c r="G197" s="5" t="s">
        <v>612</v>
      </c>
      <c r="H197" s="8">
        <f>ROUND(1387.33,2)</f>
        <v>1387.33</v>
      </c>
      <c r="I197" s="7">
        <f>ROUND(80983.09,2)</f>
        <v>80983.09</v>
      </c>
      <c r="J197" s="7">
        <f>ROUND(1682,2)</f>
        <v>1682</v>
      </c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7">
        <f>ROUND(11,2)</f>
        <v>11</v>
      </c>
      <c r="AE197" s="6"/>
      <c r="AF197" s="7">
        <f>ROUND(-16,2)</f>
        <v>-16</v>
      </c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7">
        <f>ROUND(8,2)</f>
        <v>8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7">
        <f>ROUND(43,2)</f>
        <v>43</v>
      </c>
      <c r="CH197" s="7">
        <f>ROUND(56,2)</f>
        <v>56</v>
      </c>
      <c r="CI197" s="7">
        <f>ROUND(32,2)</f>
        <v>32</v>
      </c>
      <c r="CJ197" s="6"/>
      <c r="CK197" s="6"/>
      <c r="CL197" s="6"/>
      <c r="CM197" s="6"/>
      <c r="CN197" s="7">
        <f>ROUND(80,2)</f>
        <v>80</v>
      </c>
      <c r="CO197" s="6"/>
      <c r="CP197" s="6"/>
      <c r="CQ197" s="7">
        <f>ROUND(1896,2)</f>
        <v>1896</v>
      </c>
      <c r="CR197" s="7">
        <f>ROUND(70823.16,2)</f>
        <v>70823.16</v>
      </c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7">
        <f>ROUND(4125,2)</f>
        <v>4125</v>
      </c>
      <c r="DN197" s="6"/>
      <c r="DO197" s="7">
        <f>ROUND(-554.93,2)</f>
        <v>-554.92999999999995</v>
      </c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7">
        <f>ROUND(138.73,2)</f>
        <v>138.72999999999999</v>
      </c>
      <c r="FH197" s="6"/>
      <c r="FI197" s="6"/>
      <c r="FJ197" s="7">
        <f>ROUND(3329.6,2)</f>
        <v>3329.6</v>
      </c>
      <c r="FK197" s="6"/>
      <c r="FL197" s="6"/>
      <c r="FM197" s="7">
        <f>ROUND(624.3,2)</f>
        <v>624.29999999999995</v>
      </c>
      <c r="FN197" s="7">
        <f>ROUND(832.41,2)</f>
        <v>832.41</v>
      </c>
      <c r="FO197" s="6"/>
      <c r="FP197" s="6"/>
      <c r="FQ197" s="6"/>
      <c r="FR197" s="6"/>
      <c r="FS197" s="6"/>
      <c r="FT197" s="6"/>
      <c r="FU197" s="6"/>
      <c r="FV197" s="7">
        <f>ROUND(1664.82,2)</f>
        <v>1664.82</v>
      </c>
      <c r="FW197" s="6"/>
      <c r="FX197" s="6"/>
      <c r="FY197" s="7">
        <f>ROUND(80983.09,2)</f>
        <v>80983.09</v>
      </c>
    </row>
    <row r="198" spans="1:181" ht="26.4" x14ac:dyDescent="0.3">
      <c r="A198" s="4" t="s">
        <v>613</v>
      </c>
      <c r="B198" s="5"/>
      <c r="C198" s="5" t="s">
        <v>201</v>
      </c>
      <c r="D198" s="5" t="s">
        <v>202</v>
      </c>
      <c r="E198" s="5" t="s">
        <v>614</v>
      </c>
      <c r="F198" s="5" t="s">
        <v>0</v>
      </c>
      <c r="G198" s="5" t="s">
        <v>203</v>
      </c>
      <c r="H198" s="8">
        <f>ROUND(18,2)</f>
        <v>18</v>
      </c>
      <c r="I198" s="7">
        <f>ROUND(8732.25,2)</f>
        <v>8732.25</v>
      </c>
      <c r="J198" s="7">
        <f>ROUND(467.25,2)</f>
        <v>467.25</v>
      </c>
      <c r="K198" s="7">
        <f>ROUND(0.25,2)</f>
        <v>0.25</v>
      </c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7">
        <f>ROUND(5,2)</f>
        <v>5</v>
      </c>
      <c r="CI198" s="6"/>
      <c r="CJ198" s="6"/>
      <c r="CK198" s="6"/>
      <c r="CL198" s="6"/>
      <c r="CM198" s="6"/>
      <c r="CN198" s="6"/>
      <c r="CO198" s="6"/>
      <c r="CP198" s="6"/>
      <c r="CQ198" s="7">
        <f>ROUND(472.5,2)</f>
        <v>472.5</v>
      </c>
      <c r="CR198" s="7">
        <f>ROUND(8410.5,2)</f>
        <v>8410.5</v>
      </c>
      <c r="CS198" s="7">
        <f>ROUND(6.75,2)</f>
        <v>6.75</v>
      </c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7">
        <f>ROUND(225,2)</f>
        <v>225</v>
      </c>
      <c r="FK198" s="6"/>
      <c r="FL198" s="6"/>
      <c r="FM198" s="6"/>
      <c r="FN198" s="7">
        <f>ROUND(90,2)</f>
        <v>90</v>
      </c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7">
        <f>ROUND(8732.25,2)</f>
        <v>8732.25</v>
      </c>
    </row>
    <row r="199" spans="1:181" x14ac:dyDescent="0.3">
      <c r="A199" s="4" t="s">
        <v>615</v>
      </c>
      <c r="B199" s="5" t="s">
        <v>1029</v>
      </c>
      <c r="C199" s="5" t="s">
        <v>181</v>
      </c>
      <c r="D199" s="5" t="s">
        <v>547</v>
      </c>
      <c r="E199" s="5" t="s">
        <v>0</v>
      </c>
      <c r="F199" s="5" t="s">
        <v>0</v>
      </c>
      <c r="G199" s="5" t="s">
        <v>183</v>
      </c>
      <c r="H199" s="8">
        <v>33.880000000000003</v>
      </c>
      <c r="I199" s="7">
        <f>ROUND(92957.47,2)</f>
        <v>92957.47</v>
      </c>
      <c r="J199" s="6"/>
      <c r="K199" s="6"/>
      <c r="L199" s="6"/>
      <c r="M199" s="6"/>
      <c r="N199" s="7">
        <f>ROUND(1269.18,2)</f>
        <v>1269.18</v>
      </c>
      <c r="O199" s="6"/>
      <c r="P199" s="6"/>
      <c r="Q199" s="7">
        <f>ROUND(261.51,2)</f>
        <v>261.51</v>
      </c>
      <c r="R199" s="6"/>
      <c r="S199" s="6"/>
      <c r="T199" s="6"/>
      <c r="U199" s="6"/>
      <c r="V199" s="7">
        <f>ROUND(2.67,2)</f>
        <v>2.67</v>
      </c>
      <c r="W199" s="7">
        <f>ROUND(20.46,2)</f>
        <v>20.46</v>
      </c>
      <c r="X199" s="7">
        <f>ROUND(3.2,2)</f>
        <v>3.2</v>
      </c>
      <c r="Y199" s="7">
        <f>ROUND(1.88,2)</f>
        <v>1.88</v>
      </c>
      <c r="Z199" s="7">
        <f>ROUND(0.32,2)</f>
        <v>0.32</v>
      </c>
      <c r="AA199" s="6"/>
      <c r="AB199" s="6"/>
      <c r="AC199" s="6"/>
      <c r="AD199" s="6"/>
      <c r="AE199" s="7">
        <f>ROUND(82,2)</f>
        <v>82</v>
      </c>
      <c r="AF199" s="6"/>
      <c r="AG199" s="7">
        <f>ROUND(11.75,2)</f>
        <v>11.75</v>
      </c>
      <c r="AH199" s="6"/>
      <c r="AI199" s="6"/>
      <c r="AJ199" s="6"/>
      <c r="AK199" s="6"/>
      <c r="AL199" s="6"/>
      <c r="AM199" s="6"/>
      <c r="AN199" s="6"/>
      <c r="AO199" s="6"/>
      <c r="AP199" s="7">
        <f>ROUND(40,2)</f>
        <v>40</v>
      </c>
      <c r="AQ199" s="6"/>
      <c r="AR199" s="7">
        <f>ROUND(36.25,2)</f>
        <v>36.25</v>
      </c>
      <c r="AS199" s="6"/>
      <c r="AT199" s="6"/>
      <c r="AU199" s="7">
        <f>ROUND(70,2)</f>
        <v>70</v>
      </c>
      <c r="AV199" s="6"/>
      <c r="AW199" s="7">
        <f>ROUND(26.8,2)</f>
        <v>26.8</v>
      </c>
      <c r="AX199" s="7">
        <f>ROUND(5.2,2)</f>
        <v>5.2</v>
      </c>
      <c r="AY199" s="7">
        <f>ROUND(80,2)</f>
        <v>80</v>
      </c>
      <c r="AZ199" s="6"/>
      <c r="BA199" s="6"/>
      <c r="BB199" s="7">
        <f>ROUND(40,2)</f>
        <v>40</v>
      </c>
      <c r="BC199" s="6"/>
      <c r="BD199" s="7">
        <f>ROUND(8,2)</f>
        <v>8</v>
      </c>
      <c r="BE199" s="7">
        <f>ROUND(2.27,2)</f>
        <v>2.27</v>
      </c>
      <c r="BF199" s="6"/>
      <c r="BG199" s="6"/>
      <c r="BH199" s="6"/>
      <c r="BI199" s="6"/>
      <c r="BJ199" s="6"/>
      <c r="BK199" s="6"/>
      <c r="BL199" s="6"/>
      <c r="BM199" s="6"/>
      <c r="BN199" s="6"/>
      <c r="BO199" s="7">
        <f>ROUND(297.33,2)</f>
        <v>297.33</v>
      </c>
      <c r="BP199" s="7">
        <f>ROUND(22.67,2)</f>
        <v>22.67</v>
      </c>
      <c r="BQ199" s="7">
        <f>ROUND(216,2)</f>
        <v>216</v>
      </c>
      <c r="BR199" s="6"/>
      <c r="BS199" s="6"/>
      <c r="BT199" s="7">
        <f>ROUND(5.08,2)</f>
        <v>5.08</v>
      </c>
      <c r="BU199" s="6"/>
      <c r="BV199" s="6"/>
      <c r="BW199" s="6"/>
      <c r="BX199" s="6"/>
      <c r="BY199" s="6"/>
      <c r="BZ199" s="6"/>
      <c r="CA199" s="7">
        <f>ROUND(8,2)</f>
        <v>8</v>
      </c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7">
        <f>ROUND(48,2)</f>
        <v>48</v>
      </c>
      <c r="CQ199" s="7">
        <f>ROUND(2558.57,2)</f>
        <v>2558.5700000000002</v>
      </c>
      <c r="CR199" s="6"/>
      <c r="CS199" s="6"/>
      <c r="CT199" s="6"/>
      <c r="CU199" s="6"/>
      <c r="CV199" s="7">
        <f>ROUND(41385.6899999999,2)</f>
        <v>41385.69</v>
      </c>
      <c r="CW199" s="6"/>
      <c r="CX199" s="6"/>
      <c r="CY199" s="7">
        <f>ROUND(12850.68,2)</f>
        <v>12850.68</v>
      </c>
      <c r="CZ199" s="6"/>
      <c r="DA199" s="6"/>
      <c r="DB199" s="6"/>
      <c r="DC199" s="6"/>
      <c r="DD199" s="7">
        <f>ROUND(86.08,2)</f>
        <v>86.08</v>
      </c>
      <c r="DE199" s="7">
        <f>ROUND(1003.52,2)</f>
        <v>1003.52</v>
      </c>
      <c r="DF199" s="7">
        <f>ROUND(103.28,2)</f>
        <v>103.28</v>
      </c>
      <c r="DG199" s="7">
        <f>ROUND(91.77,2)</f>
        <v>91.77</v>
      </c>
      <c r="DH199" s="7">
        <f>ROUND(21.15,2)</f>
        <v>21.15</v>
      </c>
      <c r="DI199" s="6"/>
      <c r="DJ199" s="6"/>
      <c r="DK199" s="6"/>
      <c r="DL199" s="6"/>
      <c r="DM199" s="6"/>
      <c r="DN199" s="7">
        <f>ROUND(2631.38,2)</f>
        <v>2631.38</v>
      </c>
      <c r="DO199" s="6"/>
      <c r="DP199" s="7">
        <f>ROUND(570.99,2)</f>
        <v>570.99</v>
      </c>
      <c r="DQ199" s="6"/>
      <c r="DR199" s="6"/>
      <c r="DS199" s="6"/>
      <c r="DT199" s="6"/>
      <c r="DU199" s="6"/>
      <c r="DV199" s="6"/>
      <c r="DW199" s="6"/>
      <c r="DX199" s="6"/>
      <c r="DY199" s="7">
        <f>ROUND(1335.2,2)</f>
        <v>1335.2</v>
      </c>
      <c r="DZ199" s="6"/>
      <c r="EA199" s="7">
        <f>ROUND(1797.43999999999,2)</f>
        <v>1797.44</v>
      </c>
      <c r="EB199" s="6"/>
      <c r="EC199" s="6"/>
      <c r="ED199" s="7">
        <f>ROUND(2282.24,2)</f>
        <v>2282.2399999999998</v>
      </c>
      <c r="EE199" s="6"/>
      <c r="EF199" s="7">
        <f>ROUND(867.69,2)</f>
        <v>867.69</v>
      </c>
      <c r="EG199" s="7">
        <f>ROUND(250.3,2)</f>
        <v>250.3</v>
      </c>
      <c r="EH199" s="7">
        <f>ROUND(2605.6,2)</f>
        <v>2605.6</v>
      </c>
      <c r="EI199" s="6"/>
      <c r="EJ199" s="6"/>
      <c r="EK199" s="7">
        <f>ROUND(1283.6,2)</f>
        <v>1283.5999999999999</v>
      </c>
      <c r="EL199" s="6"/>
      <c r="EM199" s="6"/>
      <c r="EN199" s="7">
        <f>ROUND(256.72,2)</f>
        <v>256.72000000000003</v>
      </c>
      <c r="EO199" s="7">
        <f>ROUND(72.84,2)</f>
        <v>72.84</v>
      </c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7">
        <f>ROUND(9564.36,2)</f>
        <v>9564.36</v>
      </c>
      <c r="FC199" s="7">
        <f>ROUND(1091.22,2)</f>
        <v>1091.22</v>
      </c>
      <c r="FD199" s="7">
        <f>ROUND(7138.8,2)</f>
        <v>7138.8</v>
      </c>
      <c r="FE199" s="6"/>
      <c r="FF199" s="6"/>
      <c r="FG199" s="6"/>
      <c r="FH199" s="6"/>
      <c r="FI199" s="6"/>
      <c r="FJ199" s="7">
        <f>ROUND(1075,2)</f>
        <v>1075</v>
      </c>
      <c r="FK199" s="6"/>
      <c r="FL199" s="6"/>
      <c r="FM199" s="6"/>
      <c r="FN199" s="6"/>
      <c r="FO199" s="6"/>
      <c r="FP199" s="6"/>
      <c r="FQ199" s="6"/>
      <c r="FR199" s="6"/>
      <c r="FS199" s="6"/>
      <c r="FT199" s="7">
        <f>ROUND(3000,2)</f>
        <v>3000</v>
      </c>
      <c r="FU199" s="6"/>
      <c r="FV199" s="6"/>
      <c r="FW199" s="6"/>
      <c r="FX199" s="7">
        <f>ROUND(1591.92,2)</f>
        <v>1591.92</v>
      </c>
      <c r="FY199" s="7">
        <f>ROUND(92957.47,2)</f>
        <v>92957.47</v>
      </c>
    </row>
    <row r="200" spans="1:181" x14ac:dyDescent="0.3">
      <c r="A200" s="4" t="s">
        <v>616</v>
      </c>
      <c r="B200" s="5" t="s">
        <v>1029</v>
      </c>
      <c r="C200" s="5" t="s">
        <v>181</v>
      </c>
      <c r="D200" s="5" t="s">
        <v>303</v>
      </c>
      <c r="E200" s="5" t="s">
        <v>0</v>
      </c>
      <c r="F200" s="5" t="s">
        <v>0</v>
      </c>
      <c r="G200" s="5" t="s">
        <v>183</v>
      </c>
      <c r="H200" s="6">
        <v>33.380000000000003</v>
      </c>
      <c r="I200" s="7">
        <f>ROUND(76351.4,2)</f>
        <v>76351.399999999994</v>
      </c>
      <c r="J200" s="6"/>
      <c r="K200" s="6"/>
      <c r="L200" s="6"/>
      <c r="M200" s="6"/>
      <c r="N200" s="7">
        <f>ROUND(782.139999999999,2)</f>
        <v>782.14</v>
      </c>
      <c r="O200" s="6"/>
      <c r="P200" s="6"/>
      <c r="Q200" s="7">
        <f>ROUND(146.54,2)</f>
        <v>146.54</v>
      </c>
      <c r="R200" s="6"/>
      <c r="S200" s="6"/>
      <c r="T200" s="6"/>
      <c r="U200" s="6"/>
      <c r="V200" s="7">
        <f>ROUND(22.6,2)</f>
        <v>22.6</v>
      </c>
      <c r="W200" s="7">
        <f>ROUND(14.1499999999999,2)</f>
        <v>14.15</v>
      </c>
      <c r="X200" s="7">
        <f>ROUND(0.42,2)</f>
        <v>0.42</v>
      </c>
      <c r="Y200" s="6"/>
      <c r="Z200" s="6"/>
      <c r="AA200" s="6"/>
      <c r="AB200" s="6"/>
      <c r="AC200" s="6"/>
      <c r="AD200" s="6"/>
      <c r="AE200" s="7">
        <f>ROUND(288.669999999999,2)</f>
        <v>288.67</v>
      </c>
      <c r="AF200" s="6"/>
      <c r="AG200" s="7">
        <f>ROUND(36.7099999999999,2)</f>
        <v>36.71</v>
      </c>
      <c r="AH200" s="6"/>
      <c r="AI200" s="6"/>
      <c r="AJ200" s="6"/>
      <c r="AK200" s="6"/>
      <c r="AL200" s="6"/>
      <c r="AM200" s="6"/>
      <c r="AN200" s="6"/>
      <c r="AO200" s="6"/>
      <c r="AP200" s="7">
        <f>ROUND(607.35,2)</f>
        <v>607.35</v>
      </c>
      <c r="AQ200" s="6"/>
      <c r="AR200" s="7">
        <f>ROUND(113.28,2)</f>
        <v>113.28</v>
      </c>
      <c r="AS200" s="6"/>
      <c r="AT200" s="6"/>
      <c r="AU200" s="7">
        <f>ROUND(76,2)</f>
        <v>76</v>
      </c>
      <c r="AV200" s="6"/>
      <c r="AW200" s="7">
        <f>ROUND(40,2)</f>
        <v>40</v>
      </c>
      <c r="AX200" s="6"/>
      <c r="AY200" s="7">
        <f>ROUND(10,2)</f>
        <v>10</v>
      </c>
      <c r="AZ200" s="6"/>
      <c r="BA200" s="6"/>
      <c r="BB200" s="7">
        <f>ROUND(32,2)</f>
        <v>32</v>
      </c>
      <c r="BC200" s="6"/>
      <c r="BD200" s="7">
        <f>ROUND(10,2)</f>
        <v>10</v>
      </c>
      <c r="BE200" s="7">
        <f>ROUND(3.63,2)</f>
        <v>3.63</v>
      </c>
      <c r="BF200" s="6"/>
      <c r="BG200" s="6"/>
      <c r="BH200" s="6"/>
      <c r="BI200" s="6"/>
      <c r="BJ200" s="6"/>
      <c r="BK200" s="6"/>
      <c r="BL200" s="6"/>
      <c r="BM200" s="6"/>
      <c r="BN200" s="6"/>
      <c r="BO200" s="7">
        <f>ROUND(43.5,2)</f>
        <v>43.5</v>
      </c>
      <c r="BP200" s="6"/>
      <c r="BQ200" s="7">
        <f>ROUND(8,2)</f>
        <v>8</v>
      </c>
      <c r="BR200" s="6"/>
      <c r="BS200" s="7">
        <f>ROUND(120,2)</f>
        <v>120</v>
      </c>
      <c r="BT200" s="7">
        <f>ROUND(21.41,2)</f>
        <v>21.41</v>
      </c>
      <c r="BU200" s="6"/>
      <c r="BV200" s="6"/>
      <c r="BW200" s="6"/>
      <c r="BX200" s="7">
        <f>ROUND(92,2)</f>
        <v>92</v>
      </c>
      <c r="BY200" s="6"/>
      <c r="BZ200" s="6"/>
      <c r="CA200" s="7">
        <f>ROUND(40.8799999999999,2)</f>
        <v>40.880000000000003</v>
      </c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7">
        <f>ROUND(2509.28,2)</f>
        <v>2509.2800000000002</v>
      </c>
      <c r="CR200" s="6"/>
      <c r="CS200" s="6"/>
      <c r="CT200" s="6"/>
      <c r="CU200" s="6"/>
      <c r="CV200" s="7">
        <f>ROUND(24002.5899999999,2)</f>
        <v>24002.59</v>
      </c>
      <c r="CW200" s="6"/>
      <c r="CX200" s="6"/>
      <c r="CY200" s="7">
        <f>ROUND(6631.29,2)</f>
        <v>6631.29</v>
      </c>
      <c r="CZ200" s="6"/>
      <c r="DA200" s="6"/>
      <c r="DB200" s="6"/>
      <c r="DC200" s="6"/>
      <c r="DD200" s="7">
        <f>ROUND(716.25,2)</f>
        <v>716.25</v>
      </c>
      <c r="DE200" s="7">
        <f>ROUND(658.81,2)</f>
        <v>658.81</v>
      </c>
      <c r="DF200" s="7">
        <f>ROUND(12.19,2)</f>
        <v>12.19</v>
      </c>
      <c r="DG200" s="6"/>
      <c r="DH200" s="6"/>
      <c r="DI200" s="6"/>
      <c r="DJ200" s="6"/>
      <c r="DK200" s="6"/>
      <c r="DL200" s="6"/>
      <c r="DM200" s="6"/>
      <c r="DN200" s="7">
        <f>ROUND(8852.38,2)</f>
        <v>8852.3799999999992</v>
      </c>
      <c r="DO200" s="6"/>
      <c r="DP200" s="7">
        <f>ROUND(1681.08,2)</f>
        <v>1681.08</v>
      </c>
      <c r="DQ200" s="6"/>
      <c r="DR200" s="6"/>
      <c r="DS200" s="6"/>
      <c r="DT200" s="6"/>
      <c r="DU200" s="6"/>
      <c r="DV200" s="6"/>
      <c r="DW200" s="6"/>
      <c r="DX200" s="6"/>
      <c r="DY200" s="7">
        <f>ROUND(18527.0599999999,2)</f>
        <v>18527.060000000001</v>
      </c>
      <c r="DZ200" s="6"/>
      <c r="EA200" s="7">
        <f>ROUND(5134.5,2)</f>
        <v>5134.5</v>
      </c>
      <c r="EB200" s="6"/>
      <c r="EC200" s="6"/>
      <c r="ED200" s="7">
        <f>ROUND(2325.7,2)</f>
        <v>2325.6999999999998</v>
      </c>
      <c r="EE200" s="6"/>
      <c r="EF200" s="7">
        <f>ROUND(1246.9,2)</f>
        <v>1246.9000000000001</v>
      </c>
      <c r="EG200" s="6"/>
      <c r="EH200" s="7">
        <f>ROUND(314,2)</f>
        <v>314</v>
      </c>
      <c r="EI200" s="6"/>
      <c r="EJ200" s="6"/>
      <c r="EK200" s="7">
        <f>ROUND(924.16,2)</f>
        <v>924.16</v>
      </c>
      <c r="EL200" s="6"/>
      <c r="EM200" s="6"/>
      <c r="EN200" s="7">
        <f>ROUND(306.719999999999,2)</f>
        <v>306.72000000000003</v>
      </c>
      <c r="EO200" s="7">
        <f>ROUND(158.07,2)</f>
        <v>158.07</v>
      </c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7">
        <f>ROUND(1353.65999999999,2)</f>
        <v>1353.66</v>
      </c>
      <c r="FC200" s="6"/>
      <c r="FD200" s="7">
        <f>ROUND(231.04,2)</f>
        <v>231.04</v>
      </c>
      <c r="FE200" s="6"/>
      <c r="FF200" s="6"/>
      <c r="FG200" s="6"/>
      <c r="FH200" s="6"/>
      <c r="FI200" s="6"/>
      <c r="FJ200" s="7">
        <f>ROUND(275,2)</f>
        <v>275</v>
      </c>
      <c r="FK200" s="6"/>
      <c r="FL200" s="6"/>
      <c r="FM200" s="6"/>
      <c r="FN200" s="6"/>
      <c r="FO200" s="6"/>
      <c r="FP200" s="6"/>
      <c r="FQ200" s="6"/>
      <c r="FR200" s="6"/>
      <c r="FS200" s="6"/>
      <c r="FT200" s="7">
        <f>ROUND(3000,2)</f>
        <v>3000</v>
      </c>
      <c r="FU200" s="6"/>
      <c r="FV200" s="6"/>
      <c r="FW200" s="6"/>
      <c r="FX200" s="6"/>
      <c r="FY200" s="7">
        <f>ROUND(76351.4,2)</f>
        <v>76351.399999999994</v>
      </c>
    </row>
    <row r="201" spans="1:181" x14ac:dyDescent="0.3">
      <c r="A201" s="4" t="s">
        <v>617</v>
      </c>
      <c r="B201" s="5" t="s">
        <v>1029</v>
      </c>
      <c r="C201" s="5" t="s">
        <v>181</v>
      </c>
      <c r="D201" s="5" t="s">
        <v>354</v>
      </c>
      <c r="E201" s="5" t="s">
        <v>0</v>
      </c>
      <c r="F201" s="5" t="s">
        <v>0</v>
      </c>
      <c r="G201" s="5" t="s">
        <v>183</v>
      </c>
      <c r="H201" s="6">
        <v>33.380000000000003</v>
      </c>
      <c r="I201" s="7">
        <f>ROUND(49227.49,2)</f>
        <v>49227.49</v>
      </c>
      <c r="J201" s="6"/>
      <c r="K201" s="6"/>
      <c r="L201" s="6"/>
      <c r="M201" s="6"/>
      <c r="N201" s="7">
        <f>ROUND(926.509999999999,2)</f>
        <v>926.51</v>
      </c>
      <c r="O201" s="6"/>
      <c r="P201" s="6"/>
      <c r="Q201" s="7">
        <f>ROUND(25.41,2)</f>
        <v>25.41</v>
      </c>
      <c r="R201" s="6"/>
      <c r="S201" s="6"/>
      <c r="T201" s="6"/>
      <c r="U201" s="6"/>
      <c r="V201" s="7">
        <f>ROUND(35.91,2)</f>
        <v>35.909999999999997</v>
      </c>
      <c r="W201" s="6"/>
      <c r="X201" s="6"/>
      <c r="Y201" s="6"/>
      <c r="Z201" s="6"/>
      <c r="AA201" s="6"/>
      <c r="AB201" s="6"/>
      <c r="AC201" s="6"/>
      <c r="AD201" s="6"/>
      <c r="AE201" s="7">
        <f>ROUND(214.42,2)</f>
        <v>214.42</v>
      </c>
      <c r="AF201" s="6"/>
      <c r="AG201" s="7">
        <f>ROUND(21.16,2)</f>
        <v>21.16</v>
      </c>
      <c r="AH201" s="6"/>
      <c r="AI201" s="6"/>
      <c r="AJ201" s="6"/>
      <c r="AK201" s="6"/>
      <c r="AL201" s="6"/>
      <c r="AM201" s="6"/>
      <c r="AN201" s="6"/>
      <c r="AO201" s="6"/>
      <c r="AP201" s="7">
        <f>ROUND(171.299999999999,2)</f>
        <v>171.3</v>
      </c>
      <c r="AQ201" s="6"/>
      <c r="AR201" s="7">
        <f>ROUND(68.44,2)</f>
        <v>68.44</v>
      </c>
      <c r="AS201" s="6"/>
      <c r="AT201" s="6"/>
      <c r="AU201" s="7">
        <f>ROUND(18,2)</f>
        <v>18</v>
      </c>
      <c r="AV201" s="6"/>
      <c r="AW201" s="7">
        <f>ROUND(5,2)</f>
        <v>5</v>
      </c>
      <c r="AX201" s="6"/>
      <c r="AY201" s="6"/>
      <c r="AZ201" s="6"/>
      <c r="BA201" s="6"/>
      <c r="BB201" s="7">
        <f>ROUND(13,2)</f>
        <v>13</v>
      </c>
      <c r="BC201" s="6"/>
      <c r="BD201" s="7">
        <f>ROUND(8,2)</f>
        <v>8</v>
      </c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7">
        <f>ROUND(18.13,2)</f>
        <v>18.13</v>
      </c>
      <c r="BR201" s="7">
        <f>ROUND(8.62,2)</f>
        <v>8.6199999999999992</v>
      </c>
      <c r="BS201" s="7">
        <f>ROUND(229,2)</f>
        <v>229</v>
      </c>
      <c r="BT201" s="7">
        <f>ROUND(4.66,2)</f>
        <v>4.66</v>
      </c>
      <c r="BU201" s="6"/>
      <c r="BV201" s="6"/>
      <c r="BW201" s="7">
        <f>ROUND(31,2)</f>
        <v>31</v>
      </c>
      <c r="BX201" s="6"/>
      <c r="BY201" s="7">
        <f>ROUND(8,2)</f>
        <v>8</v>
      </c>
      <c r="BZ201" s="7">
        <f>ROUND(50,2)</f>
        <v>50</v>
      </c>
      <c r="CA201" s="7">
        <f>ROUND(30,2)</f>
        <v>30</v>
      </c>
      <c r="CB201" s="6"/>
      <c r="CC201" s="7">
        <f>ROUND(40,2)</f>
        <v>40</v>
      </c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7">
        <f>ROUND(1926.55999999999,2)</f>
        <v>1926.56</v>
      </c>
      <c r="CR201" s="6"/>
      <c r="CS201" s="6"/>
      <c r="CT201" s="6"/>
      <c r="CU201" s="6"/>
      <c r="CV201" s="7">
        <f>ROUND(26239.09,2)</f>
        <v>26239.09</v>
      </c>
      <c r="CW201" s="6"/>
      <c r="CX201" s="6"/>
      <c r="CY201" s="7">
        <f>ROUND(1133.77,2)</f>
        <v>1133.77</v>
      </c>
      <c r="CZ201" s="6"/>
      <c r="DA201" s="6"/>
      <c r="DB201" s="6"/>
      <c r="DC201" s="6"/>
      <c r="DD201" s="7">
        <f>ROUND(1072.37999999999,2)</f>
        <v>1072.3800000000001</v>
      </c>
      <c r="DE201" s="6"/>
      <c r="DF201" s="6"/>
      <c r="DG201" s="6"/>
      <c r="DH201" s="6"/>
      <c r="DI201" s="6"/>
      <c r="DJ201" s="6"/>
      <c r="DK201" s="6"/>
      <c r="DL201" s="6"/>
      <c r="DM201" s="6"/>
      <c r="DN201" s="7">
        <f>ROUND(6065.89999999999,2)</f>
        <v>6065.9</v>
      </c>
      <c r="DO201" s="6"/>
      <c r="DP201" s="7">
        <f>ROUND(944.27,2)</f>
        <v>944.27</v>
      </c>
      <c r="DQ201" s="6"/>
      <c r="DR201" s="6"/>
      <c r="DS201" s="6"/>
      <c r="DT201" s="6"/>
      <c r="DU201" s="6"/>
      <c r="DV201" s="6"/>
      <c r="DW201" s="6"/>
      <c r="DX201" s="6"/>
      <c r="DY201" s="7">
        <f>ROUND(5068.02,2)</f>
        <v>5068.0200000000004</v>
      </c>
      <c r="DZ201" s="6"/>
      <c r="EA201" s="7">
        <f>ROUND(3065.18,2)</f>
        <v>3065.18</v>
      </c>
      <c r="EB201" s="6"/>
      <c r="EC201" s="6"/>
      <c r="ED201" s="7">
        <f>ROUND(510.8,2)</f>
        <v>510.8</v>
      </c>
      <c r="EE201" s="6"/>
      <c r="EF201" s="7">
        <f>ROUND(136.4,2)</f>
        <v>136.4</v>
      </c>
      <c r="EG201" s="6"/>
      <c r="EH201" s="6"/>
      <c r="EI201" s="6"/>
      <c r="EJ201" s="6"/>
      <c r="EK201" s="7">
        <f>ROUND(374.4,2)</f>
        <v>374.4</v>
      </c>
      <c r="EL201" s="6"/>
      <c r="EM201" s="6"/>
      <c r="EN201" s="7">
        <f>ROUND(218.24,2)</f>
        <v>218.24</v>
      </c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7">
        <f>ROUND(539.369999999999,2)</f>
        <v>539.37</v>
      </c>
      <c r="FE201" s="7">
        <f>ROUND(384.67,2)</f>
        <v>384.67</v>
      </c>
      <c r="FF201" s="6"/>
      <c r="FG201" s="6"/>
      <c r="FH201" s="6"/>
      <c r="FI201" s="6"/>
      <c r="FJ201" s="7">
        <f>ROUND(475,2)</f>
        <v>475</v>
      </c>
      <c r="FK201" s="6"/>
      <c r="FL201" s="6"/>
      <c r="FM201" s="6"/>
      <c r="FN201" s="6"/>
      <c r="FO201" s="6"/>
      <c r="FP201" s="6"/>
      <c r="FQ201" s="6"/>
      <c r="FR201" s="6"/>
      <c r="FS201" s="6"/>
      <c r="FT201" s="7">
        <f>ROUND(3000,2)</f>
        <v>3000</v>
      </c>
      <c r="FU201" s="6"/>
      <c r="FV201" s="6"/>
      <c r="FW201" s="6"/>
      <c r="FX201" s="6"/>
      <c r="FY201" s="7">
        <f>ROUND(49227.49,2)</f>
        <v>49227.49</v>
      </c>
    </row>
    <row r="202" spans="1:181" x14ac:dyDescent="0.3">
      <c r="A202" s="4" t="s">
        <v>618</v>
      </c>
      <c r="B202" s="5" t="s">
        <v>1029</v>
      </c>
      <c r="C202" s="5" t="s">
        <v>181</v>
      </c>
      <c r="D202" s="5" t="s">
        <v>437</v>
      </c>
      <c r="E202" s="5" t="s">
        <v>0</v>
      </c>
      <c r="F202" s="5" t="s">
        <v>0</v>
      </c>
      <c r="G202" s="5" t="s">
        <v>183</v>
      </c>
      <c r="H202" s="8">
        <v>33.880000000000003</v>
      </c>
      <c r="I202" s="7">
        <f>ROUND(96312.12,2)</f>
        <v>96312.12</v>
      </c>
      <c r="J202" s="6"/>
      <c r="K202" s="6"/>
      <c r="L202" s="6"/>
      <c r="M202" s="6"/>
      <c r="N202" s="7">
        <f>ROUND(1372.42999999999,2)</f>
        <v>1372.43</v>
      </c>
      <c r="O202" s="6"/>
      <c r="P202" s="6"/>
      <c r="Q202" s="7">
        <f>ROUND(246.89,2)</f>
        <v>246.89</v>
      </c>
      <c r="R202" s="6"/>
      <c r="S202" s="6"/>
      <c r="T202" s="6"/>
      <c r="U202" s="6"/>
      <c r="V202" s="7">
        <f>ROUND(4.67,2)</f>
        <v>4.67</v>
      </c>
      <c r="W202" s="7">
        <f>ROUND(25.5099999999999,2)</f>
        <v>25.51</v>
      </c>
      <c r="X202" s="7">
        <f>ROUND(0.18,2)</f>
        <v>0.18</v>
      </c>
      <c r="Y202" s="6"/>
      <c r="Z202" s="7">
        <f>ROUND(0.17,2)</f>
        <v>0.17</v>
      </c>
      <c r="AA202" s="6"/>
      <c r="AB202" s="6"/>
      <c r="AC202" s="6"/>
      <c r="AD202" s="6"/>
      <c r="AE202" s="7">
        <f>ROUND(409.1,2)</f>
        <v>409.1</v>
      </c>
      <c r="AF202" s="6"/>
      <c r="AG202" s="7">
        <f>ROUND(121.22,2)</f>
        <v>121.22</v>
      </c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7">
        <f>ROUND(22.92,2)</f>
        <v>22.92</v>
      </c>
      <c r="AS202" s="6"/>
      <c r="AT202" s="6"/>
      <c r="AU202" s="7">
        <f>ROUND(68,2)</f>
        <v>68</v>
      </c>
      <c r="AV202" s="6"/>
      <c r="AW202" s="7">
        <f>ROUND(40,2)</f>
        <v>40</v>
      </c>
      <c r="AX202" s="6"/>
      <c r="AY202" s="7">
        <f>ROUND(155.91,2)</f>
        <v>155.91</v>
      </c>
      <c r="AZ202" s="7">
        <f>ROUND(44.09,2)</f>
        <v>44.09</v>
      </c>
      <c r="BA202" s="6"/>
      <c r="BB202" s="7">
        <f>ROUND(40,2)</f>
        <v>40</v>
      </c>
      <c r="BC202" s="6"/>
      <c r="BD202" s="7">
        <f>ROUND(8,2)</f>
        <v>8</v>
      </c>
      <c r="BE202" s="6"/>
      <c r="BF202" s="6"/>
      <c r="BG202" s="7">
        <f>ROUND(52,2)</f>
        <v>52</v>
      </c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7">
        <f>ROUND(47.75,2)</f>
        <v>47.75</v>
      </c>
      <c r="BT202" s="7">
        <f>ROUND(7.42,2)</f>
        <v>7.42</v>
      </c>
      <c r="BU202" s="6"/>
      <c r="BV202" s="6"/>
      <c r="BW202" s="6"/>
      <c r="BX202" s="6"/>
      <c r="BY202" s="6"/>
      <c r="BZ202" s="6"/>
      <c r="CA202" s="7">
        <f>ROUND(19.25,2)</f>
        <v>19.25</v>
      </c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7">
        <f>ROUND(2685.51,2)</f>
        <v>2685.51</v>
      </c>
      <c r="CR202" s="6"/>
      <c r="CS202" s="6"/>
      <c r="CT202" s="6"/>
      <c r="CU202" s="6"/>
      <c r="CV202" s="7">
        <f>ROUND(44895.6499999999,2)</f>
        <v>44895.65</v>
      </c>
      <c r="CW202" s="6"/>
      <c r="CX202" s="6"/>
      <c r="CY202" s="7">
        <f>ROUND(12147.1799999999,2)</f>
        <v>12147.18</v>
      </c>
      <c r="CZ202" s="6"/>
      <c r="DA202" s="6"/>
      <c r="DB202" s="6"/>
      <c r="DC202" s="6"/>
      <c r="DD202" s="7">
        <f>ROUND(155.04,2)</f>
        <v>155.04</v>
      </c>
      <c r="DE202" s="7">
        <f>ROUND(1262.09,2)</f>
        <v>1262.0899999999999</v>
      </c>
      <c r="DF202" s="7">
        <f>ROUND(5.88,2)</f>
        <v>5.88</v>
      </c>
      <c r="DG202" s="6"/>
      <c r="DH202" s="7">
        <f>ROUND(11.24,2)</f>
        <v>11.24</v>
      </c>
      <c r="DI202" s="6"/>
      <c r="DJ202" s="6"/>
      <c r="DK202" s="6"/>
      <c r="DL202" s="6"/>
      <c r="DM202" s="6"/>
      <c r="DN202" s="7">
        <f>ROUND(13128.02,2)</f>
        <v>13128.02</v>
      </c>
      <c r="DO202" s="6"/>
      <c r="DP202" s="7">
        <f>ROUND(5836.06,2)</f>
        <v>5836.06</v>
      </c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7">
        <f>ROUND(1105.95,2)</f>
        <v>1105.95</v>
      </c>
      <c r="EB202" s="6"/>
      <c r="EC202" s="6"/>
      <c r="ED202" s="7">
        <f>ROUND(2220.76,2)</f>
        <v>2220.7600000000002</v>
      </c>
      <c r="EE202" s="6"/>
      <c r="EF202" s="7">
        <f>ROUND(1314.32,2)</f>
        <v>1314.32</v>
      </c>
      <c r="EG202" s="6"/>
      <c r="EH202" s="7">
        <f>ROUND(5088.52,2)</f>
        <v>5088.5200000000004</v>
      </c>
      <c r="EI202" s="7">
        <f>ROUND(2132.49,2)</f>
        <v>2132.4899999999998</v>
      </c>
      <c r="EJ202" s="6"/>
      <c r="EK202" s="7">
        <f>ROUND(1283.6,2)</f>
        <v>1283.5999999999999</v>
      </c>
      <c r="EL202" s="6"/>
      <c r="EM202" s="6"/>
      <c r="EN202" s="7">
        <f>ROUND(256.72,2)</f>
        <v>256.72000000000003</v>
      </c>
      <c r="EO202" s="6"/>
      <c r="EP202" s="6"/>
      <c r="EQ202" s="7">
        <f>ROUND(1718.6,2)</f>
        <v>1718.6</v>
      </c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7">
        <f>ROUND(750,2)</f>
        <v>750</v>
      </c>
      <c r="FK202" s="6"/>
      <c r="FL202" s="6"/>
      <c r="FM202" s="6"/>
      <c r="FN202" s="6"/>
      <c r="FO202" s="6"/>
      <c r="FP202" s="6"/>
      <c r="FQ202" s="6"/>
      <c r="FR202" s="6"/>
      <c r="FS202" s="6"/>
      <c r="FT202" s="7">
        <f>ROUND(3000,2)</f>
        <v>3000</v>
      </c>
      <c r="FU202" s="6"/>
      <c r="FV202" s="6"/>
      <c r="FW202" s="6"/>
      <c r="FX202" s="6"/>
      <c r="FY202" s="7">
        <f>ROUND(96312.12,2)</f>
        <v>96312.12</v>
      </c>
    </row>
    <row r="203" spans="1:181" x14ac:dyDescent="0.3">
      <c r="A203" s="4" t="s">
        <v>619</v>
      </c>
      <c r="B203" s="5" t="s">
        <v>1029</v>
      </c>
      <c r="C203" s="5" t="s">
        <v>181</v>
      </c>
      <c r="D203" s="5" t="s">
        <v>537</v>
      </c>
      <c r="E203" s="5" t="s">
        <v>0</v>
      </c>
      <c r="F203" s="5" t="s">
        <v>0</v>
      </c>
      <c r="G203" s="5" t="s">
        <v>183</v>
      </c>
      <c r="H203" s="8">
        <v>33.380000000000003</v>
      </c>
      <c r="I203" s="7">
        <f>ROUND(83797.1899999999,2)</f>
        <v>83797.19</v>
      </c>
      <c r="J203" s="6"/>
      <c r="K203" s="6"/>
      <c r="L203" s="6"/>
      <c r="M203" s="6"/>
      <c r="N203" s="7">
        <f>ROUND(1470.77999999999,2)</f>
        <v>1470.78</v>
      </c>
      <c r="O203" s="6"/>
      <c r="P203" s="6"/>
      <c r="Q203" s="7">
        <f>ROUND(134.65,2)</f>
        <v>134.65</v>
      </c>
      <c r="R203" s="6"/>
      <c r="S203" s="6"/>
      <c r="T203" s="6"/>
      <c r="U203" s="6"/>
      <c r="V203" s="7">
        <f>ROUND(2.57,2)</f>
        <v>2.57</v>
      </c>
      <c r="W203" s="7">
        <f>ROUND(11.87,2)</f>
        <v>11.87</v>
      </c>
      <c r="X203" s="6"/>
      <c r="Y203" s="6"/>
      <c r="Z203" s="6"/>
      <c r="AA203" s="6"/>
      <c r="AB203" s="6"/>
      <c r="AC203" s="6"/>
      <c r="AD203" s="6"/>
      <c r="AE203" s="7">
        <f>ROUND(80.58,2)</f>
        <v>80.58</v>
      </c>
      <c r="AF203" s="6"/>
      <c r="AG203" s="7">
        <f>ROUND(5.33,2)</f>
        <v>5.33</v>
      </c>
      <c r="AH203" s="6"/>
      <c r="AI203" s="6"/>
      <c r="AJ203" s="6"/>
      <c r="AK203" s="6"/>
      <c r="AL203" s="6"/>
      <c r="AM203" s="6"/>
      <c r="AN203" s="6"/>
      <c r="AO203" s="6"/>
      <c r="AP203" s="7">
        <f>ROUND(300.31,2)</f>
        <v>300.31</v>
      </c>
      <c r="AQ203" s="6"/>
      <c r="AR203" s="7">
        <f>ROUND(18.91,2)</f>
        <v>18.91</v>
      </c>
      <c r="AS203" s="6"/>
      <c r="AT203" s="6"/>
      <c r="AU203" s="7">
        <f>ROUND(68,2)</f>
        <v>68</v>
      </c>
      <c r="AV203" s="7">
        <f>ROUND(8,2)</f>
        <v>8</v>
      </c>
      <c r="AW203" s="7">
        <f>ROUND(30.7,2)</f>
        <v>30.7</v>
      </c>
      <c r="AX203" s="7">
        <f>ROUND(3.3,2)</f>
        <v>3.3</v>
      </c>
      <c r="AY203" s="7">
        <f>ROUND(126.06,2)</f>
        <v>126.06</v>
      </c>
      <c r="AZ203" s="7">
        <f>ROUND(5.93999999999999,2)</f>
        <v>5.94</v>
      </c>
      <c r="BA203" s="6"/>
      <c r="BB203" s="6"/>
      <c r="BC203" s="6"/>
      <c r="BD203" s="7">
        <f>ROUND(8,2)</f>
        <v>8</v>
      </c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7">
        <f>ROUND(25,2)</f>
        <v>25</v>
      </c>
      <c r="BP203" s="7">
        <f>ROUND(0.5,2)</f>
        <v>0.5</v>
      </c>
      <c r="BQ203" s="7">
        <f>ROUND(20,2)</f>
        <v>20</v>
      </c>
      <c r="BR203" s="6"/>
      <c r="BS203" s="6"/>
      <c r="BT203" s="7">
        <f>ROUND(0.22,2)</f>
        <v>0.22</v>
      </c>
      <c r="BU203" s="6"/>
      <c r="BV203" s="6"/>
      <c r="BW203" s="6"/>
      <c r="BX203" s="6"/>
      <c r="BY203" s="6"/>
      <c r="BZ203" s="6"/>
      <c r="CA203" s="7">
        <f>ROUND(6.08,2)</f>
        <v>6.08</v>
      </c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7">
        <f>ROUND(2326.8,2)</f>
        <v>2326.8000000000002</v>
      </c>
      <c r="CR203" s="6"/>
      <c r="CS203" s="6"/>
      <c r="CT203" s="6"/>
      <c r="CU203" s="6"/>
      <c r="CV203" s="7">
        <f>ROUND(48068.7599999999,2)</f>
        <v>48068.76</v>
      </c>
      <c r="CW203" s="6"/>
      <c r="CX203" s="6"/>
      <c r="CY203" s="7">
        <f>ROUND(6566.09999999999,2)</f>
        <v>6566.1</v>
      </c>
      <c r="CZ203" s="6"/>
      <c r="DA203" s="6"/>
      <c r="DB203" s="6"/>
      <c r="DC203" s="6"/>
      <c r="DD203" s="7">
        <f>ROUND(82.47,2)</f>
        <v>82.47</v>
      </c>
      <c r="DE203" s="7">
        <f>ROUND(580.72,2)</f>
        <v>580.72</v>
      </c>
      <c r="DF203" s="6"/>
      <c r="DG203" s="6"/>
      <c r="DH203" s="6"/>
      <c r="DI203" s="6"/>
      <c r="DJ203" s="6"/>
      <c r="DK203" s="6"/>
      <c r="DL203" s="6"/>
      <c r="DM203" s="6"/>
      <c r="DN203" s="7">
        <f>ROUND(2626.71,2)</f>
        <v>2626.71</v>
      </c>
      <c r="DO203" s="6"/>
      <c r="DP203" s="7">
        <f>ROUND(258.79,2)</f>
        <v>258.79000000000002</v>
      </c>
      <c r="DQ203" s="6"/>
      <c r="DR203" s="6"/>
      <c r="DS203" s="6"/>
      <c r="DT203" s="6"/>
      <c r="DU203" s="6"/>
      <c r="DV203" s="6"/>
      <c r="DW203" s="6"/>
      <c r="DX203" s="6"/>
      <c r="DY203" s="7">
        <f>ROUND(9741.63,2)</f>
        <v>9741.6299999999992</v>
      </c>
      <c r="DZ203" s="6"/>
      <c r="EA203" s="7">
        <f>ROUND(910.24,2)</f>
        <v>910.24</v>
      </c>
      <c r="EB203" s="6"/>
      <c r="EC203" s="6"/>
      <c r="ED203" s="7">
        <f>ROUND(2210.38,2)</f>
        <v>2210.38</v>
      </c>
      <c r="EE203" s="7">
        <f>ROUND(396.64,2)</f>
        <v>396.64</v>
      </c>
      <c r="EF203" s="7">
        <f>ROUND(985.16,2)</f>
        <v>985.16</v>
      </c>
      <c r="EG203" s="7">
        <f>ROUND(158.85,2)</f>
        <v>158.85</v>
      </c>
      <c r="EH203" s="7">
        <f>ROUND(4149.01,2)</f>
        <v>4149.01</v>
      </c>
      <c r="EI203" s="7">
        <f>ROUND(294.47,2)</f>
        <v>294.47000000000003</v>
      </c>
      <c r="EJ203" s="6"/>
      <c r="EK203" s="6"/>
      <c r="EL203" s="6"/>
      <c r="EM203" s="6"/>
      <c r="EN203" s="7">
        <f>ROUND(256.72,2)</f>
        <v>256.72000000000003</v>
      </c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7">
        <f>ROUND(821.45,2)</f>
        <v>821.45</v>
      </c>
      <c r="FC203" s="7">
        <f>ROUND(24.79,2)</f>
        <v>24.79</v>
      </c>
      <c r="FD203" s="7">
        <f>ROUND(664.3,2)</f>
        <v>664.3</v>
      </c>
      <c r="FE203" s="6"/>
      <c r="FF203" s="6"/>
      <c r="FG203" s="6"/>
      <c r="FH203" s="6"/>
      <c r="FI203" s="6"/>
      <c r="FJ203" s="7">
        <f>ROUND(2000,2)</f>
        <v>2000</v>
      </c>
      <c r="FK203" s="6"/>
      <c r="FL203" s="6"/>
      <c r="FM203" s="6"/>
      <c r="FN203" s="6"/>
      <c r="FO203" s="6"/>
      <c r="FP203" s="6"/>
      <c r="FQ203" s="6"/>
      <c r="FR203" s="6"/>
      <c r="FS203" s="6"/>
      <c r="FT203" s="7">
        <f>ROUND(3000,2)</f>
        <v>3000</v>
      </c>
      <c r="FU203" s="6"/>
      <c r="FV203" s="6"/>
      <c r="FW203" s="6"/>
      <c r="FX203" s="6"/>
      <c r="FY203" s="7">
        <f>ROUND(83797.1899999999,2)</f>
        <v>83797.19</v>
      </c>
    </row>
    <row r="204" spans="1:181" x14ac:dyDescent="0.3">
      <c r="A204" s="4" t="s">
        <v>620</v>
      </c>
      <c r="B204" s="5"/>
      <c r="C204" s="5" t="s">
        <v>305</v>
      </c>
      <c r="D204" s="5" t="s">
        <v>621</v>
      </c>
      <c r="E204" s="5" t="s">
        <v>0</v>
      </c>
      <c r="F204" s="5" t="s">
        <v>0</v>
      </c>
      <c r="G204" s="5" t="s">
        <v>622</v>
      </c>
      <c r="H204" s="8">
        <f>ROUND(1618.07,2)</f>
        <v>1618.07</v>
      </c>
      <c r="I204" s="7">
        <f>ROUND(89810.0800000001,2)</f>
        <v>89810.08</v>
      </c>
      <c r="J204" s="7">
        <f>ROUND(1726.5,2)</f>
        <v>1726.5</v>
      </c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7">
        <f>ROUND(-8,2)</f>
        <v>-8</v>
      </c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7">
        <f>ROUND(8,2)</f>
        <v>8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7">
        <f>ROUND(1.5,2)</f>
        <v>1.5</v>
      </c>
      <c r="CH204" s="7">
        <f>ROUND(56,2)</f>
        <v>56</v>
      </c>
      <c r="CI204" s="7">
        <f>ROUND(32,2)</f>
        <v>32</v>
      </c>
      <c r="CJ204" s="6"/>
      <c r="CK204" s="6"/>
      <c r="CL204" s="6"/>
      <c r="CM204" s="6"/>
      <c r="CN204" s="7">
        <f>ROUND(120,2)</f>
        <v>120</v>
      </c>
      <c r="CO204" s="6"/>
      <c r="CP204" s="6"/>
      <c r="CQ204" s="7">
        <f>ROUND(1936,2)</f>
        <v>1936</v>
      </c>
      <c r="CR204" s="7">
        <f>ROUND(84402.59,2)</f>
        <v>84402.59</v>
      </c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7">
        <f>ROUND(-323.61,2)</f>
        <v>-323.61</v>
      </c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7">
        <f>ROUND(169,2)</f>
        <v>169</v>
      </c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7">
        <f>ROUND(3883.37,2)</f>
        <v>3883.37</v>
      </c>
      <c r="FK204" s="6"/>
      <c r="FL204" s="6"/>
      <c r="FM204" s="7">
        <f>ROUND(60.68,2)</f>
        <v>60.68</v>
      </c>
      <c r="FN204" s="7">
        <f>ROUND(970.83,2)</f>
        <v>970.83</v>
      </c>
      <c r="FO204" s="7">
        <f>ROUND(647.22,2)</f>
        <v>647.22</v>
      </c>
      <c r="FP204" s="6"/>
      <c r="FQ204" s="6"/>
      <c r="FR204" s="6"/>
      <c r="FS204" s="6"/>
      <c r="FT204" s="6"/>
      <c r="FU204" s="6"/>
      <c r="FV204" s="6"/>
      <c r="FW204" s="6"/>
      <c r="FX204" s="6"/>
      <c r="FY204" s="7">
        <f>ROUND(89810.0800000001,2)</f>
        <v>89810.08</v>
      </c>
    </row>
    <row r="205" spans="1:181" ht="26.4" x14ac:dyDescent="0.3">
      <c r="A205" s="4" t="s">
        <v>623</v>
      </c>
      <c r="B205" s="5"/>
      <c r="C205" s="5" t="s">
        <v>394</v>
      </c>
      <c r="D205" s="5" t="s">
        <v>624</v>
      </c>
      <c r="E205" s="5" t="s">
        <v>0</v>
      </c>
      <c r="F205" s="5" t="s">
        <v>0</v>
      </c>
      <c r="G205" s="5" t="s">
        <v>625</v>
      </c>
      <c r="H205" s="8">
        <f>ROUND(1217.31,2)</f>
        <v>1217.31</v>
      </c>
      <c r="I205" s="7">
        <f>ROUND(67322.9199999999,2)</f>
        <v>67322.92</v>
      </c>
      <c r="J205" s="7">
        <f>ROUND(1624,2)</f>
        <v>1624</v>
      </c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7">
        <f>ROUND(-8,2)</f>
        <v>-8</v>
      </c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7">
        <f>ROUND(8,2)</f>
        <v>8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7">
        <f>ROUND(16,2)</f>
        <v>16</v>
      </c>
      <c r="CH205" s="7">
        <f>ROUND(56,2)</f>
        <v>56</v>
      </c>
      <c r="CI205" s="7">
        <f>ROUND(32,2)</f>
        <v>32</v>
      </c>
      <c r="CJ205" s="6"/>
      <c r="CK205" s="6"/>
      <c r="CL205" s="6"/>
      <c r="CM205" s="6"/>
      <c r="CN205" s="7">
        <f>ROUND(112,2)</f>
        <v>112</v>
      </c>
      <c r="CO205" s="6"/>
      <c r="CP205" s="6"/>
      <c r="CQ205" s="7">
        <f>ROUND(1840,2)</f>
        <v>1840</v>
      </c>
      <c r="CR205" s="7">
        <f>ROUND(60262.5399999999,2)</f>
        <v>60262.54</v>
      </c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7">
        <f>ROUND(-243.46,2)</f>
        <v>-243.46</v>
      </c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7">
        <f>ROUND(243.46,2)</f>
        <v>243.46</v>
      </c>
      <c r="FH205" s="6"/>
      <c r="FI205" s="6"/>
      <c r="FJ205" s="7">
        <f>ROUND(2921.55,2)</f>
        <v>2921.55</v>
      </c>
      <c r="FK205" s="6"/>
      <c r="FL205" s="6"/>
      <c r="FM205" s="7">
        <f>ROUND(486.92,2)</f>
        <v>486.92</v>
      </c>
      <c r="FN205" s="7">
        <f>ROUND(730.38,2)</f>
        <v>730.38</v>
      </c>
      <c r="FO205" s="7">
        <f>ROUND(486.92,2)</f>
        <v>486.92</v>
      </c>
      <c r="FP205" s="6"/>
      <c r="FQ205" s="6"/>
      <c r="FR205" s="6"/>
      <c r="FS205" s="6"/>
      <c r="FT205" s="6"/>
      <c r="FU205" s="6"/>
      <c r="FV205" s="7">
        <f>ROUND(2434.61,2)</f>
        <v>2434.61</v>
      </c>
      <c r="FW205" s="6"/>
      <c r="FX205" s="6"/>
      <c r="FY205" s="7">
        <f>ROUND(67322.9199999999,2)</f>
        <v>67322.92</v>
      </c>
    </row>
    <row r="206" spans="1:181" x14ac:dyDescent="0.3">
      <c r="A206" s="4" t="s">
        <v>626</v>
      </c>
      <c r="B206" s="5" t="s">
        <v>1029</v>
      </c>
      <c r="C206" s="5" t="s">
        <v>181</v>
      </c>
      <c r="D206" s="5" t="s">
        <v>627</v>
      </c>
      <c r="E206" s="5" t="s">
        <v>0</v>
      </c>
      <c r="F206" s="5" t="s">
        <v>0</v>
      </c>
      <c r="G206" s="5" t="s">
        <v>183</v>
      </c>
      <c r="H206" s="8">
        <v>33.880000000000003</v>
      </c>
      <c r="I206" s="7">
        <f>ROUND(85465.19,2)</f>
        <v>85465.19</v>
      </c>
      <c r="J206" s="6"/>
      <c r="K206" s="6"/>
      <c r="L206" s="6"/>
      <c r="M206" s="6"/>
      <c r="N206" s="7">
        <f>ROUND(1708.36,2)</f>
        <v>1708.36</v>
      </c>
      <c r="O206" s="6"/>
      <c r="P206" s="6"/>
      <c r="Q206" s="7">
        <f>ROUND(180.879999999999,2)</f>
        <v>180.88</v>
      </c>
      <c r="R206" s="6"/>
      <c r="S206" s="6"/>
      <c r="T206" s="6"/>
      <c r="U206" s="6"/>
      <c r="V206" s="7">
        <f>ROUND(24.25,2)</f>
        <v>24.25</v>
      </c>
      <c r="W206" s="7">
        <f>ROUND(27.73,2)</f>
        <v>27.73</v>
      </c>
      <c r="X206" s="7">
        <f>ROUND(5.32,2)</f>
        <v>5.32</v>
      </c>
      <c r="Y206" s="7">
        <f>ROUND(0.07,2)</f>
        <v>7.0000000000000007E-2</v>
      </c>
      <c r="Z206" s="6"/>
      <c r="AA206" s="7">
        <f>ROUND(0.83,2)</f>
        <v>0.83</v>
      </c>
      <c r="AB206" s="6"/>
      <c r="AC206" s="6"/>
      <c r="AD206" s="6"/>
      <c r="AE206" s="7">
        <f>ROUND(10,2)</f>
        <v>10</v>
      </c>
      <c r="AF206" s="6"/>
      <c r="AG206" s="7">
        <f>ROUND(4,2)</f>
        <v>4</v>
      </c>
      <c r="AH206" s="6"/>
      <c r="AI206" s="6"/>
      <c r="AJ206" s="6"/>
      <c r="AK206" s="6"/>
      <c r="AL206" s="6"/>
      <c r="AM206" s="6"/>
      <c r="AN206" s="6"/>
      <c r="AO206" s="6"/>
      <c r="AP206" s="7">
        <f>ROUND(72.82,2)</f>
        <v>72.819999999999993</v>
      </c>
      <c r="AQ206" s="6"/>
      <c r="AR206" s="7">
        <f>ROUND(64.02,2)</f>
        <v>64.02</v>
      </c>
      <c r="AS206" s="6"/>
      <c r="AT206" s="6"/>
      <c r="AU206" s="7">
        <f>ROUND(70,2)</f>
        <v>70</v>
      </c>
      <c r="AV206" s="6"/>
      <c r="AW206" s="7">
        <f>ROUND(31.33,2)</f>
        <v>31.33</v>
      </c>
      <c r="AX206" s="7">
        <f>ROUND(0.67,2)</f>
        <v>0.67</v>
      </c>
      <c r="AY206" s="7">
        <f>ROUND(80,2)</f>
        <v>80</v>
      </c>
      <c r="AZ206" s="6"/>
      <c r="BA206" s="6"/>
      <c r="BB206" s="7">
        <f>ROUND(32,2)</f>
        <v>32</v>
      </c>
      <c r="BC206" s="6"/>
      <c r="BD206" s="7">
        <f>ROUND(8,2)</f>
        <v>8</v>
      </c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7">
        <f>ROUND(24,2)</f>
        <v>24</v>
      </c>
      <c r="BT206" s="7">
        <f>ROUND(2.69,2)</f>
        <v>2.69</v>
      </c>
      <c r="BU206" s="7">
        <f>ROUND(55.16,2)</f>
        <v>55.16</v>
      </c>
      <c r="BV206" s="7">
        <f>ROUND(8,2)</f>
        <v>8</v>
      </c>
      <c r="BW206" s="6"/>
      <c r="BX206" s="7">
        <f>ROUND(24,2)</f>
        <v>24</v>
      </c>
      <c r="BY206" s="7">
        <f>ROUND(8,2)</f>
        <v>8</v>
      </c>
      <c r="BZ206" s="6"/>
      <c r="CA206" s="7">
        <f>ROUND(29.33,2)</f>
        <v>29.33</v>
      </c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7">
        <f>ROUND(2471.45999999999,2)</f>
        <v>2471.46</v>
      </c>
      <c r="CR206" s="6"/>
      <c r="CS206" s="6"/>
      <c r="CT206" s="6"/>
      <c r="CU206" s="6"/>
      <c r="CV206" s="7">
        <f>ROUND(55563.56,2)</f>
        <v>55563.56</v>
      </c>
      <c r="CW206" s="6"/>
      <c r="CX206" s="6"/>
      <c r="CY206" s="7">
        <f>ROUND(8885.26,2)</f>
        <v>8885.26</v>
      </c>
      <c r="CZ206" s="6"/>
      <c r="DA206" s="6"/>
      <c r="DB206" s="6"/>
      <c r="DC206" s="6"/>
      <c r="DD206" s="7">
        <f>ROUND(795.79,2)</f>
        <v>795.79</v>
      </c>
      <c r="DE206" s="7">
        <f>ROUND(1352.7,2)</f>
        <v>1352.7</v>
      </c>
      <c r="DF206" s="7">
        <f>ROUND(170.74,2)</f>
        <v>170.74</v>
      </c>
      <c r="DG206" s="7">
        <f>ROUND(3.37,2)</f>
        <v>3.37</v>
      </c>
      <c r="DH206" s="6"/>
      <c r="DI206" s="6"/>
      <c r="DJ206" s="7">
        <f>ROUND(26.63,2)</f>
        <v>26.63</v>
      </c>
      <c r="DK206" s="6"/>
      <c r="DL206" s="6"/>
      <c r="DM206" s="6"/>
      <c r="DN206" s="7">
        <f>ROUND(337.1,2)</f>
        <v>337.1</v>
      </c>
      <c r="DO206" s="6"/>
      <c r="DP206" s="7">
        <f>ROUND(192.54,2)</f>
        <v>192.54</v>
      </c>
      <c r="DQ206" s="6"/>
      <c r="DR206" s="6"/>
      <c r="DS206" s="6"/>
      <c r="DT206" s="6"/>
      <c r="DU206" s="6"/>
      <c r="DV206" s="6"/>
      <c r="DW206" s="6"/>
      <c r="DX206" s="6"/>
      <c r="DY206" s="7">
        <f>ROUND(2438.5,2)</f>
        <v>2438.5</v>
      </c>
      <c r="DZ206" s="6"/>
      <c r="EA206" s="7">
        <f>ROUND(3137.27999999999,2)</f>
        <v>3137.28</v>
      </c>
      <c r="EB206" s="6"/>
      <c r="EC206" s="6"/>
      <c r="ED206" s="7">
        <f>ROUND(2285.54,2)</f>
        <v>2285.54</v>
      </c>
      <c r="EE206" s="6"/>
      <c r="EF206" s="7">
        <f>ROUND(1020.74,2)</f>
        <v>1020.74</v>
      </c>
      <c r="EG206" s="7">
        <f>ROUND(32.25,2)</f>
        <v>32.25</v>
      </c>
      <c r="EH206" s="7">
        <f>ROUND(2644,2)</f>
        <v>2644</v>
      </c>
      <c r="EI206" s="6"/>
      <c r="EJ206" s="6"/>
      <c r="EK206" s="7">
        <f>ROUND(1026.88,2)</f>
        <v>1026.8800000000001</v>
      </c>
      <c r="EL206" s="6"/>
      <c r="EM206" s="6"/>
      <c r="EN206" s="7">
        <f>ROUND(256.72,2)</f>
        <v>256.72000000000003</v>
      </c>
      <c r="EO206" s="6"/>
      <c r="EP206" s="6"/>
      <c r="EQ206" s="6"/>
      <c r="ER206" s="7">
        <f>ROUND(324.55,2)</f>
        <v>324.55</v>
      </c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7">
        <f>ROUND(1521.04,2)</f>
        <v>1521.04</v>
      </c>
      <c r="FG206" s="6"/>
      <c r="FH206" s="6"/>
      <c r="FI206" s="6"/>
      <c r="FJ206" s="7">
        <f>ROUND(450,2)</f>
        <v>450</v>
      </c>
      <c r="FK206" s="6"/>
      <c r="FL206" s="6"/>
      <c r="FM206" s="6"/>
      <c r="FN206" s="6"/>
      <c r="FO206" s="6"/>
      <c r="FP206" s="6"/>
      <c r="FQ206" s="6"/>
      <c r="FR206" s="6"/>
      <c r="FS206" s="6"/>
      <c r="FT206" s="7">
        <f>ROUND(3000,2)</f>
        <v>3000</v>
      </c>
      <c r="FU206" s="6"/>
      <c r="FV206" s="6"/>
      <c r="FW206" s="6"/>
      <c r="FX206" s="6"/>
      <c r="FY206" s="7">
        <f>ROUND(85465.19,2)</f>
        <v>85465.19</v>
      </c>
    </row>
    <row r="207" spans="1:181" x14ac:dyDescent="0.3">
      <c r="A207" s="4" t="s">
        <v>628</v>
      </c>
      <c r="B207" s="5" t="s">
        <v>1029</v>
      </c>
      <c r="C207" s="5" t="s">
        <v>181</v>
      </c>
      <c r="D207" s="5" t="s">
        <v>415</v>
      </c>
      <c r="E207" s="5" t="s">
        <v>0</v>
      </c>
      <c r="F207" s="5" t="s">
        <v>0</v>
      </c>
      <c r="G207" s="5" t="s">
        <v>183</v>
      </c>
      <c r="H207" s="8">
        <v>33.380000000000003</v>
      </c>
      <c r="I207" s="7">
        <f>ROUND(86419.7399999999,2)</f>
        <v>86419.74</v>
      </c>
      <c r="J207" s="6"/>
      <c r="K207" s="6"/>
      <c r="L207" s="6"/>
      <c r="M207" s="6"/>
      <c r="N207" s="7">
        <f>ROUND(1673.21,2)</f>
        <v>1673.21</v>
      </c>
      <c r="O207" s="6"/>
      <c r="P207" s="6"/>
      <c r="Q207" s="7">
        <f>ROUND(209.13,2)</f>
        <v>209.13</v>
      </c>
      <c r="R207" s="6"/>
      <c r="S207" s="6"/>
      <c r="T207" s="6"/>
      <c r="U207" s="6"/>
      <c r="V207" s="7">
        <f>ROUND(12.17,2)</f>
        <v>12.17</v>
      </c>
      <c r="W207" s="7">
        <f>ROUND(4.38,2)</f>
        <v>4.38</v>
      </c>
      <c r="X207" s="7">
        <f>ROUND(1.38,2)</f>
        <v>1.38</v>
      </c>
      <c r="Y207" s="6"/>
      <c r="Z207" s="6"/>
      <c r="AA207" s="6"/>
      <c r="AB207" s="6"/>
      <c r="AC207" s="6"/>
      <c r="AD207" s="6"/>
      <c r="AE207" s="7">
        <f>ROUND(100.49,2)</f>
        <v>100.49</v>
      </c>
      <c r="AF207" s="6"/>
      <c r="AG207" s="7">
        <f>ROUND(7.33,2)</f>
        <v>7.33</v>
      </c>
      <c r="AH207" s="6"/>
      <c r="AI207" s="6"/>
      <c r="AJ207" s="6"/>
      <c r="AK207" s="6"/>
      <c r="AL207" s="6"/>
      <c r="AM207" s="6"/>
      <c r="AN207" s="6"/>
      <c r="AO207" s="6"/>
      <c r="AP207" s="7">
        <f>ROUND(212.2,2)</f>
        <v>212.2</v>
      </c>
      <c r="AQ207" s="6"/>
      <c r="AR207" s="7">
        <f>ROUND(10.26,2)</f>
        <v>10.26</v>
      </c>
      <c r="AS207" s="6"/>
      <c r="AT207" s="6"/>
      <c r="AU207" s="7">
        <f>ROUND(70,2)</f>
        <v>70</v>
      </c>
      <c r="AV207" s="6"/>
      <c r="AW207" s="7">
        <f>ROUND(11.8399999999999,2)</f>
        <v>11.84</v>
      </c>
      <c r="AX207" s="7">
        <f>ROUND(20.16,2)</f>
        <v>20.16</v>
      </c>
      <c r="AY207" s="7">
        <f>ROUND(30,2)</f>
        <v>30</v>
      </c>
      <c r="AZ207" s="6"/>
      <c r="BA207" s="6"/>
      <c r="BB207" s="7">
        <f>ROUND(16,2)</f>
        <v>16</v>
      </c>
      <c r="BC207" s="6"/>
      <c r="BD207" s="7">
        <f>ROUND(8,2)</f>
        <v>8</v>
      </c>
      <c r="BE207" s="7">
        <f>ROUND(0.92,2)</f>
        <v>0.92</v>
      </c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7">
        <f>ROUND(0.36,2)</f>
        <v>0.36</v>
      </c>
      <c r="BU207" s="6"/>
      <c r="BV207" s="6"/>
      <c r="BW207" s="6"/>
      <c r="BX207" s="6"/>
      <c r="BY207" s="7">
        <f>ROUND(16,2)</f>
        <v>16</v>
      </c>
      <c r="BZ207" s="6"/>
      <c r="CA207" s="7">
        <f>ROUND(8,2)</f>
        <v>8</v>
      </c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7">
        <f>ROUND(2411.82999999999,2)</f>
        <v>2411.83</v>
      </c>
      <c r="CR207" s="6"/>
      <c r="CS207" s="6"/>
      <c r="CT207" s="6"/>
      <c r="CU207" s="6"/>
      <c r="CV207" s="7">
        <f>ROUND(54850.34,2)</f>
        <v>54850.34</v>
      </c>
      <c r="CW207" s="6"/>
      <c r="CX207" s="6"/>
      <c r="CY207" s="7">
        <f>ROUND(10308.1,2)</f>
        <v>10308.1</v>
      </c>
      <c r="CZ207" s="6"/>
      <c r="DA207" s="6"/>
      <c r="DB207" s="6"/>
      <c r="DC207" s="6"/>
      <c r="DD207" s="7">
        <f>ROUND(390.54,2)</f>
        <v>390.54</v>
      </c>
      <c r="DE207" s="7">
        <f>ROUND(210.83,2)</f>
        <v>210.83</v>
      </c>
      <c r="DF207" s="7">
        <f>ROUND(44.28,2)</f>
        <v>44.28</v>
      </c>
      <c r="DG207" s="6"/>
      <c r="DH207" s="6"/>
      <c r="DI207" s="6"/>
      <c r="DJ207" s="6"/>
      <c r="DK207" s="6"/>
      <c r="DL207" s="6"/>
      <c r="DM207" s="6"/>
      <c r="DN207" s="7">
        <f>ROUND(3229.53,2)</f>
        <v>3229.53</v>
      </c>
      <c r="DO207" s="6"/>
      <c r="DP207" s="7">
        <f>ROUND(353.679999999999,2)</f>
        <v>353.68</v>
      </c>
      <c r="DQ207" s="6"/>
      <c r="DR207" s="6"/>
      <c r="DS207" s="6"/>
      <c r="DT207" s="6"/>
      <c r="DU207" s="6"/>
      <c r="DV207" s="6"/>
      <c r="DW207" s="6"/>
      <c r="DX207" s="6"/>
      <c r="DY207" s="7">
        <f>ROUND(6851.74,2)</f>
        <v>6851.74</v>
      </c>
      <c r="DZ207" s="6"/>
      <c r="EA207" s="7">
        <f>ROUND(495.88,2)</f>
        <v>495.88</v>
      </c>
      <c r="EB207" s="6"/>
      <c r="EC207" s="6"/>
      <c r="ED207" s="7">
        <f>ROUND(2281.58,2)</f>
        <v>2281.58</v>
      </c>
      <c r="EE207" s="6"/>
      <c r="EF207" s="7">
        <f>ROUND(383.62,2)</f>
        <v>383.62</v>
      </c>
      <c r="EG207" s="7">
        <f>ROUND(999.42,2)</f>
        <v>999.42</v>
      </c>
      <c r="EH207" s="7">
        <f>ROUND(962.699999999999,2)</f>
        <v>962.7</v>
      </c>
      <c r="EI207" s="6"/>
      <c r="EJ207" s="6"/>
      <c r="EK207" s="7">
        <f>ROUND(521.12,2)</f>
        <v>521.12</v>
      </c>
      <c r="EL207" s="6"/>
      <c r="EM207" s="6"/>
      <c r="EN207" s="7">
        <f>ROUND(256.72,2)</f>
        <v>256.72000000000003</v>
      </c>
      <c r="EO207" s="7">
        <f>ROUND(29.66,2)</f>
        <v>29.66</v>
      </c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7">
        <f>ROUND(1250,2)</f>
        <v>1250</v>
      </c>
      <c r="FK207" s="6"/>
      <c r="FL207" s="6"/>
      <c r="FM207" s="6"/>
      <c r="FN207" s="6"/>
      <c r="FO207" s="6"/>
      <c r="FP207" s="6"/>
      <c r="FQ207" s="6"/>
      <c r="FR207" s="6"/>
      <c r="FS207" s="6"/>
      <c r="FT207" s="7">
        <f>ROUND(3000,2)</f>
        <v>3000</v>
      </c>
      <c r="FU207" s="6"/>
      <c r="FV207" s="6"/>
      <c r="FW207" s="6"/>
      <c r="FX207" s="6"/>
      <c r="FY207" s="7">
        <f>ROUND(86419.7399999999,2)</f>
        <v>86419.74</v>
      </c>
    </row>
    <row r="208" spans="1:181" x14ac:dyDescent="0.3">
      <c r="A208" s="4" t="s">
        <v>629</v>
      </c>
      <c r="B208" s="5"/>
      <c r="C208" s="5" t="s">
        <v>294</v>
      </c>
      <c r="D208" s="5" t="s">
        <v>400</v>
      </c>
      <c r="E208" s="5" t="s">
        <v>535</v>
      </c>
      <c r="F208" s="5" t="s">
        <v>0</v>
      </c>
      <c r="G208" s="5" t="s">
        <v>474</v>
      </c>
      <c r="H208" s="8">
        <f>ROUND(1420.79,2)</f>
        <v>1420.79</v>
      </c>
      <c r="I208" s="7">
        <f>ROUND(91836.7699999999,2)</f>
        <v>91836.77</v>
      </c>
      <c r="J208" s="7">
        <f>ROUND(1592,2)</f>
        <v>1592</v>
      </c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7">
        <f>ROUND(-8,2)</f>
        <v>-8</v>
      </c>
      <c r="AC208" s="7">
        <f>ROUND(2,2)</f>
        <v>2</v>
      </c>
      <c r="AD208" s="7">
        <f>ROUND(33,2)</f>
        <v>33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7">
        <f>ROUND(8,2)</f>
        <v>8</v>
      </c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7">
        <f>ROUND(8,2)</f>
        <v>8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7">
        <f>ROUND(56,2)</f>
        <v>56</v>
      </c>
      <c r="CH208" s="7">
        <f>ROUND(56,2)</f>
        <v>56</v>
      </c>
      <c r="CI208" s="7">
        <f>ROUND(32,2)</f>
        <v>32</v>
      </c>
      <c r="CJ208" s="6"/>
      <c r="CK208" s="6"/>
      <c r="CL208" s="6"/>
      <c r="CM208" s="6"/>
      <c r="CN208" s="7">
        <f>ROUND(216,2)</f>
        <v>216</v>
      </c>
      <c r="CO208" s="6"/>
      <c r="CP208" s="6"/>
      <c r="CQ208" s="7">
        <f>ROUND(1995,2)</f>
        <v>1995</v>
      </c>
      <c r="CR208" s="7">
        <f>ROUND(69334.52,2)</f>
        <v>69334.52</v>
      </c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7">
        <f>ROUND(-284.16,2)</f>
        <v>-284.16000000000003</v>
      </c>
      <c r="DL208" s="7">
        <f>ROUND(750,2)</f>
        <v>750</v>
      </c>
      <c r="DM208" s="7">
        <f>ROUND(12375,2)</f>
        <v>12375</v>
      </c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7">
        <f>ROUND(3409.9,2)</f>
        <v>3409.9</v>
      </c>
      <c r="FK208" s="6"/>
      <c r="FL208" s="6"/>
      <c r="FM208" s="7">
        <f>ROUND(1989.12,2)</f>
        <v>1989.12</v>
      </c>
      <c r="FN208" s="7">
        <f>ROUND(852.48,2)</f>
        <v>852.48</v>
      </c>
      <c r="FO208" s="6"/>
      <c r="FP208" s="6"/>
      <c r="FQ208" s="6"/>
      <c r="FR208" s="6"/>
      <c r="FS208" s="6"/>
      <c r="FT208" s="6"/>
      <c r="FU208" s="6"/>
      <c r="FV208" s="7">
        <f>ROUND(3409.91,2)</f>
        <v>3409.91</v>
      </c>
      <c r="FW208" s="6"/>
      <c r="FX208" s="6"/>
      <c r="FY208" s="7">
        <f>ROUND(91836.7699999999,2)</f>
        <v>91836.77</v>
      </c>
    </row>
    <row r="209" spans="1:181" x14ac:dyDescent="0.3">
      <c r="A209" s="4" t="s">
        <v>630</v>
      </c>
      <c r="B209" s="5" t="s">
        <v>1029</v>
      </c>
      <c r="C209" s="5" t="s">
        <v>181</v>
      </c>
      <c r="D209" s="5" t="s">
        <v>194</v>
      </c>
      <c r="E209" s="5" t="s">
        <v>0</v>
      </c>
      <c r="F209" s="5" t="s">
        <v>0</v>
      </c>
      <c r="G209" s="5" t="s">
        <v>183</v>
      </c>
      <c r="H209" s="8">
        <v>33.380000000000003</v>
      </c>
      <c r="I209" s="7">
        <f>ROUND(75522.5399999999,2)</f>
        <v>75522.539999999994</v>
      </c>
      <c r="J209" s="6"/>
      <c r="K209" s="6"/>
      <c r="L209" s="6"/>
      <c r="M209" s="6"/>
      <c r="N209" s="7">
        <f>ROUND(1849.79999999999,2)</f>
        <v>1849.8</v>
      </c>
      <c r="O209" s="6"/>
      <c r="P209" s="6"/>
      <c r="Q209" s="7">
        <f>ROUND(103.44,2)</f>
        <v>103.44</v>
      </c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7">
        <f>ROUND(68,2)</f>
        <v>68</v>
      </c>
      <c r="AV209" s="6"/>
      <c r="AW209" s="7">
        <f>ROUND(32,2)</f>
        <v>32</v>
      </c>
      <c r="AX209" s="6"/>
      <c r="AY209" s="7">
        <f>ROUND(57.98,2)</f>
        <v>57.98</v>
      </c>
      <c r="AZ209" s="7">
        <f>ROUND(6.02,2)</f>
        <v>6.02</v>
      </c>
      <c r="BA209" s="6"/>
      <c r="BB209" s="6"/>
      <c r="BC209" s="6"/>
      <c r="BD209" s="7">
        <f>ROUND(8,2)</f>
        <v>8</v>
      </c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7">
        <f>ROUND(8,2)</f>
        <v>8</v>
      </c>
      <c r="BT209" s="7">
        <f>ROUND(3.17,2)</f>
        <v>3.17</v>
      </c>
      <c r="BU209" s="6"/>
      <c r="BV209" s="6"/>
      <c r="BW209" s="6"/>
      <c r="BX209" s="6"/>
      <c r="BY209" s="7">
        <f>ROUND(40,2)</f>
        <v>40</v>
      </c>
      <c r="BZ209" s="6"/>
      <c r="CA209" s="7">
        <f>ROUND(80,2)</f>
        <v>80</v>
      </c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7">
        <f>ROUND(16,2)</f>
        <v>16</v>
      </c>
      <c r="CQ209" s="7">
        <f>ROUND(2272.40999999999,2)</f>
        <v>2272.41</v>
      </c>
      <c r="CR209" s="6"/>
      <c r="CS209" s="6"/>
      <c r="CT209" s="6"/>
      <c r="CU209" s="6"/>
      <c r="CV209" s="7">
        <f>ROUND(60532.65,2)</f>
        <v>60532.65</v>
      </c>
      <c r="CW209" s="6"/>
      <c r="CX209" s="6"/>
      <c r="CY209" s="7">
        <f>ROUND(5066.54,2)</f>
        <v>5066.54</v>
      </c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7">
        <f>ROUND(2215.48,2)</f>
        <v>2215.48</v>
      </c>
      <c r="EE209" s="6"/>
      <c r="EF209" s="7">
        <f>ROUND(1057.6,2)</f>
        <v>1057.5999999999999</v>
      </c>
      <c r="EG209" s="6"/>
      <c r="EH209" s="7">
        <f>ROUND(1892.42,2)</f>
        <v>1892.42</v>
      </c>
      <c r="EI209" s="7">
        <f>ROUND(292.05,2)</f>
        <v>292.05</v>
      </c>
      <c r="EJ209" s="6"/>
      <c r="EK209" s="6"/>
      <c r="EL209" s="6"/>
      <c r="EM209" s="6"/>
      <c r="EN209" s="7">
        <f>ROUND(256.72,2)</f>
        <v>256.72000000000003</v>
      </c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7">
        <f>ROUND(675,2)</f>
        <v>675</v>
      </c>
      <c r="FK209" s="6"/>
      <c r="FL209" s="6"/>
      <c r="FM209" s="6"/>
      <c r="FN209" s="6"/>
      <c r="FO209" s="6"/>
      <c r="FP209" s="6"/>
      <c r="FQ209" s="6"/>
      <c r="FR209" s="6"/>
      <c r="FS209" s="6"/>
      <c r="FT209" s="7">
        <f>ROUND(3000,2)</f>
        <v>3000</v>
      </c>
      <c r="FU209" s="6"/>
      <c r="FV209" s="6"/>
      <c r="FW209" s="6"/>
      <c r="FX209" s="7">
        <f>ROUND(534.08,2)</f>
        <v>534.08000000000004</v>
      </c>
      <c r="FY209" s="7">
        <f>ROUND(75522.5399999999,2)</f>
        <v>75522.539999999994</v>
      </c>
    </row>
    <row r="210" spans="1:181" ht="26.4" x14ac:dyDescent="0.3">
      <c r="A210" s="4" t="s">
        <v>631</v>
      </c>
      <c r="B210" s="5"/>
      <c r="C210" s="5" t="s">
        <v>305</v>
      </c>
      <c r="D210" s="5" t="s">
        <v>632</v>
      </c>
      <c r="E210" s="5" t="s">
        <v>0</v>
      </c>
      <c r="F210" s="5" t="s">
        <v>0</v>
      </c>
      <c r="G210" s="5" t="s">
        <v>633</v>
      </c>
      <c r="H210" s="8">
        <f>ROUND(980,2)</f>
        <v>980</v>
      </c>
      <c r="I210" s="7">
        <f>ROUND(53910.34,2)</f>
        <v>53910.34</v>
      </c>
      <c r="J210" s="7">
        <f>ROUND(1671,2)</f>
        <v>1671</v>
      </c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7">
        <f>ROUND(-11,2)</f>
        <v>-11</v>
      </c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7">
        <f>ROUND(8,2)</f>
        <v>8</v>
      </c>
      <c r="BX210" s="6"/>
      <c r="BY210" s="6"/>
      <c r="BZ210" s="6"/>
      <c r="CA210" s="6"/>
      <c r="CB210" s="6"/>
      <c r="CC210" s="6"/>
      <c r="CD210" s="6"/>
      <c r="CE210" s="6"/>
      <c r="CF210" s="7">
        <f>ROUND(8,2)</f>
        <v>8</v>
      </c>
      <c r="CG210" s="7">
        <f>ROUND(26,2)</f>
        <v>26</v>
      </c>
      <c r="CH210" s="7">
        <f>ROUND(56,2)</f>
        <v>56</v>
      </c>
      <c r="CI210" s="7">
        <f>ROUND(31,2)</f>
        <v>31</v>
      </c>
      <c r="CJ210" s="6"/>
      <c r="CK210" s="7">
        <f>ROUND(8,2)</f>
        <v>8</v>
      </c>
      <c r="CL210" s="6"/>
      <c r="CM210" s="6"/>
      <c r="CN210" s="7">
        <f>ROUND(80,2)</f>
        <v>80</v>
      </c>
      <c r="CO210" s="6"/>
      <c r="CP210" s="6"/>
      <c r="CQ210" s="7">
        <f>ROUND(1877,2)</f>
        <v>1877</v>
      </c>
      <c r="CR210" s="7">
        <f>ROUND(49451.34,2)</f>
        <v>49451.34</v>
      </c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7">
        <f>ROUND(-269.5,2)</f>
        <v>-269.5</v>
      </c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7">
        <f>ROUND(2352,2)</f>
        <v>2352</v>
      </c>
      <c r="FK210" s="6"/>
      <c r="FL210" s="7">
        <f>ROUND(196,2)</f>
        <v>196</v>
      </c>
      <c r="FM210" s="7">
        <f>ROUND(637,2)</f>
        <v>637</v>
      </c>
      <c r="FN210" s="7">
        <f>ROUND(588,2)</f>
        <v>588</v>
      </c>
      <c r="FO210" s="7">
        <f>ROUND(171.5,2)</f>
        <v>171.5</v>
      </c>
      <c r="FP210" s="6"/>
      <c r="FQ210" s="6"/>
      <c r="FR210" s="6"/>
      <c r="FS210" s="6"/>
      <c r="FT210" s="6"/>
      <c r="FU210" s="6"/>
      <c r="FV210" s="7">
        <f>ROUND(784,2)</f>
        <v>784</v>
      </c>
      <c r="FW210" s="6"/>
      <c r="FX210" s="6"/>
      <c r="FY210" s="7">
        <f>ROUND(53910.34,2)</f>
        <v>53910.34</v>
      </c>
    </row>
    <row r="211" spans="1:181" x14ac:dyDescent="0.3">
      <c r="A211" s="4" t="s">
        <v>634</v>
      </c>
      <c r="B211" s="5" t="s">
        <v>1029</v>
      </c>
      <c r="C211" s="5" t="s">
        <v>181</v>
      </c>
      <c r="D211" s="5" t="s">
        <v>390</v>
      </c>
      <c r="E211" s="5" t="s">
        <v>0</v>
      </c>
      <c r="F211" s="5" t="s">
        <v>0</v>
      </c>
      <c r="G211" s="5" t="s">
        <v>183</v>
      </c>
      <c r="H211" s="9">
        <v>33.380000000000003</v>
      </c>
      <c r="I211" s="7">
        <f>ROUND(80727.5799999999,2)</f>
        <v>80727.58</v>
      </c>
      <c r="J211" s="6"/>
      <c r="K211" s="6"/>
      <c r="L211" s="6"/>
      <c r="M211" s="6"/>
      <c r="N211" s="7">
        <f>ROUND(915.689999999999,2)</f>
        <v>915.69</v>
      </c>
      <c r="O211" s="6"/>
      <c r="P211" s="6"/>
      <c r="Q211" s="7">
        <f>ROUND(114.1,2)</f>
        <v>114.1</v>
      </c>
      <c r="R211" s="6"/>
      <c r="S211" s="6"/>
      <c r="T211" s="6"/>
      <c r="U211" s="6"/>
      <c r="V211" s="7">
        <f>ROUND(47.25,2)</f>
        <v>47.25</v>
      </c>
      <c r="W211" s="7">
        <f>ROUND(0.97,2)</f>
        <v>0.97</v>
      </c>
      <c r="X211" s="6"/>
      <c r="Y211" s="6"/>
      <c r="Z211" s="6"/>
      <c r="AA211" s="6"/>
      <c r="AB211" s="6"/>
      <c r="AC211" s="6"/>
      <c r="AD211" s="6"/>
      <c r="AE211" s="7">
        <f>ROUND(310.76,2)</f>
        <v>310.76</v>
      </c>
      <c r="AF211" s="6"/>
      <c r="AG211" s="7">
        <f>ROUND(49.1099999999999,2)</f>
        <v>49.11</v>
      </c>
      <c r="AH211" s="6"/>
      <c r="AI211" s="6"/>
      <c r="AJ211" s="6"/>
      <c r="AK211" s="6"/>
      <c r="AL211" s="6"/>
      <c r="AM211" s="6"/>
      <c r="AN211" s="6"/>
      <c r="AO211" s="6"/>
      <c r="AP211" s="7">
        <f>ROUND(606.36,2)</f>
        <v>606.36</v>
      </c>
      <c r="AQ211" s="6"/>
      <c r="AR211" s="7">
        <f>ROUND(51.94,2)</f>
        <v>51.94</v>
      </c>
      <c r="AS211" s="6"/>
      <c r="AT211" s="6"/>
      <c r="AU211" s="7">
        <f>ROUND(72,2)</f>
        <v>72</v>
      </c>
      <c r="AV211" s="7">
        <f>ROUND(0.23,2)</f>
        <v>0.23</v>
      </c>
      <c r="AW211" s="7">
        <f>ROUND(43.7699999999999,2)</f>
        <v>43.77</v>
      </c>
      <c r="AX211" s="6"/>
      <c r="AY211" s="7">
        <f>ROUND(44,2)</f>
        <v>44</v>
      </c>
      <c r="AZ211" s="6"/>
      <c r="BA211" s="6"/>
      <c r="BB211" s="7">
        <f>ROUND(16,2)</f>
        <v>16</v>
      </c>
      <c r="BC211" s="6"/>
      <c r="BD211" s="7">
        <f>ROUND(8,2)</f>
        <v>8</v>
      </c>
      <c r="BE211" s="7">
        <f>ROUND(1.07,2)</f>
        <v>1.07</v>
      </c>
      <c r="BF211" s="6"/>
      <c r="BG211" s="6"/>
      <c r="BH211" s="6"/>
      <c r="BI211" s="6"/>
      <c r="BJ211" s="6"/>
      <c r="BK211" s="6"/>
      <c r="BL211" s="6"/>
      <c r="BM211" s="6"/>
      <c r="BN211" s="6"/>
      <c r="BO211" s="7">
        <f>ROUND(10.72,2)</f>
        <v>10.72</v>
      </c>
      <c r="BP211" s="6"/>
      <c r="BQ211" s="7">
        <f>ROUND(16,2)</f>
        <v>16</v>
      </c>
      <c r="BR211" s="6"/>
      <c r="BS211" s="6"/>
      <c r="BT211" s="7">
        <f>ROUND(4.57,2)</f>
        <v>4.57</v>
      </c>
      <c r="BU211" s="6"/>
      <c r="BV211" s="6"/>
      <c r="BW211" s="6"/>
      <c r="BX211" s="6"/>
      <c r="BY211" s="7">
        <f>ROUND(26,2)</f>
        <v>26</v>
      </c>
      <c r="BZ211" s="6"/>
      <c r="CA211" s="7">
        <f>ROUND(18,2)</f>
        <v>18</v>
      </c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7">
        <f>ROUND(2356.54,2)</f>
        <v>2356.54</v>
      </c>
      <c r="CR211" s="6"/>
      <c r="CS211" s="6"/>
      <c r="CT211" s="6"/>
      <c r="CU211" s="6"/>
      <c r="CV211" s="7">
        <f>ROUND(29054.9799999999,2)</f>
        <v>29054.98</v>
      </c>
      <c r="CW211" s="6"/>
      <c r="CX211" s="6"/>
      <c r="CY211" s="7">
        <f>ROUND(5523.34999999999,2)</f>
        <v>5523.35</v>
      </c>
      <c r="CZ211" s="6"/>
      <c r="DA211" s="6"/>
      <c r="DB211" s="6"/>
      <c r="DC211" s="6"/>
      <c r="DD211" s="7">
        <f>ROUND(1470.85,2)</f>
        <v>1470.85</v>
      </c>
      <c r="DE211" s="7">
        <f>ROUND(44.36,2)</f>
        <v>44.36</v>
      </c>
      <c r="DF211" s="6"/>
      <c r="DG211" s="6"/>
      <c r="DH211" s="6"/>
      <c r="DI211" s="6"/>
      <c r="DJ211" s="6"/>
      <c r="DK211" s="6"/>
      <c r="DL211" s="6"/>
      <c r="DM211" s="6"/>
      <c r="DN211" s="7">
        <f>ROUND(9950.13,2)</f>
        <v>9950.1299999999992</v>
      </c>
      <c r="DO211" s="6"/>
      <c r="DP211" s="7">
        <f>ROUND(2342.93,2)</f>
        <v>2342.9299999999998</v>
      </c>
      <c r="DQ211" s="6"/>
      <c r="DR211" s="6"/>
      <c r="DS211" s="6"/>
      <c r="DT211" s="6"/>
      <c r="DU211" s="6"/>
      <c r="DV211" s="6"/>
      <c r="DW211" s="6"/>
      <c r="DX211" s="6"/>
      <c r="DY211" s="7">
        <f>ROUND(19200.8099999999,2)</f>
        <v>19200.810000000001</v>
      </c>
      <c r="DZ211" s="6"/>
      <c r="EA211" s="7">
        <f>ROUND(2400.41,2)</f>
        <v>2400.41</v>
      </c>
      <c r="EB211" s="6"/>
      <c r="EC211" s="6"/>
      <c r="ED211" s="7">
        <f>ROUND(2236.26,2)</f>
        <v>2236.2600000000002</v>
      </c>
      <c r="EE211" s="7">
        <f>ROUND(7.01,2)</f>
        <v>7.01</v>
      </c>
      <c r="EF211" s="7">
        <f>ROUND(1383.92999999999,2)</f>
        <v>1383.93</v>
      </c>
      <c r="EG211" s="6"/>
      <c r="EH211" s="7">
        <f>ROUND(1373.44,2)</f>
        <v>1373.44</v>
      </c>
      <c r="EI211" s="6"/>
      <c r="EJ211" s="6"/>
      <c r="EK211" s="7">
        <f>ROUND(487.84,2)</f>
        <v>487.84</v>
      </c>
      <c r="EL211" s="6"/>
      <c r="EM211" s="6"/>
      <c r="EN211" s="7">
        <f>ROUND(243.92,2)</f>
        <v>243.92</v>
      </c>
      <c r="EO211" s="7">
        <f>ROUND(32.62,2)</f>
        <v>32.619999999999997</v>
      </c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7">
        <f>ROUND(354.3,2)</f>
        <v>354.3</v>
      </c>
      <c r="FC211" s="6"/>
      <c r="FD211" s="7">
        <f>ROUND(495.439999999999,2)</f>
        <v>495.44</v>
      </c>
      <c r="FE211" s="6"/>
      <c r="FF211" s="6"/>
      <c r="FG211" s="6"/>
      <c r="FH211" s="6"/>
      <c r="FI211" s="6"/>
      <c r="FJ211" s="7">
        <f>ROUND(1125,2)</f>
        <v>1125</v>
      </c>
      <c r="FK211" s="6"/>
      <c r="FL211" s="6"/>
      <c r="FM211" s="6"/>
      <c r="FN211" s="6"/>
      <c r="FO211" s="6"/>
      <c r="FP211" s="6"/>
      <c r="FQ211" s="6"/>
      <c r="FR211" s="6"/>
      <c r="FS211" s="6"/>
      <c r="FT211" s="7">
        <f>ROUND(3000,2)</f>
        <v>3000</v>
      </c>
      <c r="FU211" s="6"/>
      <c r="FV211" s="6"/>
      <c r="FW211" s="6"/>
      <c r="FX211" s="6"/>
      <c r="FY211" s="7">
        <f>ROUND(80727.5799999999,2)</f>
        <v>80727.58</v>
      </c>
    </row>
    <row r="212" spans="1:181" x14ac:dyDescent="0.3">
      <c r="A212" s="4" t="s">
        <v>635</v>
      </c>
      <c r="B212" s="5" t="s">
        <v>1029</v>
      </c>
      <c r="C212" s="5" t="s">
        <v>181</v>
      </c>
      <c r="D212" s="5" t="s">
        <v>303</v>
      </c>
      <c r="E212" s="5" t="s">
        <v>0</v>
      </c>
      <c r="F212" s="5" t="s">
        <v>0</v>
      </c>
      <c r="G212" s="5" t="s">
        <v>183</v>
      </c>
      <c r="H212" s="9">
        <v>33.380000000000003</v>
      </c>
      <c r="I212" s="7">
        <f>ROUND(83177.51,2)</f>
        <v>83177.509999999995</v>
      </c>
      <c r="J212" s="6"/>
      <c r="K212" s="6"/>
      <c r="L212" s="6"/>
      <c r="M212" s="6"/>
      <c r="N212" s="7">
        <f>ROUND(1025.92999999999,2)</f>
        <v>1025.93</v>
      </c>
      <c r="O212" s="6"/>
      <c r="P212" s="6"/>
      <c r="Q212" s="7">
        <f>ROUND(149.47,2)</f>
        <v>149.47</v>
      </c>
      <c r="R212" s="6"/>
      <c r="S212" s="6"/>
      <c r="T212" s="6"/>
      <c r="U212" s="6"/>
      <c r="V212" s="7">
        <f>ROUND(8.58,2)</f>
        <v>8.58</v>
      </c>
      <c r="W212" s="6"/>
      <c r="X212" s="7">
        <f>ROUND(0.92,2)</f>
        <v>0.92</v>
      </c>
      <c r="Y212" s="7">
        <f>ROUND(1.37,2)</f>
        <v>1.37</v>
      </c>
      <c r="Z212" s="6"/>
      <c r="AA212" s="6"/>
      <c r="AB212" s="6"/>
      <c r="AC212" s="6"/>
      <c r="AD212" s="6"/>
      <c r="AE212" s="7">
        <f>ROUND(318.46,2)</f>
        <v>318.45999999999998</v>
      </c>
      <c r="AF212" s="6"/>
      <c r="AG212" s="7">
        <f>ROUND(53.07,2)</f>
        <v>53.07</v>
      </c>
      <c r="AH212" s="6"/>
      <c r="AI212" s="6"/>
      <c r="AJ212" s="6"/>
      <c r="AK212" s="6"/>
      <c r="AL212" s="6"/>
      <c r="AM212" s="6"/>
      <c r="AN212" s="6"/>
      <c r="AO212" s="6"/>
      <c r="AP212" s="7">
        <f>ROUND(574.03,2)</f>
        <v>574.03</v>
      </c>
      <c r="AQ212" s="6"/>
      <c r="AR212" s="7">
        <f>ROUND(58.14,2)</f>
        <v>58.14</v>
      </c>
      <c r="AS212" s="6"/>
      <c r="AT212" s="6"/>
      <c r="AU212" s="7">
        <f>ROUND(76,2)</f>
        <v>76</v>
      </c>
      <c r="AV212" s="6"/>
      <c r="AW212" s="7">
        <f>ROUND(44,2)</f>
        <v>44</v>
      </c>
      <c r="AX212" s="6"/>
      <c r="AY212" s="6"/>
      <c r="AZ212" s="6"/>
      <c r="BA212" s="6"/>
      <c r="BB212" s="6"/>
      <c r="BC212" s="6"/>
      <c r="BD212" s="7">
        <f>ROUND(8,2)</f>
        <v>8</v>
      </c>
      <c r="BE212" s="7">
        <f>ROUND(2,2)</f>
        <v>2</v>
      </c>
      <c r="BF212" s="6"/>
      <c r="BG212" s="7">
        <f>ROUND(30,2)</f>
        <v>30</v>
      </c>
      <c r="BH212" s="6"/>
      <c r="BI212" s="6"/>
      <c r="BJ212" s="6"/>
      <c r="BK212" s="6"/>
      <c r="BL212" s="6"/>
      <c r="BM212" s="6"/>
      <c r="BN212" s="6"/>
      <c r="BO212" s="7">
        <f>ROUND(30.67,2)</f>
        <v>30.67</v>
      </c>
      <c r="BP212" s="6"/>
      <c r="BQ212" s="7">
        <f>ROUND(13.1299999999999,2)</f>
        <v>13.13</v>
      </c>
      <c r="BR212" s="7">
        <f>ROUND(2.87,2)</f>
        <v>2.87</v>
      </c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7">
        <f>ROUND(40,2)</f>
        <v>40</v>
      </c>
      <c r="CQ212" s="7">
        <f>ROUND(2436.63999999999,2)</f>
        <v>2436.64</v>
      </c>
      <c r="CR212" s="6"/>
      <c r="CS212" s="6"/>
      <c r="CT212" s="6"/>
      <c r="CU212" s="6"/>
      <c r="CV212" s="7">
        <f>ROUND(31533.21,2)</f>
        <v>31533.21</v>
      </c>
      <c r="CW212" s="6"/>
      <c r="CX212" s="6"/>
      <c r="CY212" s="7">
        <f>ROUND(6887.37999999999,2)</f>
        <v>6887.38</v>
      </c>
      <c r="CZ212" s="6"/>
      <c r="DA212" s="6"/>
      <c r="DB212" s="6"/>
      <c r="DC212" s="6"/>
      <c r="DD212" s="7">
        <f>ROUND(261.6,2)</f>
        <v>261.60000000000002</v>
      </c>
      <c r="DE212" s="6"/>
      <c r="DF212" s="7">
        <f>ROUND(26.57,2)</f>
        <v>26.57</v>
      </c>
      <c r="DG212" s="7">
        <f>ROUND(61.2399999999999,2)</f>
        <v>61.24</v>
      </c>
      <c r="DH212" s="6"/>
      <c r="DI212" s="6"/>
      <c r="DJ212" s="6"/>
      <c r="DK212" s="6"/>
      <c r="DL212" s="6"/>
      <c r="DM212" s="6"/>
      <c r="DN212" s="7">
        <f>ROUND(9782.88999999999,2)</f>
        <v>9782.89</v>
      </c>
      <c r="DO212" s="6"/>
      <c r="DP212" s="7">
        <f>ROUND(2455.12,2)</f>
        <v>2455.12</v>
      </c>
      <c r="DQ212" s="6"/>
      <c r="DR212" s="6"/>
      <c r="DS212" s="6"/>
      <c r="DT212" s="6"/>
      <c r="DU212" s="6"/>
      <c r="DV212" s="6"/>
      <c r="DW212" s="6"/>
      <c r="DX212" s="6"/>
      <c r="DY212" s="7">
        <f>ROUND(17482.1,2)</f>
        <v>17482.099999999999</v>
      </c>
      <c r="DZ212" s="6"/>
      <c r="EA212" s="7">
        <f>ROUND(2654.54,2)</f>
        <v>2654.54</v>
      </c>
      <c r="EB212" s="6"/>
      <c r="EC212" s="6"/>
      <c r="ED212" s="7">
        <f>ROUND(2325.7,2)</f>
        <v>2325.6999999999998</v>
      </c>
      <c r="EE212" s="6"/>
      <c r="EF212" s="7">
        <f>ROUND(1372.13999999999,2)</f>
        <v>1372.14</v>
      </c>
      <c r="EG212" s="6"/>
      <c r="EH212" s="6"/>
      <c r="EI212" s="6"/>
      <c r="EJ212" s="6"/>
      <c r="EK212" s="6"/>
      <c r="EL212" s="6"/>
      <c r="EM212" s="6"/>
      <c r="EN212" s="7">
        <f>ROUND(243.92,2)</f>
        <v>243.92</v>
      </c>
      <c r="EO212" s="7">
        <f>ROUND(62.8,2)</f>
        <v>62.8</v>
      </c>
      <c r="EP212" s="6"/>
      <c r="EQ212" s="7">
        <f>ROUND(914.699999999999,2)</f>
        <v>914.7</v>
      </c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7">
        <f>ROUND(965.099999999999,2)</f>
        <v>965.1</v>
      </c>
      <c r="FC212" s="6"/>
      <c r="FD212" s="7">
        <f>ROUND(428.12,2)</f>
        <v>428.12</v>
      </c>
      <c r="FE212" s="7">
        <f>ROUND(135.18,2)</f>
        <v>135.18</v>
      </c>
      <c r="FF212" s="6"/>
      <c r="FG212" s="6"/>
      <c r="FH212" s="6"/>
      <c r="FI212" s="6"/>
      <c r="FJ212" s="7">
        <f>ROUND(1250,2)</f>
        <v>1250</v>
      </c>
      <c r="FK212" s="6"/>
      <c r="FL212" s="6"/>
      <c r="FM212" s="6"/>
      <c r="FN212" s="6"/>
      <c r="FO212" s="6"/>
      <c r="FP212" s="6"/>
      <c r="FQ212" s="6"/>
      <c r="FR212" s="6"/>
      <c r="FS212" s="6"/>
      <c r="FT212" s="7">
        <f>ROUND(3000,2)</f>
        <v>3000</v>
      </c>
      <c r="FU212" s="6"/>
      <c r="FV212" s="6"/>
      <c r="FW212" s="6"/>
      <c r="FX212" s="7">
        <f>ROUND(1335.2,2)</f>
        <v>1335.2</v>
      </c>
      <c r="FY212" s="7">
        <f>ROUND(83177.51,2)</f>
        <v>83177.509999999995</v>
      </c>
    </row>
    <row r="213" spans="1:181" ht="26.4" x14ac:dyDescent="0.3">
      <c r="A213" s="4" t="s">
        <v>636</v>
      </c>
      <c r="B213" s="5" t="s">
        <v>1029</v>
      </c>
      <c r="C213" s="5" t="s">
        <v>201</v>
      </c>
      <c r="D213" s="5" t="s">
        <v>202</v>
      </c>
      <c r="E213" s="5" t="s">
        <v>637</v>
      </c>
      <c r="F213" s="5" t="s">
        <v>0</v>
      </c>
      <c r="G213" s="5" t="s">
        <v>203</v>
      </c>
      <c r="H213" s="8">
        <f>ROUND(18,2)</f>
        <v>18</v>
      </c>
      <c r="I213" s="7">
        <f>ROUND(9245.25,2)</f>
        <v>9245.25</v>
      </c>
      <c r="J213" s="7">
        <f>ROUND(481.5,2)</f>
        <v>481.5</v>
      </c>
      <c r="K213" s="7">
        <f>ROUND(9.75,2)</f>
        <v>9.75</v>
      </c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7">
        <f>ROUND(5,2)</f>
        <v>5</v>
      </c>
      <c r="CI213" s="6"/>
      <c r="CJ213" s="6"/>
      <c r="CK213" s="6"/>
      <c r="CL213" s="6"/>
      <c r="CM213" s="6"/>
      <c r="CN213" s="6"/>
      <c r="CO213" s="6"/>
      <c r="CP213" s="6"/>
      <c r="CQ213" s="7">
        <f>ROUND(496.25,2)</f>
        <v>496.25</v>
      </c>
      <c r="CR213" s="7">
        <f>ROUND(8667,2)</f>
        <v>8667</v>
      </c>
      <c r="CS213" s="7">
        <f>ROUND(263.25,2)</f>
        <v>263.25</v>
      </c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7">
        <f>ROUND(225,2)</f>
        <v>225</v>
      </c>
      <c r="FK213" s="6"/>
      <c r="FL213" s="6"/>
      <c r="FM213" s="6"/>
      <c r="FN213" s="7">
        <f>ROUND(90,2)</f>
        <v>90</v>
      </c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7">
        <f>ROUND(9245.25,2)</f>
        <v>9245.25</v>
      </c>
    </row>
    <row r="214" spans="1:181" x14ac:dyDescent="0.3">
      <c r="A214" s="4" t="s">
        <v>638</v>
      </c>
      <c r="B214" s="5" t="s">
        <v>1029</v>
      </c>
      <c r="C214" s="5" t="s">
        <v>181</v>
      </c>
      <c r="D214" s="5" t="s">
        <v>639</v>
      </c>
      <c r="E214" s="5" t="s">
        <v>0</v>
      </c>
      <c r="F214" s="5" t="s">
        <v>0</v>
      </c>
      <c r="G214" s="5" t="s">
        <v>183</v>
      </c>
      <c r="H214" s="8">
        <v>33.380000000000003</v>
      </c>
      <c r="I214" s="7">
        <f>ROUND(111214.84,2)</f>
        <v>111214.84</v>
      </c>
      <c r="J214" s="6"/>
      <c r="K214" s="6"/>
      <c r="L214" s="6"/>
      <c r="M214" s="6"/>
      <c r="N214" s="7">
        <f>ROUND(1820.79,2)</f>
        <v>1820.79</v>
      </c>
      <c r="O214" s="6"/>
      <c r="P214" s="6"/>
      <c r="Q214" s="7">
        <f>ROUND(632.439999999999,2)</f>
        <v>632.44000000000005</v>
      </c>
      <c r="R214" s="6"/>
      <c r="S214" s="6"/>
      <c r="T214" s="6"/>
      <c r="U214" s="7">
        <f>ROUND(0.22,2)</f>
        <v>0.22</v>
      </c>
      <c r="V214" s="7">
        <f>ROUND(16.13,2)</f>
        <v>16.13</v>
      </c>
      <c r="W214" s="7">
        <f>ROUND(5.98,2)</f>
        <v>5.98</v>
      </c>
      <c r="X214" s="7">
        <f>ROUND(8.63999999999999,2)</f>
        <v>8.64</v>
      </c>
      <c r="Y214" s="7">
        <f>ROUND(5.2,2)</f>
        <v>5.2</v>
      </c>
      <c r="Z214" s="6"/>
      <c r="AA214" s="6"/>
      <c r="AB214" s="6"/>
      <c r="AC214" s="6"/>
      <c r="AD214" s="6"/>
      <c r="AE214" s="7">
        <f>ROUND(23.68,2)</f>
        <v>23.68</v>
      </c>
      <c r="AF214" s="6"/>
      <c r="AG214" s="7">
        <f>ROUND(15.5,2)</f>
        <v>15.5</v>
      </c>
      <c r="AH214" s="6"/>
      <c r="AI214" s="6"/>
      <c r="AJ214" s="6"/>
      <c r="AK214" s="6"/>
      <c r="AL214" s="6"/>
      <c r="AM214" s="6"/>
      <c r="AN214" s="6"/>
      <c r="AO214" s="6"/>
      <c r="AP214" s="7">
        <f>ROUND(55.86,2)</f>
        <v>55.86</v>
      </c>
      <c r="AQ214" s="6"/>
      <c r="AR214" s="7">
        <f>ROUND(82.74,2)</f>
        <v>82.74</v>
      </c>
      <c r="AS214" s="6"/>
      <c r="AT214" s="6"/>
      <c r="AU214" s="7">
        <f>ROUND(68,2)</f>
        <v>68</v>
      </c>
      <c r="AV214" s="6"/>
      <c r="AW214" s="7">
        <f>ROUND(24,2)</f>
        <v>24</v>
      </c>
      <c r="AX214" s="7">
        <f>ROUND(8,2)</f>
        <v>8</v>
      </c>
      <c r="AY214" s="7">
        <f>ROUND(40.33,2)</f>
        <v>40.33</v>
      </c>
      <c r="AZ214" s="7">
        <f>ROUND(15.67,2)</f>
        <v>15.67</v>
      </c>
      <c r="BA214" s="6"/>
      <c r="BB214" s="7">
        <f>ROUND(24,2)</f>
        <v>24</v>
      </c>
      <c r="BC214" s="6"/>
      <c r="BD214" s="7">
        <f>ROUND(8,2)</f>
        <v>8</v>
      </c>
      <c r="BE214" s="7">
        <f>ROUND(1.67,2)</f>
        <v>1.67</v>
      </c>
      <c r="BF214" s="6"/>
      <c r="BG214" s="6"/>
      <c r="BH214" s="6"/>
      <c r="BI214" s="6"/>
      <c r="BJ214" s="6"/>
      <c r="BK214" s="6"/>
      <c r="BL214" s="6"/>
      <c r="BM214" s="6"/>
      <c r="BN214" s="6"/>
      <c r="BO214" s="7">
        <f>ROUND(26.67,2)</f>
        <v>26.67</v>
      </c>
      <c r="BP214" s="7">
        <f>ROUND(11.58,2)</f>
        <v>11.58</v>
      </c>
      <c r="BQ214" s="7">
        <f>ROUND(10.84,2)</f>
        <v>10.84</v>
      </c>
      <c r="BR214" s="6"/>
      <c r="BS214" s="6"/>
      <c r="BT214" s="7">
        <f>ROUND(16.17,2)</f>
        <v>16.170000000000002</v>
      </c>
      <c r="BU214" s="6"/>
      <c r="BV214" s="6"/>
      <c r="BW214" s="6"/>
      <c r="BX214" s="6"/>
      <c r="BY214" s="7">
        <f>ROUND(16,2)</f>
        <v>16</v>
      </c>
      <c r="BZ214" s="6"/>
      <c r="CA214" s="7">
        <f>ROUND(16,2)</f>
        <v>16</v>
      </c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7">
        <f>ROUND(2954.11,2)</f>
        <v>2954.11</v>
      </c>
      <c r="CR214" s="6"/>
      <c r="CS214" s="6"/>
      <c r="CT214" s="6"/>
      <c r="CU214" s="6"/>
      <c r="CV214" s="7">
        <f>ROUND(59484.2599999999,2)</f>
        <v>59484.26</v>
      </c>
      <c r="CW214" s="6"/>
      <c r="CX214" s="6"/>
      <c r="CY214" s="7">
        <f>ROUND(30970.46,2)</f>
        <v>30970.46</v>
      </c>
      <c r="CZ214" s="6"/>
      <c r="DA214" s="6"/>
      <c r="DB214" s="6"/>
      <c r="DC214" s="7">
        <f>ROUND(14.12,2)</f>
        <v>14.12</v>
      </c>
      <c r="DD214" s="7">
        <f>ROUND(525.54,2)</f>
        <v>525.54</v>
      </c>
      <c r="DE214" s="7">
        <f>ROUND(289.19,2)</f>
        <v>289.19</v>
      </c>
      <c r="DF214" s="7">
        <f>ROUND(281.03,2)</f>
        <v>281.02999999999997</v>
      </c>
      <c r="DG214" s="7">
        <f>ROUND(251.29,2)</f>
        <v>251.29</v>
      </c>
      <c r="DH214" s="6"/>
      <c r="DI214" s="6"/>
      <c r="DJ214" s="6"/>
      <c r="DK214" s="6"/>
      <c r="DL214" s="6"/>
      <c r="DM214" s="6"/>
      <c r="DN214" s="7">
        <f>ROUND(759.89,2)</f>
        <v>759.89</v>
      </c>
      <c r="DO214" s="6"/>
      <c r="DP214" s="7">
        <f>ROUND(754.49,2)</f>
        <v>754.49</v>
      </c>
      <c r="DQ214" s="6"/>
      <c r="DR214" s="6"/>
      <c r="DS214" s="6"/>
      <c r="DT214" s="6"/>
      <c r="DU214" s="6"/>
      <c r="DV214" s="6"/>
      <c r="DW214" s="6"/>
      <c r="DX214" s="6"/>
      <c r="DY214" s="7">
        <f>ROUND(1810.36,2)</f>
        <v>1810.36</v>
      </c>
      <c r="DZ214" s="6"/>
      <c r="EA214" s="7">
        <f>ROUND(4025.94,2)</f>
        <v>4025.94</v>
      </c>
      <c r="EB214" s="6"/>
      <c r="EC214" s="6"/>
      <c r="ED214" s="7">
        <f>ROUND(2215.48,2)</f>
        <v>2215.48</v>
      </c>
      <c r="EE214" s="6"/>
      <c r="EF214" s="7">
        <f>ROUND(770.16,2)</f>
        <v>770.16</v>
      </c>
      <c r="EG214" s="7">
        <f>ROUND(385.08,2)</f>
        <v>385.08</v>
      </c>
      <c r="EH214" s="7">
        <f>ROUND(1317.23,2)</f>
        <v>1317.23</v>
      </c>
      <c r="EI214" s="7">
        <f>ROUND(754.28,2)</f>
        <v>754.28</v>
      </c>
      <c r="EJ214" s="6"/>
      <c r="EK214" s="7">
        <f>ROUND(777.84,2)</f>
        <v>777.84</v>
      </c>
      <c r="EL214" s="6"/>
      <c r="EM214" s="6"/>
      <c r="EN214" s="7">
        <f>ROUND(256.72,2)</f>
        <v>256.72000000000003</v>
      </c>
      <c r="EO214" s="7">
        <f>ROUND(80.39,2)</f>
        <v>80.39</v>
      </c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7">
        <f>ROUND(874.62,2)</f>
        <v>874.62</v>
      </c>
      <c r="FC214" s="7">
        <f>ROUND(557.4,2)</f>
        <v>557.4</v>
      </c>
      <c r="FD214" s="7">
        <f>ROUND(359.07,2)</f>
        <v>359.07</v>
      </c>
      <c r="FE214" s="6"/>
      <c r="FF214" s="6"/>
      <c r="FG214" s="6"/>
      <c r="FH214" s="6"/>
      <c r="FI214" s="6"/>
      <c r="FJ214" s="7">
        <f>ROUND(700,2)</f>
        <v>700</v>
      </c>
      <c r="FK214" s="6"/>
      <c r="FL214" s="6"/>
      <c r="FM214" s="6"/>
      <c r="FN214" s="6"/>
      <c r="FO214" s="6"/>
      <c r="FP214" s="6"/>
      <c r="FQ214" s="6"/>
      <c r="FR214" s="6"/>
      <c r="FS214" s="6"/>
      <c r="FT214" s="7">
        <f>ROUND(3000,2)</f>
        <v>3000</v>
      </c>
      <c r="FU214" s="6"/>
      <c r="FV214" s="6"/>
      <c r="FW214" s="6"/>
      <c r="FX214" s="6"/>
      <c r="FY214" s="7">
        <f>ROUND(111214.84,2)</f>
        <v>111214.84</v>
      </c>
    </row>
    <row r="215" spans="1:181" x14ac:dyDescent="0.3">
      <c r="A215" s="4" t="s">
        <v>640</v>
      </c>
      <c r="B215" s="5"/>
      <c r="C215" s="5" t="s">
        <v>294</v>
      </c>
      <c r="D215" s="5" t="s">
        <v>461</v>
      </c>
      <c r="E215" s="5" t="s">
        <v>0</v>
      </c>
      <c r="F215" s="5" t="s">
        <v>0</v>
      </c>
      <c r="G215" s="5" t="s">
        <v>641</v>
      </c>
      <c r="H215" s="8">
        <f>ROUND(1335.25,2)</f>
        <v>1335.25</v>
      </c>
      <c r="I215" s="7">
        <f>ROUND(76972.85,2)</f>
        <v>76972.850000000006</v>
      </c>
      <c r="J215" s="7">
        <f>ROUND(1704,2)</f>
        <v>1704</v>
      </c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7">
        <f>ROUND(8,2)</f>
        <v>8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7">
        <f>ROUND(24,2)</f>
        <v>24</v>
      </c>
      <c r="BX215" s="6"/>
      <c r="BY215" s="6"/>
      <c r="BZ215" s="6"/>
      <c r="CA215" s="6"/>
      <c r="CB215" s="6"/>
      <c r="CC215" s="6"/>
      <c r="CD215" s="6"/>
      <c r="CE215" s="6"/>
      <c r="CF215" s="6"/>
      <c r="CG215" s="7">
        <f>ROUND(8,2)</f>
        <v>8</v>
      </c>
      <c r="CH215" s="7">
        <f>ROUND(40,2)</f>
        <v>40</v>
      </c>
      <c r="CI215" s="7">
        <f>ROUND(32,2)</f>
        <v>32</v>
      </c>
      <c r="CJ215" s="6"/>
      <c r="CK215" s="6"/>
      <c r="CL215" s="6"/>
      <c r="CM215" s="6"/>
      <c r="CN215" s="7">
        <f>ROUND(120,2)</f>
        <v>120</v>
      </c>
      <c r="CO215" s="6"/>
      <c r="CP215" s="6"/>
      <c r="CQ215" s="7">
        <f>ROUND(1936,2)</f>
        <v>1936</v>
      </c>
      <c r="CR215" s="7">
        <f>ROUND(68898.9,2)</f>
        <v>68898.899999999994</v>
      </c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7">
        <f>ROUND(3000,2)</f>
        <v>3000</v>
      </c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7">
        <f>ROUND(267.05,2)</f>
        <v>267.05</v>
      </c>
      <c r="FH215" s="6"/>
      <c r="FI215" s="6"/>
      <c r="FJ215" s="7">
        <f>ROUND(3204.6,2)</f>
        <v>3204.6</v>
      </c>
      <c r="FK215" s="6"/>
      <c r="FL215" s="6"/>
      <c r="FM215" s="7">
        <f>ROUND(267.05,2)</f>
        <v>267.05</v>
      </c>
      <c r="FN215" s="7">
        <f>ROUND(534.1,2)</f>
        <v>534.1</v>
      </c>
      <c r="FO215" s="6"/>
      <c r="FP215" s="6"/>
      <c r="FQ215" s="6"/>
      <c r="FR215" s="6"/>
      <c r="FS215" s="6"/>
      <c r="FT215" s="6"/>
      <c r="FU215" s="6"/>
      <c r="FV215" s="7">
        <f>ROUND(801.15,2)</f>
        <v>801.15</v>
      </c>
      <c r="FW215" s="6"/>
      <c r="FX215" s="6"/>
      <c r="FY215" s="7">
        <f>ROUND(76972.85,2)</f>
        <v>76972.850000000006</v>
      </c>
    </row>
    <row r="216" spans="1:181" x14ac:dyDescent="0.3">
      <c r="A216" s="4" t="s">
        <v>642</v>
      </c>
      <c r="B216" s="5" t="s">
        <v>1029</v>
      </c>
      <c r="C216" s="5" t="s">
        <v>181</v>
      </c>
      <c r="D216" s="5" t="s">
        <v>643</v>
      </c>
      <c r="E216" s="5" t="s">
        <v>0</v>
      </c>
      <c r="F216" s="5" t="s">
        <v>0</v>
      </c>
      <c r="G216" s="5" t="s">
        <v>183</v>
      </c>
      <c r="H216" s="8">
        <f>ROUND(0,2)</f>
        <v>0</v>
      </c>
      <c r="I216" s="7">
        <f>ROUND(108295.059999999,2)</f>
        <v>108295.06</v>
      </c>
      <c r="J216" s="6"/>
      <c r="K216" s="6"/>
      <c r="L216" s="6"/>
      <c r="M216" s="6"/>
      <c r="N216" s="7">
        <f>ROUND(59.25,2)</f>
        <v>59.25</v>
      </c>
      <c r="O216" s="6"/>
      <c r="P216" s="6"/>
      <c r="Q216" s="7">
        <f>ROUND(55.8,2)</f>
        <v>55.8</v>
      </c>
      <c r="R216" s="6"/>
      <c r="S216" s="6"/>
      <c r="T216" s="6"/>
      <c r="U216" s="6"/>
      <c r="V216" s="6"/>
      <c r="W216" s="7">
        <f>ROUND(35.42,2)</f>
        <v>35.42</v>
      </c>
      <c r="X216" s="6"/>
      <c r="Y216" s="6"/>
      <c r="Z216" s="6"/>
      <c r="AA216" s="6"/>
      <c r="AB216" s="6"/>
      <c r="AC216" s="6"/>
      <c r="AD216" s="6"/>
      <c r="AE216" s="7">
        <f>ROUND(1859.75,2)</f>
        <v>1859.75</v>
      </c>
      <c r="AF216" s="6"/>
      <c r="AG216" s="7">
        <f>ROUND(421.78,2)</f>
        <v>421.78</v>
      </c>
      <c r="AH216" s="6"/>
      <c r="AI216" s="6"/>
      <c r="AJ216" s="6"/>
      <c r="AK216" s="6"/>
      <c r="AL216" s="6"/>
      <c r="AM216" s="6"/>
      <c r="AN216" s="6"/>
      <c r="AO216" s="6"/>
      <c r="AP216" s="7">
        <f>ROUND(7.5,2)</f>
        <v>7.5</v>
      </c>
      <c r="AQ216" s="6"/>
      <c r="AR216" s="7">
        <f>ROUND(70.83,2)</f>
        <v>70.83</v>
      </c>
      <c r="AS216" s="6"/>
      <c r="AT216" s="6"/>
      <c r="AU216" s="7">
        <f>ROUND(54,2)</f>
        <v>54</v>
      </c>
      <c r="AV216" s="7">
        <f>ROUND(8,2)</f>
        <v>8</v>
      </c>
      <c r="AW216" s="7">
        <f>ROUND(32,2)</f>
        <v>32</v>
      </c>
      <c r="AX216" s="6"/>
      <c r="AY216" s="7">
        <f>ROUND(10,2)</f>
        <v>10</v>
      </c>
      <c r="AZ216" s="7">
        <f>ROUND(8,2)</f>
        <v>8</v>
      </c>
      <c r="BA216" s="6"/>
      <c r="BB216" s="7">
        <f>ROUND(42,2)</f>
        <v>42</v>
      </c>
      <c r="BC216" s="6"/>
      <c r="BD216" s="7">
        <f>ROUND(17,2)</f>
        <v>17</v>
      </c>
      <c r="BE216" s="7">
        <f>ROUND(3,2)</f>
        <v>3</v>
      </c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7">
        <f>ROUND(9,2)</f>
        <v>9</v>
      </c>
      <c r="BS216" s="7">
        <f>ROUND(24,2)</f>
        <v>24</v>
      </c>
      <c r="BT216" s="6"/>
      <c r="BU216" s="7">
        <f>ROUND(50,2)</f>
        <v>50</v>
      </c>
      <c r="BV216" s="7">
        <f>ROUND(3.5,2)</f>
        <v>3.5</v>
      </c>
      <c r="BW216" s="7">
        <f>ROUND(10,2)</f>
        <v>10</v>
      </c>
      <c r="BX216" s="7">
        <f>ROUND(24,2)</f>
        <v>24</v>
      </c>
      <c r="BY216" s="6"/>
      <c r="BZ216" s="6"/>
      <c r="CA216" s="7">
        <f>ROUND(44.83,2)</f>
        <v>44.83</v>
      </c>
      <c r="CB216" s="6"/>
      <c r="CC216" s="7">
        <f>ROUND(24,2)</f>
        <v>24</v>
      </c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7">
        <f>ROUND(144,2)</f>
        <v>144</v>
      </c>
      <c r="CQ216" s="7">
        <f>ROUND(3017.65999999999,2)</f>
        <v>3017.66</v>
      </c>
      <c r="CR216" s="6"/>
      <c r="CS216" s="6"/>
      <c r="CT216" s="6"/>
      <c r="CU216" s="6"/>
      <c r="CV216" s="7">
        <f>ROUND(1918.37999999999,2)</f>
        <v>1918.38</v>
      </c>
      <c r="CW216" s="6"/>
      <c r="CX216" s="6"/>
      <c r="CY216" s="7">
        <f>ROUND(2719.07,2)</f>
        <v>2719.07</v>
      </c>
      <c r="CZ216" s="6"/>
      <c r="DA216" s="6"/>
      <c r="DB216" s="6"/>
      <c r="DC216" s="6"/>
      <c r="DD216" s="6"/>
      <c r="DE216" s="7">
        <f>ROUND(1743.39999999999,2)</f>
        <v>1743.4</v>
      </c>
      <c r="DF216" s="6"/>
      <c r="DG216" s="6"/>
      <c r="DH216" s="6"/>
      <c r="DI216" s="6"/>
      <c r="DJ216" s="6"/>
      <c r="DK216" s="6"/>
      <c r="DL216" s="6"/>
      <c r="DM216" s="6"/>
      <c r="DN216" s="7">
        <f>ROUND(60993.4199999999,2)</f>
        <v>60993.42</v>
      </c>
      <c r="DO216" s="6"/>
      <c r="DP216" s="7">
        <f>ROUND(20796.7,2)</f>
        <v>20796.7</v>
      </c>
      <c r="DQ216" s="6"/>
      <c r="DR216" s="6"/>
      <c r="DS216" s="6"/>
      <c r="DT216" s="6"/>
      <c r="DU216" s="6"/>
      <c r="DV216" s="6"/>
      <c r="DW216" s="6"/>
      <c r="DX216" s="6"/>
      <c r="DY216" s="7">
        <f>ROUND(240.68,2)</f>
        <v>240.68</v>
      </c>
      <c r="DZ216" s="6"/>
      <c r="EA216" s="7">
        <f>ROUND(3476.10999999999,2)</f>
        <v>3476.11</v>
      </c>
      <c r="EB216" s="6"/>
      <c r="EC216" s="6"/>
      <c r="ED216" s="7">
        <f>ROUND(1763.82,2)</f>
        <v>1763.82</v>
      </c>
      <c r="EE216" s="7">
        <f>ROUND(396.64,2)</f>
        <v>396.64</v>
      </c>
      <c r="EF216" s="7">
        <f>ROUND(1065.76,2)</f>
        <v>1065.76</v>
      </c>
      <c r="EG216" s="6"/>
      <c r="EH216" s="7">
        <f>ROUND(320.9,2)</f>
        <v>320.89999999999998</v>
      </c>
      <c r="EI216" s="7">
        <f>ROUND(385.08,2)</f>
        <v>385.08</v>
      </c>
      <c r="EJ216" s="6"/>
      <c r="EK216" s="7">
        <f>ROUND(1347.78,2)</f>
        <v>1347.78</v>
      </c>
      <c r="EL216" s="6"/>
      <c r="EM216" s="6"/>
      <c r="EN216" s="7">
        <f>ROUND(554.17,2)</f>
        <v>554.16999999999996</v>
      </c>
      <c r="EO216" s="7">
        <f>ROUND(99.15,2)</f>
        <v>99.15</v>
      </c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7">
        <f>ROUND(446.18,2)</f>
        <v>446.18</v>
      </c>
      <c r="FF216" s="7">
        <f>ROUND(1651.06,2)</f>
        <v>1651.06</v>
      </c>
      <c r="FG216" s="6"/>
      <c r="FH216" s="6"/>
      <c r="FI216" s="6"/>
      <c r="FJ216" s="7">
        <f>ROUND(475,2)</f>
        <v>475</v>
      </c>
      <c r="FK216" s="6"/>
      <c r="FL216" s="6"/>
      <c r="FM216" s="6"/>
      <c r="FN216" s="6"/>
      <c r="FO216" s="6"/>
      <c r="FP216" s="6"/>
      <c r="FQ216" s="6"/>
      <c r="FR216" s="6"/>
      <c r="FS216" s="6"/>
      <c r="FT216" s="7">
        <f>ROUND(3000,2)</f>
        <v>3000</v>
      </c>
      <c r="FU216" s="6"/>
      <c r="FV216" s="6"/>
      <c r="FW216" s="6"/>
      <c r="FX216" s="7">
        <f>ROUND(4901.76,2)</f>
        <v>4901.76</v>
      </c>
      <c r="FY216" s="7">
        <f>ROUND(108295.059999999,2)</f>
        <v>108295.06</v>
      </c>
    </row>
    <row r="217" spans="1:181" ht="26.4" x14ac:dyDescent="0.3">
      <c r="A217" s="4" t="s">
        <v>644</v>
      </c>
      <c r="B217" s="5"/>
      <c r="C217" s="5" t="s">
        <v>294</v>
      </c>
      <c r="D217" s="5" t="s">
        <v>645</v>
      </c>
      <c r="E217" s="5" t="s">
        <v>0</v>
      </c>
      <c r="F217" s="5" t="s">
        <v>0</v>
      </c>
      <c r="G217" s="5" t="s">
        <v>646</v>
      </c>
      <c r="H217" s="8">
        <f>ROUND(1327.11,2)</f>
        <v>1327.11</v>
      </c>
      <c r="I217" s="7">
        <f>ROUND(75771.89,2)</f>
        <v>75771.89</v>
      </c>
      <c r="J217" s="7">
        <f>ROUND(1696,2)</f>
        <v>1696</v>
      </c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7">
        <f>ROUND(-8,2)</f>
        <v>-8</v>
      </c>
      <c r="AC217" s="7">
        <f>ROUND(1,2)</f>
        <v>1</v>
      </c>
      <c r="AD217" s="7">
        <f>ROUND(5,2)</f>
        <v>5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7">
        <f>ROUND(8,2)</f>
        <v>8</v>
      </c>
      <c r="BX217" s="6"/>
      <c r="BY217" s="6"/>
      <c r="BZ217" s="6"/>
      <c r="CA217" s="6"/>
      <c r="CB217" s="6"/>
      <c r="CC217" s="6"/>
      <c r="CD217" s="6"/>
      <c r="CE217" s="6"/>
      <c r="CF217" s="6"/>
      <c r="CG217" s="7">
        <f>ROUND(8,2)</f>
        <v>8</v>
      </c>
      <c r="CH217" s="7">
        <f>ROUND(56,2)</f>
        <v>56</v>
      </c>
      <c r="CI217" s="7">
        <f>ROUND(48,2)</f>
        <v>48</v>
      </c>
      <c r="CJ217" s="6"/>
      <c r="CK217" s="6"/>
      <c r="CL217" s="6"/>
      <c r="CM217" s="6"/>
      <c r="CN217" s="7">
        <f>ROUND(80,2)</f>
        <v>80</v>
      </c>
      <c r="CO217" s="6"/>
      <c r="CP217" s="6"/>
      <c r="CQ217" s="7">
        <f>ROUND(1894,2)</f>
        <v>1894</v>
      </c>
      <c r="CR217" s="7">
        <f>ROUND(68213.47,2)</f>
        <v>68213.47</v>
      </c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7">
        <f>ROUND(-265.42,2)</f>
        <v>-265.42</v>
      </c>
      <c r="DL217" s="7">
        <f>ROUND(375,2)</f>
        <v>375</v>
      </c>
      <c r="DM217" s="7">
        <f>ROUND(1875,2)</f>
        <v>1875</v>
      </c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7">
        <f>ROUND(3185.06,2)</f>
        <v>3185.06</v>
      </c>
      <c r="FK217" s="6"/>
      <c r="FL217" s="6"/>
      <c r="FM217" s="7">
        <f>ROUND(265.42,2)</f>
        <v>265.42</v>
      </c>
      <c r="FN217" s="7">
        <f>ROUND(796.26,2)</f>
        <v>796.26</v>
      </c>
      <c r="FO217" s="6"/>
      <c r="FP217" s="6"/>
      <c r="FQ217" s="6"/>
      <c r="FR217" s="6"/>
      <c r="FS217" s="6"/>
      <c r="FT217" s="6"/>
      <c r="FU217" s="6"/>
      <c r="FV217" s="7">
        <f>ROUND(1327.1,2)</f>
        <v>1327.1</v>
      </c>
      <c r="FW217" s="6"/>
      <c r="FX217" s="6"/>
      <c r="FY217" s="7">
        <f>ROUND(75771.89,2)</f>
        <v>75771.89</v>
      </c>
    </row>
    <row r="218" spans="1:181" x14ac:dyDescent="0.3">
      <c r="A218" s="4" t="s">
        <v>647</v>
      </c>
      <c r="B218" s="5" t="s">
        <v>1029</v>
      </c>
      <c r="C218" s="5" t="s">
        <v>236</v>
      </c>
      <c r="D218" s="5" t="s">
        <v>648</v>
      </c>
      <c r="E218" s="5" t="s">
        <v>0</v>
      </c>
      <c r="F218" s="5" t="s">
        <v>0</v>
      </c>
      <c r="G218" s="5" t="s">
        <v>649</v>
      </c>
      <c r="H218" s="8">
        <v>34.67</v>
      </c>
      <c r="I218" s="7">
        <f>ROUND(87216.7299999999,2)</f>
        <v>87216.73</v>
      </c>
      <c r="J218" s="6"/>
      <c r="K218" s="6"/>
      <c r="L218" s="6"/>
      <c r="M218" s="6"/>
      <c r="N218" s="6"/>
      <c r="O218" s="7">
        <f>ROUND(1736,2)</f>
        <v>1736</v>
      </c>
      <c r="P218" s="7">
        <f>ROUND(220.85,2)</f>
        <v>220.85</v>
      </c>
      <c r="Q218" s="6"/>
      <c r="R218" s="7">
        <f>ROUND(200,2)</f>
        <v>200</v>
      </c>
      <c r="S218" s="7">
        <f>ROUND(32,2)</f>
        <v>32</v>
      </c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7">
        <f>ROUND(56,2)</f>
        <v>56</v>
      </c>
      <c r="AV218" s="6"/>
      <c r="AW218" s="7">
        <f>ROUND(40,2)</f>
        <v>40</v>
      </c>
      <c r="AX218" s="6"/>
      <c r="AY218" s="7">
        <f>ROUND(72,2)</f>
        <v>72</v>
      </c>
      <c r="AZ218" s="6"/>
      <c r="BA218" s="6"/>
      <c r="BB218" s="7">
        <f>ROUND(8,2)</f>
        <v>8</v>
      </c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7">
        <f>ROUND(5.15,2)</f>
        <v>5.15</v>
      </c>
      <c r="BT218" s="7">
        <f>ROUND(1.6,2)</f>
        <v>1.6</v>
      </c>
      <c r="BU218" s="6"/>
      <c r="BV218" s="6"/>
      <c r="BW218" s="6"/>
      <c r="BX218" s="6"/>
      <c r="BY218" s="7">
        <f>ROUND(8,2)</f>
        <v>8</v>
      </c>
      <c r="BZ218" s="6"/>
      <c r="CA218" s="7">
        <f>ROUND(8,2)</f>
        <v>8</v>
      </c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7">
        <f>ROUND(2387.6,2)</f>
        <v>2387.6</v>
      </c>
      <c r="CR218" s="6"/>
      <c r="CS218" s="6"/>
      <c r="CT218" s="6"/>
      <c r="CU218" s="6"/>
      <c r="CV218" s="6"/>
      <c r="CW218" s="7">
        <f>ROUND(59089.4199999999,2)</f>
        <v>59089.42</v>
      </c>
      <c r="CX218" s="7">
        <f>ROUND(11143.35,2)</f>
        <v>11143.35</v>
      </c>
      <c r="CY218" s="6"/>
      <c r="CZ218" s="7">
        <f>ROUND(5630,2)</f>
        <v>5630</v>
      </c>
      <c r="DA218" s="7">
        <f>ROUND(1351.2,2)</f>
        <v>1351.2</v>
      </c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7">
        <f>ROUND(1857.91999999999,2)</f>
        <v>1857.92</v>
      </c>
      <c r="EE218" s="6"/>
      <c r="EF218" s="7">
        <f>ROUND(1246.96,2)</f>
        <v>1246.96</v>
      </c>
      <c r="EG218" s="6"/>
      <c r="EH218" s="7">
        <f>ROUND(2356.56,2)</f>
        <v>2356.56</v>
      </c>
      <c r="EI218" s="6"/>
      <c r="EJ218" s="6"/>
      <c r="EK218" s="7">
        <f>ROUND(266.32,2)</f>
        <v>266.32</v>
      </c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7">
        <f>ROUND(1275,2)</f>
        <v>1275</v>
      </c>
      <c r="FK218" s="6"/>
      <c r="FL218" s="6"/>
      <c r="FM218" s="6"/>
      <c r="FN218" s="6"/>
      <c r="FO218" s="6"/>
      <c r="FP218" s="6"/>
      <c r="FQ218" s="6"/>
      <c r="FR218" s="6"/>
      <c r="FS218" s="6"/>
      <c r="FT218" s="7">
        <f>ROUND(3000,2)</f>
        <v>3000</v>
      </c>
      <c r="FU218" s="6"/>
      <c r="FV218" s="6"/>
      <c r="FW218" s="6"/>
      <c r="FX218" s="6"/>
      <c r="FY218" s="7">
        <f>ROUND(87216.7299999999,2)</f>
        <v>87216.73</v>
      </c>
    </row>
    <row r="219" spans="1:181" ht="26.4" x14ac:dyDescent="0.3">
      <c r="A219" s="4" t="s">
        <v>650</v>
      </c>
      <c r="B219" s="5"/>
      <c r="C219" s="5" t="s">
        <v>394</v>
      </c>
      <c r="D219" s="5" t="s">
        <v>395</v>
      </c>
      <c r="E219" s="5" t="s">
        <v>0</v>
      </c>
      <c r="F219" s="5" t="s">
        <v>0</v>
      </c>
      <c r="G219" s="5" t="s">
        <v>651</v>
      </c>
      <c r="H219" s="8">
        <f>ROUND(28.325,2)</f>
        <v>28.33</v>
      </c>
      <c r="I219" s="7">
        <f>ROUND(62768.68,2)</f>
        <v>62768.68</v>
      </c>
      <c r="J219" s="7">
        <f>ROUND(1790,2)</f>
        <v>1790</v>
      </c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7">
        <f>ROUND(8,2)</f>
        <v>8</v>
      </c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7">
        <f>ROUND(56,2)</f>
        <v>56</v>
      </c>
      <c r="CI219" s="7">
        <f>ROUND(40,2)</f>
        <v>40</v>
      </c>
      <c r="CJ219" s="6"/>
      <c r="CK219" s="6"/>
      <c r="CL219" s="7">
        <f>ROUND(82,2)</f>
        <v>82</v>
      </c>
      <c r="CM219" s="6"/>
      <c r="CN219" s="7">
        <f>ROUND(144,2)</f>
        <v>144</v>
      </c>
      <c r="CO219" s="6"/>
      <c r="CP219" s="6"/>
      <c r="CQ219" s="7">
        <f>ROUND(2120,2)</f>
        <v>2120</v>
      </c>
      <c r="CR219" s="7">
        <f>ROUND(50701.75,2)</f>
        <v>50701.75</v>
      </c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7">
        <f>ROUND(226.6,2)</f>
        <v>226.6</v>
      </c>
      <c r="FH219" s="6"/>
      <c r="FI219" s="6"/>
      <c r="FJ219" s="7">
        <f>ROUND(2719.68,2)</f>
        <v>2719.68</v>
      </c>
      <c r="FK219" s="6"/>
      <c r="FL219" s="6"/>
      <c r="FM219" s="6"/>
      <c r="FN219" s="7">
        <f>ROUND(1586.19999999999,2)</f>
        <v>1586.2</v>
      </c>
      <c r="FO219" s="7">
        <f>ROUND(1133,2)</f>
        <v>1133</v>
      </c>
      <c r="FP219" s="6"/>
      <c r="FQ219" s="6"/>
      <c r="FR219" s="6"/>
      <c r="FS219" s="7">
        <f>ROUND(2322.64999999999,2)</f>
        <v>2322.65</v>
      </c>
      <c r="FT219" s="6"/>
      <c r="FU219" s="6"/>
      <c r="FV219" s="7">
        <f>ROUND(4078.79999999999,2)</f>
        <v>4078.8</v>
      </c>
      <c r="FW219" s="6"/>
      <c r="FX219" s="6"/>
      <c r="FY219" s="7">
        <f>ROUND(62768.68,2)</f>
        <v>62768.68</v>
      </c>
    </row>
    <row r="220" spans="1:181" x14ac:dyDescent="0.3">
      <c r="A220" s="4" t="s">
        <v>652</v>
      </c>
      <c r="B220" s="5"/>
      <c r="C220" s="5" t="s">
        <v>285</v>
      </c>
      <c r="D220" s="5" t="s">
        <v>653</v>
      </c>
      <c r="E220" s="5" t="s">
        <v>0</v>
      </c>
      <c r="F220" s="5" t="s">
        <v>0</v>
      </c>
      <c r="G220" s="5" t="s">
        <v>287</v>
      </c>
      <c r="H220" s="8">
        <f>ROUND(28.3765,2)</f>
        <v>28.38</v>
      </c>
      <c r="I220" s="7">
        <f>ROUND(65126.66,2)</f>
        <v>65126.66</v>
      </c>
      <c r="J220" s="7">
        <f>ROUND(1828.5,2)</f>
        <v>1828.5</v>
      </c>
      <c r="K220" s="7">
        <f>ROUND(48.75,2)</f>
        <v>48.75</v>
      </c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7">
        <f>ROUND(8,2)</f>
        <v>8</v>
      </c>
      <c r="BX220" s="6"/>
      <c r="BY220" s="6"/>
      <c r="BZ220" s="6"/>
      <c r="CA220" s="6"/>
      <c r="CB220" s="6"/>
      <c r="CC220" s="6"/>
      <c r="CD220" s="6"/>
      <c r="CE220" s="6"/>
      <c r="CF220" s="6"/>
      <c r="CG220" s="7">
        <f>ROUND(21.25,2)</f>
        <v>21.25</v>
      </c>
      <c r="CH220" s="7">
        <f>ROUND(56,2)</f>
        <v>56</v>
      </c>
      <c r="CI220" s="7">
        <f>ROUND(32,2)</f>
        <v>32</v>
      </c>
      <c r="CJ220" s="6"/>
      <c r="CK220" s="6"/>
      <c r="CL220" s="7">
        <f>ROUND(22.25,2)</f>
        <v>22.25</v>
      </c>
      <c r="CM220" s="6"/>
      <c r="CN220" s="7">
        <f>ROUND(152,2)</f>
        <v>152</v>
      </c>
      <c r="CO220" s="6"/>
      <c r="CP220" s="6"/>
      <c r="CQ220" s="7">
        <f>ROUND(2168.75,2)</f>
        <v>2168.75</v>
      </c>
      <c r="CR220" s="7">
        <f>ROUND(51886.4599999999,2)</f>
        <v>51886.46</v>
      </c>
      <c r="CS220" s="7">
        <f>ROUND(2075.01999999999,2)</f>
        <v>2075.02</v>
      </c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7">
        <f>ROUND(169,2)</f>
        <v>169</v>
      </c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7">
        <f>ROUND(227.01,2)</f>
        <v>227.01</v>
      </c>
      <c r="FH220" s="6"/>
      <c r="FI220" s="6"/>
      <c r="FJ220" s="7">
        <f>ROUND(2724.48,2)</f>
        <v>2724.48</v>
      </c>
      <c r="FK220" s="6"/>
      <c r="FL220" s="6"/>
      <c r="FM220" s="7">
        <f>ROUND(603,2)</f>
        <v>603</v>
      </c>
      <c r="FN220" s="7">
        <f>ROUND(1589.07,2)</f>
        <v>1589.07</v>
      </c>
      <c r="FO220" s="7">
        <f>ROUND(908.04,2)</f>
        <v>908.04</v>
      </c>
      <c r="FP220" s="6"/>
      <c r="FQ220" s="6"/>
      <c r="FR220" s="6"/>
      <c r="FS220" s="7">
        <f>ROUND(631.369999999999,2)</f>
        <v>631.37</v>
      </c>
      <c r="FT220" s="6"/>
      <c r="FU220" s="6"/>
      <c r="FV220" s="7">
        <f>ROUND(4313.21,2)</f>
        <v>4313.21</v>
      </c>
      <c r="FW220" s="6"/>
      <c r="FX220" s="6"/>
      <c r="FY220" s="7">
        <f>ROUND(65126.6599999999,2)</f>
        <v>65126.66</v>
      </c>
    </row>
    <row r="221" spans="1:181" ht="26.4" x14ac:dyDescent="0.3">
      <c r="A221" s="4" t="s">
        <v>654</v>
      </c>
      <c r="B221" s="5"/>
      <c r="C221" s="5" t="s">
        <v>223</v>
      </c>
      <c r="D221" s="5" t="s">
        <v>655</v>
      </c>
      <c r="E221" s="5" t="s">
        <v>0</v>
      </c>
      <c r="F221" s="5" t="s">
        <v>0</v>
      </c>
      <c r="G221" s="5" t="s">
        <v>656</v>
      </c>
      <c r="H221" s="8">
        <f>ROUND(31.25,2)</f>
        <v>31.25</v>
      </c>
      <c r="I221" s="7">
        <f>ROUND(66000,2)</f>
        <v>66000</v>
      </c>
      <c r="J221" s="7">
        <f>ROUND(1861,2)</f>
        <v>1861</v>
      </c>
      <c r="K221" s="7">
        <f>ROUND(8,2)</f>
        <v>8</v>
      </c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7">
        <f>ROUND(8,2)</f>
        <v>8</v>
      </c>
      <c r="BX221" s="6"/>
      <c r="BY221" s="6"/>
      <c r="BZ221" s="6"/>
      <c r="CA221" s="6"/>
      <c r="CB221" s="6"/>
      <c r="CC221" s="6"/>
      <c r="CD221" s="6"/>
      <c r="CE221" s="6"/>
      <c r="CF221" s="6"/>
      <c r="CG221" s="7">
        <f>ROUND(39,2)</f>
        <v>39</v>
      </c>
      <c r="CH221" s="7">
        <f>ROUND(40,2)</f>
        <v>40</v>
      </c>
      <c r="CI221" s="7">
        <f>ROUND(16,2)</f>
        <v>16</v>
      </c>
      <c r="CJ221" s="6"/>
      <c r="CK221" s="6"/>
      <c r="CL221" s="6"/>
      <c r="CM221" s="6"/>
      <c r="CN221" s="7">
        <f>ROUND(80,2)</f>
        <v>80</v>
      </c>
      <c r="CO221" s="6"/>
      <c r="CP221" s="6"/>
      <c r="CQ221" s="7">
        <f>ROUND(2052,2)</f>
        <v>2052</v>
      </c>
      <c r="CR221" s="7">
        <f>ROUND(58156.25,2)</f>
        <v>58156.25</v>
      </c>
      <c r="CS221" s="7">
        <f>ROUND(375,2)</f>
        <v>375</v>
      </c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7">
        <f>ROUND(250,2)</f>
        <v>250</v>
      </c>
      <c r="FH221" s="6"/>
      <c r="FI221" s="6"/>
      <c r="FJ221" s="7">
        <f>ROUND(1750,2)</f>
        <v>1750</v>
      </c>
      <c r="FK221" s="6"/>
      <c r="FL221" s="6"/>
      <c r="FM221" s="7">
        <f>ROUND(1218.75,2)</f>
        <v>1218.75</v>
      </c>
      <c r="FN221" s="7">
        <f>ROUND(1250,2)</f>
        <v>1250</v>
      </c>
      <c r="FO221" s="7">
        <f>ROUND(500,2)</f>
        <v>500</v>
      </c>
      <c r="FP221" s="6"/>
      <c r="FQ221" s="6"/>
      <c r="FR221" s="6"/>
      <c r="FS221" s="6"/>
      <c r="FT221" s="6"/>
      <c r="FU221" s="6"/>
      <c r="FV221" s="7">
        <f>ROUND(2500,2)</f>
        <v>2500</v>
      </c>
      <c r="FW221" s="6"/>
      <c r="FX221" s="6"/>
      <c r="FY221" s="7">
        <f>ROUND(66000,2)</f>
        <v>66000</v>
      </c>
    </row>
    <row r="222" spans="1:181" x14ac:dyDescent="0.3">
      <c r="A222" s="4" t="s">
        <v>657</v>
      </c>
      <c r="B222" s="5" t="s">
        <v>1029</v>
      </c>
      <c r="C222" s="5" t="s">
        <v>181</v>
      </c>
      <c r="D222" s="5" t="s">
        <v>658</v>
      </c>
      <c r="E222" s="5" t="s">
        <v>0</v>
      </c>
      <c r="F222" s="5" t="s">
        <v>0</v>
      </c>
      <c r="G222" s="5" t="s">
        <v>183</v>
      </c>
      <c r="H222" s="8">
        <v>33.880000000000003</v>
      </c>
      <c r="I222" s="7">
        <f>ROUND(104144.9,2)</f>
        <v>104144.9</v>
      </c>
      <c r="J222" s="6"/>
      <c r="K222" s="6"/>
      <c r="L222" s="6"/>
      <c r="M222" s="6"/>
      <c r="N222" s="7">
        <f>ROUND(1863.66,2)</f>
        <v>1863.66</v>
      </c>
      <c r="O222" s="6"/>
      <c r="P222" s="6"/>
      <c r="Q222" s="7">
        <f>ROUND(518.55,2)</f>
        <v>518.54999999999995</v>
      </c>
      <c r="R222" s="6"/>
      <c r="S222" s="6"/>
      <c r="T222" s="6"/>
      <c r="U222" s="6"/>
      <c r="V222" s="7">
        <f>ROUND(13.22,2)</f>
        <v>13.22</v>
      </c>
      <c r="W222" s="7">
        <f>ROUND(7.89,2)</f>
        <v>7.89</v>
      </c>
      <c r="X222" s="7">
        <f>ROUND(1.27,2)</f>
        <v>1.27</v>
      </c>
      <c r="Y222" s="7">
        <f>ROUND(0.52,2)</f>
        <v>0.52</v>
      </c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7">
        <f>ROUND(28.47,2)</f>
        <v>28.47</v>
      </c>
      <c r="AQ222" s="6"/>
      <c r="AR222" s="7">
        <f>ROUND(86.76,2)</f>
        <v>86.76</v>
      </c>
      <c r="AS222" s="6"/>
      <c r="AT222" s="6"/>
      <c r="AU222" s="7">
        <f>ROUND(65.67,2)</f>
        <v>65.67</v>
      </c>
      <c r="AV222" s="7">
        <f>ROUND(2.33,2)</f>
        <v>2.33</v>
      </c>
      <c r="AW222" s="7">
        <f>ROUND(24,2)</f>
        <v>24</v>
      </c>
      <c r="AX222" s="6"/>
      <c r="AY222" s="7">
        <f>ROUND(102.5,2)</f>
        <v>102.5</v>
      </c>
      <c r="AZ222" s="7">
        <f>ROUND(1.5,2)</f>
        <v>1.5</v>
      </c>
      <c r="BA222" s="6"/>
      <c r="BB222" s="7">
        <f>ROUND(24,2)</f>
        <v>24</v>
      </c>
      <c r="BC222" s="6"/>
      <c r="BD222" s="7">
        <f>ROUND(8,2)</f>
        <v>8</v>
      </c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7">
        <f>ROUND(16,2)</f>
        <v>16</v>
      </c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7">
        <f>ROUND(2764.33999999999,2)</f>
        <v>2764.34</v>
      </c>
      <c r="CR222" s="6"/>
      <c r="CS222" s="6"/>
      <c r="CT222" s="6"/>
      <c r="CU222" s="6"/>
      <c r="CV222" s="7">
        <f>ROUND(60907.29,2)</f>
        <v>60907.29</v>
      </c>
      <c r="CW222" s="6"/>
      <c r="CX222" s="6"/>
      <c r="CY222" s="7">
        <f>ROUND(25440.43,2)</f>
        <v>25440.43</v>
      </c>
      <c r="CZ222" s="6"/>
      <c r="DA222" s="6"/>
      <c r="DB222" s="6"/>
      <c r="DC222" s="6"/>
      <c r="DD222" s="7">
        <f>ROUND(424.23,2)</f>
        <v>424.23</v>
      </c>
      <c r="DE222" s="7">
        <f>ROUND(390.89,2)</f>
        <v>390.89</v>
      </c>
      <c r="DF222" s="7">
        <f>ROUND(40.75,2)</f>
        <v>40.75</v>
      </c>
      <c r="DG222" s="7">
        <f>ROUND(25.03,2)</f>
        <v>25.03</v>
      </c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7">
        <f>ROUND(917.15,2)</f>
        <v>917.15</v>
      </c>
      <c r="DZ222" s="6"/>
      <c r="EA222" s="7">
        <f>ROUND(4279.15,2)</f>
        <v>4279.1499999999996</v>
      </c>
      <c r="EB222" s="6"/>
      <c r="EC222" s="6"/>
      <c r="ED222" s="7">
        <f>ROUND(2138.47,2)</f>
        <v>2138.4699999999998</v>
      </c>
      <c r="EE222" s="7">
        <f>ROUND(115.52,2)</f>
        <v>115.52</v>
      </c>
      <c r="EF222" s="7">
        <f>ROUND(770.16,2)</f>
        <v>770.16</v>
      </c>
      <c r="EG222" s="6"/>
      <c r="EH222" s="7">
        <f>ROUND(3381.39,2)</f>
        <v>3381.39</v>
      </c>
      <c r="EI222" s="7">
        <f>ROUND(72.2,2)</f>
        <v>72.2</v>
      </c>
      <c r="EJ222" s="6"/>
      <c r="EK222" s="7">
        <f>ROUND(785.52,2)</f>
        <v>785.52</v>
      </c>
      <c r="EL222" s="6"/>
      <c r="EM222" s="6"/>
      <c r="EN222" s="7">
        <f>ROUND(256.72,2)</f>
        <v>256.72000000000003</v>
      </c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7">
        <f>ROUND(1200,2)</f>
        <v>1200</v>
      </c>
      <c r="FK222" s="6"/>
      <c r="FL222" s="6"/>
      <c r="FM222" s="6"/>
      <c r="FN222" s="6"/>
      <c r="FO222" s="6"/>
      <c r="FP222" s="6"/>
      <c r="FQ222" s="6"/>
      <c r="FR222" s="6"/>
      <c r="FS222" s="6"/>
      <c r="FT222" s="7">
        <f>ROUND(3000,2)</f>
        <v>3000</v>
      </c>
      <c r="FU222" s="6"/>
      <c r="FV222" s="6"/>
      <c r="FW222" s="6"/>
      <c r="FX222" s="6"/>
      <c r="FY222" s="7">
        <f>ROUND(104144.9,2)</f>
        <v>104144.9</v>
      </c>
    </row>
    <row r="223" spans="1:181" x14ac:dyDescent="0.3">
      <c r="A223" s="4" t="s">
        <v>659</v>
      </c>
      <c r="B223" s="5"/>
      <c r="C223" s="5" t="s">
        <v>285</v>
      </c>
      <c r="D223" s="5" t="s">
        <v>660</v>
      </c>
      <c r="E223" s="5" t="s">
        <v>0</v>
      </c>
      <c r="F223" s="5" t="s">
        <v>0</v>
      </c>
      <c r="G223" s="5" t="s">
        <v>287</v>
      </c>
      <c r="H223" s="8">
        <f>ROUND(1306.88,2)</f>
        <v>1306.8800000000001</v>
      </c>
      <c r="I223" s="7">
        <f>ROUND(72401.1499999999,2)</f>
        <v>72401.149999999994</v>
      </c>
      <c r="J223" s="7">
        <f>ROUND(1648,2)</f>
        <v>1648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7">
        <f>ROUND(-8,2)</f>
        <v>-8</v>
      </c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7">
        <f>ROUND(8,2)</f>
        <v>8</v>
      </c>
      <c r="BX223" s="6"/>
      <c r="BY223" s="6"/>
      <c r="BZ223" s="6"/>
      <c r="CA223" s="6"/>
      <c r="CB223" s="6"/>
      <c r="CC223" s="6"/>
      <c r="CD223" s="6"/>
      <c r="CE223" s="6"/>
      <c r="CF223" s="6"/>
      <c r="CG223" s="7">
        <f>ROUND(24,2)</f>
        <v>24</v>
      </c>
      <c r="CH223" s="7">
        <f>ROUND(56,2)</f>
        <v>56</v>
      </c>
      <c r="CI223" s="7">
        <f>ROUND(48,2)</f>
        <v>48</v>
      </c>
      <c r="CJ223" s="6"/>
      <c r="CK223" s="6"/>
      <c r="CL223" s="6"/>
      <c r="CM223" s="6"/>
      <c r="CN223" s="7">
        <f>ROUND(80,2)</f>
        <v>80</v>
      </c>
      <c r="CO223" s="6"/>
      <c r="CP223" s="6"/>
      <c r="CQ223" s="7">
        <f>ROUND(1856,2)</f>
        <v>1856</v>
      </c>
      <c r="CR223" s="7">
        <f>ROUND(65605.3599999999,2)</f>
        <v>65605.36</v>
      </c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7">
        <f>ROUND(-261.38,2)</f>
        <v>-261.38</v>
      </c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7">
        <f>ROUND(261.38,2)</f>
        <v>261.38</v>
      </c>
      <c r="FH223" s="6"/>
      <c r="FI223" s="6"/>
      <c r="FJ223" s="7">
        <f>ROUND(3136.51,2)</f>
        <v>3136.51</v>
      </c>
      <c r="FK223" s="6"/>
      <c r="FL223" s="6"/>
      <c r="FM223" s="7">
        <f>ROUND(784.13,2)</f>
        <v>784.13</v>
      </c>
      <c r="FN223" s="7">
        <f>ROUND(784.14,2)</f>
        <v>784.14</v>
      </c>
      <c r="FO223" s="7">
        <f>ROUND(1045.5,2)</f>
        <v>1045.5</v>
      </c>
      <c r="FP223" s="6"/>
      <c r="FQ223" s="6"/>
      <c r="FR223" s="6"/>
      <c r="FS223" s="6"/>
      <c r="FT223" s="6"/>
      <c r="FU223" s="6"/>
      <c r="FV223" s="7">
        <f>ROUND(1045.51,2)</f>
        <v>1045.51</v>
      </c>
      <c r="FW223" s="6"/>
      <c r="FX223" s="6"/>
      <c r="FY223" s="7">
        <f>ROUND(72401.1499999999,2)</f>
        <v>72401.149999999994</v>
      </c>
    </row>
    <row r="224" spans="1:181" x14ac:dyDescent="0.3">
      <c r="A224" s="4" t="s">
        <v>661</v>
      </c>
      <c r="B224" s="5" t="s">
        <v>1029</v>
      </c>
      <c r="C224" s="5" t="s">
        <v>181</v>
      </c>
      <c r="D224" s="5" t="s">
        <v>590</v>
      </c>
      <c r="E224" s="5" t="s">
        <v>0</v>
      </c>
      <c r="F224" s="5" t="s">
        <v>0</v>
      </c>
      <c r="G224" s="5" t="s">
        <v>183</v>
      </c>
      <c r="H224" s="8">
        <v>33.880000000000003</v>
      </c>
      <c r="I224" s="7">
        <f>ROUND(83801.6699999999,2)</f>
        <v>83801.67</v>
      </c>
      <c r="J224" s="6"/>
      <c r="K224" s="6"/>
      <c r="L224" s="6"/>
      <c r="M224" s="6"/>
      <c r="N224" s="7">
        <f>ROUND(1701.40999999999,2)</f>
        <v>1701.41</v>
      </c>
      <c r="O224" s="6"/>
      <c r="P224" s="6"/>
      <c r="Q224" s="7">
        <f>ROUND(296.239999999999,2)</f>
        <v>296.24</v>
      </c>
      <c r="R224" s="6"/>
      <c r="S224" s="6"/>
      <c r="T224" s="6"/>
      <c r="U224" s="6"/>
      <c r="V224" s="6"/>
      <c r="W224" s="6"/>
      <c r="X224" s="6"/>
      <c r="Y224" s="6"/>
      <c r="Z224" s="7">
        <f>ROUND(0.5,2)</f>
        <v>0.5</v>
      </c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7">
        <f>ROUND(72,2)</f>
        <v>72</v>
      </c>
      <c r="AV224" s="6"/>
      <c r="AW224" s="7">
        <f>ROUND(24,2)</f>
        <v>24</v>
      </c>
      <c r="AX224" s="6"/>
      <c r="AY224" s="7">
        <f>ROUND(158,2)</f>
        <v>158</v>
      </c>
      <c r="AZ224" s="6"/>
      <c r="BA224" s="6"/>
      <c r="BB224" s="7">
        <f>ROUND(40,2)</f>
        <v>40</v>
      </c>
      <c r="BC224" s="6"/>
      <c r="BD224" s="7">
        <f>ROUND(8,2)</f>
        <v>8</v>
      </c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7">
        <f>ROUND(88,2)</f>
        <v>88</v>
      </c>
      <c r="BT224" s="7">
        <f>ROUND(4.76,2)</f>
        <v>4.76</v>
      </c>
      <c r="BU224" s="6"/>
      <c r="BV224" s="6"/>
      <c r="BW224" s="6"/>
      <c r="BX224" s="7">
        <f>ROUND(64,2)</f>
        <v>64</v>
      </c>
      <c r="BY224" s="6"/>
      <c r="BZ224" s="6"/>
      <c r="CA224" s="7">
        <f>ROUND(24,2)</f>
        <v>24</v>
      </c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7">
        <f>ROUND(2480.91,2)</f>
        <v>2480.91</v>
      </c>
      <c r="CR224" s="6"/>
      <c r="CS224" s="6"/>
      <c r="CT224" s="6"/>
      <c r="CU224" s="6"/>
      <c r="CV224" s="7">
        <f>ROUND(55641.9999999999,2)</f>
        <v>55642</v>
      </c>
      <c r="CW224" s="6"/>
      <c r="CX224" s="6"/>
      <c r="CY224" s="7">
        <f>ROUND(14585.64,2)</f>
        <v>14585.64</v>
      </c>
      <c r="CZ224" s="6"/>
      <c r="DA224" s="6"/>
      <c r="DB224" s="6"/>
      <c r="DC224" s="6"/>
      <c r="DD224" s="6"/>
      <c r="DE224" s="6"/>
      <c r="DF224" s="6"/>
      <c r="DG224" s="6"/>
      <c r="DH224" s="7">
        <f>ROUND(32.09,2)</f>
        <v>32.090000000000003</v>
      </c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7">
        <f>ROUND(2346.48,2)</f>
        <v>2346.48</v>
      </c>
      <c r="EE224" s="6"/>
      <c r="EF224" s="7">
        <f>ROUND(783.12,2)</f>
        <v>783.12</v>
      </c>
      <c r="EG224" s="6"/>
      <c r="EH224" s="7">
        <f>ROUND(5147.02,2)</f>
        <v>5147.0200000000004</v>
      </c>
      <c r="EI224" s="6"/>
      <c r="EJ224" s="6"/>
      <c r="EK224" s="7">
        <f>ROUND(1283.6,2)</f>
        <v>1283.5999999999999</v>
      </c>
      <c r="EL224" s="6"/>
      <c r="EM224" s="6"/>
      <c r="EN224" s="7">
        <f>ROUND(256.72,2)</f>
        <v>256.72000000000003</v>
      </c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7">
        <f>ROUND(725,2)</f>
        <v>725</v>
      </c>
      <c r="FK224" s="6"/>
      <c r="FL224" s="6"/>
      <c r="FM224" s="6"/>
      <c r="FN224" s="6"/>
      <c r="FO224" s="6"/>
      <c r="FP224" s="6"/>
      <c r="FQ224" s="6"/>
      <c r="FR224" s="6"/>
      <c r="FS224" s="6"/>
      <c r="FT224" s="7">
        <f>ROUND(3000,2)</f>
        <v>3000</v>
      </c>
      <c r="FU224" s="6"/>
      <c r="FV224" s="6"/>
      <c r="FW224" s="6"/>
      <c r="FX224" s="6"/>
      <c r="FY224" s="7">
        <f>ROUND(83801.6699999999,2)</f>
        <v>83801.67</v>
      </c>
    </row>
    <row r="225" spans="1:181" ht="26.4" x14ac:dyDescent="0.3">
      <c r="A225" s="4" t="s">
        <v>662</v>
      </c>
      <c r="B225" s="5"/>
      <c r="C225" s="5" t="s">
        <v>201</v>
      </c>
      <c r="D225" s="5" t="s">
        <v>663</v>
      </c>
      <c r="E225" s="5" t="s">
        <v>664</v>
      </c>
      <c r="F225" s="5" t="s">
        <v>0</v>
      </c>
      <c r="G225" s="5" t="s">
        <v>203</v>
      </c>
      <c r="H225" s="8">
        <f>ROUND(18,2)</f>
        <v>18</v>
      </c>
      <c r="I225" s="7">
        <f>ROUND(19284.75,2)</f>
        <v>19284.75</v>
      </c>
      <c r="J225" s="7">
        <f>ROUND(976,2)</f>
        <v>976</v>
      </c>
      <c r="K225" s="7">
        <f>ROUND(2.25,2)</f>
        <v>2.25</v>
      </c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7">
        <f>ROUND(31,2)</f>
        <v>31</v>
      </c>
      <c r="CH225" s="7">
        <f>ROUND(20,2)</f>
        <v>20</v>
      </c>
      <c r="CI225" s="6"/>
      <c r="CJ225" s="6"/>
      <c r="CK225" s="6"/>
      <c r="CL225" s="6"/>
      <c r="CM225" s="6"/>
      <c r="CN225" s="7">
        <f>ROUND(25,2)</f>
        <v>25</v>
      </c>
      <c r="CO225" s="6"/>
      <c r="CP225" s="6"/>
      <c r="CQ225" s="7">
        <f>ROUND(1054.25,2)</f>
        <v>1054.25</v>
      </c>
      <c r="CR225" s="7">
        <f>ROUND(17568,2)</f>
        <v>17568</v>
      </c>
      <c r="CS225" s="7">
        <f>ROUND(60.75,2)</f>
        <v>60.75</v>
      </c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7">
        <f>ROUND(288,2)</f>
        <v>288</v>
      </c>
      <c r="FK225" s="6"/>
      <c r="FL225" s="6"/>
      <c r="FM225" s="7">
        <f>ROUND(558,2)</f>
        <v>558</v>
      </c>
      <c r="FN225" s="7">
        <f>ROUND(360,2)</f>
        <v>360</v>
      </c>
      <c r="FO225" s="6"/>
      <c r="FP225" s="6"/>
      <c r="FQ225" s="6"/>
      <c r="FR225" s="6"/>
      <c r="FS225" s="6"/>
      <c r="FT225" s="6"/>
      <c r="FU225" s="6"/>
      <c r="FV225" s="7">
        <f>ROUND(450,2)</f>
        <v>450</v>
      </c>
      <c r="FW225" s="6"/>
      <c r="FX225" s="6"/>
      <c r="FY225" s="7">
        <f>ROUND(19284.75,2)</f>
        <v>19284.75</v>
      </c>
    </row>
    <row r="226" spans="1:181" x14ac:dyDescent="0.3">
      <c r="A226" s="4" t="s">
        <v>665</v>
      </c>
      <c r="B226" s="5" t="s">
        <v>1029</v>
      </c>
      <c r="C226" s="5" t="s">
        <v>181</v>
      </c>
      <c r="D226" s="5" t="s">
        <v>344</v>
      </c>
      <c r="E226" s="5" t="s">
        <v>0</v>
      </c>
      <c r="F226" s="5" t="s">
        <v>0</v>
      </c>
      <c r="G226" s="5" t="s">
        <v>183</v>
      </c>
      <c r="H226" s="8">
        <v>33.380000000000003</v>
      </c>
      <c r="I226" s="7">
        <f>ROUND(78943.03,2)</f>
        <v>78943.03</v>
      </c>
      <c r="J226" s="6"/>
      <c r="K226" s="6"/>
      <c r="L226" s="6"/>
      <c r="M226" s="6"/>
      <c r="N226" s="7">
        <f>ROUND(1503.9,2)</f>
        <v>1503.9</v>
      </c>
      <c r="O226" s="6"/>
      <c r="P226" s="6"/>
      <c r="Q226" s="7">
        <f>ROUND(64.69,2)</f>
        <v>64.69</v>
      </c>
      <c r="R226" s="6"/>
      <c r="S226" s="6"/>
      <c r="T226" s="6"/>
      <c r="U226" s="6"/>
      <c r="V226" s="7">
        <f>ROUND(6.83,2)</f>
        <v>6.83</v>
      </c>
      <c r="W226" s="6"/>
      <c r="X226" s="6"/>
      <c r="Y226" s="6"/>
      <c r="Z226" s="6"/>
      <c r="AA226" s="6"/>
      <c r="AB226" s="6"/>
      <c r="AC226" s="6"/>
      <c r="AD226" s="6"/>
      <c r="AE226" s="7">
        <f>ROUND(268.48,2)</f>
        <v>268.48</v>
      </c>
      <c r="AF226" s="6"/>
      <c r="AG226" s="7">
        <f>ROUND(40.12,2)</f>
        <v>40.119999999999997</v>
      </c>
      <c r="AH226" s="6"/>
      <c r="AI226" s="6"/>
      <c r="AJ226" s="6"/>
      <c r="AK226" s="6"/>
      <c r="AL226" s="6"/>
      <c r="AM226" s="6"/>
      <c r="AN226" s="6"/>
      <c r="AO226" s="6"/>
      <c r="AP226" s="7">
        <f>ROUND(205.549999999999,2)</f>
        <v>205.55</v>
      </c>
      <c r="AQ226" s="6"/>
      <c r="AR226" s="7">
        <f>ROUND(4.13,2)</f>
        <v>4.13</v>
      </c>
      <c r="AS226" s="6"/>
      <c r="AT226" s="6"/>
      <c r="AU226" s="7">
        <f>ROUND(68,2)</f>
        <v>68</v>
      </c>
      <c r="AV226" s="6"/>
      <c r="AW226" s="7">
        <f>ROUND(24,2)</f>
        <v>24</v>
      </c>
      <c r="AX226" s="7">
        <f>ROUND(8,2)</f>
        <v>8</v>
      </c>
      <c r="AY226" s="6"/>
      <c r="AZ226" s="6"/>
      <c r="BA226" s="6"/>
      <c r="BB226" s="6"/>
      <c r="BC226" s="6"/>
      <c r="BD226" s="7">
        <f>ROUND(8,2)</f>
        <v>8</v>
      </c>
      <c r="BE226" s="7">
        <f>ROUND(1.17,2)</f>
        <v>1.17</v>
      </c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7">
        <f>ROUND(3.37,2)</f>
        <v>3.37</v>
      </c>
      <c r="BR226" s="7">
        <f>ROUND(4.63,2)</f>
        <v>4.63</v>
      </c>
      <c r="BS226" s="6"/>
      <c r="BT226" s="6"/>
      <c r="BU226" s="6"/>
      <c r="BV226" s="6"/>
      <c r="BW226" s="6"/>
      <c r="BX226" s="6"/>
      <c r="BY226" s="7">
        <f>ROUND(26,2)</f>
        <v>26</v>
      </c>
      <c r="BZ226" s="6"/>
      <c r="CA226" s="7">
        <f>ROUND(8,2)</f>
        <v>8</v>
      </c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7">
        <f>ROUND(40,2)</f>
        <v>40</v>
      </c>
      <c r="CQ226" s="7">
        <f>ROUND(2284.86999999999,2)</f>
        <v>2284.87</v>
      </c>
      <c r="CR226" s="6"/>
      <c r="CS226" s="6"/>
      <c r="CT226" s="6"/>
      <c r="CU226" s="6"/>
      <c r="CV226" s="7">
        <f>ROUND(48179.24,2)</f>
        <v>48179.24</v>
      </c>
      <c r="CW226" s="6"/>
      <c r="CX226" s="6"/>
      <c r="CY226" s="7">
        <f>ROUND(3143.31999999999,2)</f>
        <v>3143.32</v>
      </c>
      <c r="CZ226" s="6"/>
      <c r="DA226" s="6"/>
      <c r="DB226" s="6"/>
      <c r="DC226" s="6"/>
      <c r="DD226" s="7">
        <f>ROUND(219.17,2)</f>
        <v>219.17</v>
      </c>
      <c r="DE226" s="6"/>
      <c r="DF226" s="6"/>
      <c r="DG226" s="6"/>
      <c r="DH226" s="6"/>
      <c r="DI226" s="6"/>
      <c r="DJ226" s="6"/>
      <c r="DK226" s="6"/>
      <c r="DL226" s="6"/>
      <c r="DM226" s="6"/>
      <c r="DN226" s="7">
        <f>ROUND(8794.25,2)</f>
        <v>8794.25</v>
      </c>
      <c r="DO226" s="6"/>
      <c r="DP226" s="7">
        <f>ROUND(1992.42,2)</f>
        <v>1992.42</v>
      </c>
      <c r="DQ226" s="6"/>
      <c r="DR226" s="6"/>
      <c r="DS226" s="6"/>
      <c r="DT226" s="6"/>
      <c r="DU226" s="6"/>
      <c r="DV226" s="6"/>
      <c r="DW226" s="6"/>
      <c r="DX226" s="6"/>
      <c r="DY226" s="7">
        <f>ROUND(6779.37,2)</f>
        <v>6779.37</v>
      </c>
      <c r="DZ226" s="6"/>
      <c r="EA226" s="7">
        <f>ROUND(202.47,2)</f>
        <v>202.47</v>
      </c>
      <c r="EB226" s="6"/>
      <c r="EC226" s="6"/>
      <c r="ED226" s="7">
        <f>ROUND(2191.8,2)</f>
        <v>2191.8000000000002</v>
      </c>
      <c r="EE226" s="6"/>
      <c r="EF226" s="7">
        <f>ROUND(772.719999999999,2)</f>
        <v>772.72</v>
      </c>
      <c r="EG226" s="7">
        <f>ROUND(396.6,2)</f>
        <v>396.6</v>
      </c>
      <c r="EH226" s="6"/>
      <c r="EI226" s="6"/>
      <c r="EJ226" s="6"/>
      <c r="EK226" s="6"/>
      <c r="EL226" s="6"/>
      <c r="EM226" s="6"/>
      <c r="EN226" s="7">
        <f>ROUND(256.72,2)</f>
        <v>256.72000000000003</v>
      </c>
      <c r="EO226" s="7">
        <f>ROUND(38.84,2)</f>
        <v>38.840000000000003</v>
      </c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7">
        <f>ROUND(111.38,2)</f>
        <v>111.38</v>
      </c>
      <c r="FE226" s="7">
        <f>ROUND(229.53,2)</f>
        <v>229.53</v>
      </c>
      <c r="FF226" s="6"/>
      <c r="FG226" s="6"/>
      <c r="FH226" s="6"/>
      <c r="FI226" s="6"/>
      <c r="FJ226" s="7">
        <f>ROUND(1300,2)</f>
        <v>1300</v>
      </c>
      <c r="FK226" s="6"/>
      <c r="FL226" s="6"/>
      <c r="FM226" s="6"/>
      <c r="FN226" s="6"/>
      <c r="FO226" s="6"/>
      <c r="FP226" s="6"/>
      <c r="FQ226" s="6"/>
      <c r="FR226" s="6"/>
      <c r="FS226" s="6"/>
      <c r="FT226" s="7">
        <f>ROUND(3000,2)</f>
        <v>3000</v>
      </c>
      <c r="FU226" s="6"/>
      <c r="FV226" s="6"/>
      <c r="FW226" s="6"/>
      <c r="FX226" s="7">
        <f>ROUND(1335.2,2)</f>
        <v>1335.2</v>
      </c>
      <c r="FY226" s="7">
        <f>ROUND(78943.03,2)</f>
        <v>78943.03</v>
      </c>
    </row>
    <row r="227" spans="1:181" ht="26.4" x14ac:dyDescent="0.3">
      <c r="A227" s="4" t="s">
        <v>666</v>
      </c>
      <c r="B227" s="5"/>
      <c r="C227" s="5" t="s">
        <v>244</v>
      </c>
      <c r="D227" s="5" t="s">
        <v>667</v>
      </c>
      <c r="E227" s="5" t="s">
        <v>668</v>
      </c>
      <c r="F227" s="5" t="s">
        <v>0</v>
      </c>
      <c r="G227" s="5" t="s">
        <v>247</v>
      </c>
      <c r="H227" s="8">
        <f>ROUND(18,2)</f>
        <v>18</v>
      </c>
      <c r="I227" s="7">
        <f>ROUND(1480.5,2)</f>
        <v>1480.5</v>
      </c>
      <c r="J227" s="7">
        <f>ROUND(82.25,2)</f>
        <v>82.25</v>
      </c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7">
        <f>ROUND(82.25,2)</f>
        <v>82.25</v>
      </c>
      <c r="CR227" s="7">
        <f>ROUND(1480.5,2)</f>
        <v>1480.5</v>
      </c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7">
        <f>ROUND(1480.5,2)</f>
        <v>1480.5</v>
      </c>
    </row>
    <row r="228" spans="1:181" x14ac:dyDescent="0.3">
      <c r="A228" s="4" t="s">
        <v>669</v>
      </c>
      <c r="B228" s="5" t="s">
        <v>1029</v>
      </c>
      <c r="C228" s="5" t="s">
        <v>181</v>
      </c>
      <c r="D228" s="5" t="s">
        <v>670</v>
      </c>
      <c r="E228" s="5" t="s">
        <v>0</v>
      </c>
      <c r="F228" s="5" t="s">
        <v>390</v>
      </c>
      <c r="G228" s="5" t="s">
        <v>183</v>
      </c>
      <c r="H228" s="8">
        <v>33.380000000000003</v>
      </c>
      <c r="I228" s="7">
        <f>ROUND(84336.8099999999,2)</f>
        <v>84336.81</v>
      </c>
      <c r="J228" s="6"/>
      <c r="K228" s="6"/>
      <c r="L228" s="6"/>
      <c r="M228" s="6"/>
      <c r="N228" s="7">
        <f>ROUND(1882.24,2)</f>
        <v>1882.24</v>
      </c>
      <c r="O228" s="6"/>
      <c r="P228" s="6"/>
      <c r="Q228" s="7">
        <f>ROUND(287.31,2)</f>
        <v>287.31</v>
      </c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7">
        <f>ROUND(43.84,2)</f>
        <v>43.84</v>
      </c>
      <c r="AF228" s="6"/>
      <c r="AG228" s="7">
        <f>ROUND(21.33,2)</f>
        <v>21.33</v>
      </c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7">
        <f>ROUND(60,2)</f>
        <v>60</v>
      </c>
      <c r="AV228" s="6"/>
      <c r="AW228" s="7">
        <f>ROUND(32,2)</f>
        <v>32</v>
      </c>
      <c r="AX228" s="6"/>
      <c r="AY228" s="7">
        <f>ROUND(8,2)</f>
        <v>8</v>
      </c>
      <c r="AZ228" s="6"/>
      <c r="BA228" s="6"/>
      <c r="BB228" s="7">
        <f>ROUND(32,2)</f>
        <v>32</v>
      </c>
      <c r="BC228" s="6"/>
      <c r="BD228" s="7">
        <f>ROUND(8,2)</f>
        <v>8</v>
      </c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7">
        <f>ROUND(5.58,2)</f>
        <v>5.58</v>
      </c>
      <c r="BP228" s="6"/>
      <c r="BQ228" s="6"/>
      <c r="BR228" s="6"/>
      <c r="BS228" s="6"/>
      <c r="BT228" s="6"/>
      <c r="BU228" s="6"/>
      <c r="BV228" s="6"/>
      <c r="BW228" s="7">
        <f>ROUND(8,2)</f>
        <v>8</v>
      </c>
      <c r="BX228" s="6"/>
      <c r="BY228" s="6"/>
      <c r="BZ228" s="7">
        <f>ROUND(64,2)</f>
        <v>64</v>
      </c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7">
        <f>ROUND(2452.3,2)</f>
        <v>2452.3000000000002</v>
      </c>
      <c r="CR228" s="6"/>
      <c r="CS228" s="6"/>
      <c r="CT228" s="6"/>
      <c r="CU228" s="6"/>
      <c r="CV228" s="7">
        <f>ROUND(59840.66,2)</f>
        <v>59840.66</v>
      </c>
      <c r="CW228" s="6"/>
      <c r="CX228" s="6"/>
      <c r="CY228" s="7">
        <f>ROUND(13646.1,2)</f>
        <v>13646.1</v>
      </c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7">
        <f>ROUND(1345.08,2)</f>
        <v>1345.08</v>
      </c>
      <c r="DO228" s="6"/>
      <c r="DP228" s="7">
        <f>ROUND(975.52,2)</f>
        <v>975.52</v>
      </c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7">
        <f>ROUND(1867.72,2)</f>
        <v>1867.72</v>
      </c>
      <c r="EE228" s="6"/>
      <c r="EF228" s="7">
        <f>ROUND(1037.12,2)</f>
        <v>1037.1199999999999</v>
      </c>
      <c r="EG228" s="6"/>
      <c r="EH228" s="7">
        <f>ROUND(243.92,2)</f>
        <v>243.92</v>
      </c>
      <c r="EI228" s="6"/>
      <c r="EJ228" s="6"/>
      <c r="EK228" s="7">
        <f>ROUND(1016.64,2)</f>
        <v>1016.64</v>
      </c>
      <c r="EL228" s="6"/>
      <c r="EM228" s="6"/>
      <c r="EN228" s="7">
        <f>ROUND(243.92,2)</f>
        <v>243.92</v>
      </c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7">
        <f>ROUND(170.13,2)</f>
        <v>170.13</v>
      </c>
      <c r="FC228" s="6"/>
      <c r="FD228" s="6"/>
      <c r="FE228" s="6"/>
      <c r="FF228" s="6"/>
      <c r="FG228" s="6"/>
      <c r="FH228" s="6"/>
      <c r="FI228" s="6"/>
      <c r="FJ228" s="7">
        <f>ROUND(950,2)</f>
        <v>950</v>
      </c>
      <c r="FK228" s="6"/>
      <c r="FL228" s="6"/>
      <c r="FM228" s="6"/>
      <c r="FN228" s="6"/>
      <c r="FO228" s="6"/>
      <c r="FP228" s="6"/>
      <c r="FQ228" s="6"/>
      <c r="FR228" s="6"/>
      <c r="FS228" s="6"/>
      <c r="FT228" s="7">
        <f>ROUND(3000,2)</f>
        <v>3000</v>
      </c>
      <c r="FU228" s="6"/>
      <c r="FV228" s="6"/>
      <c r="FW228" s="6"/>
      <c r="FX228" s="6"/>
      <c r="FY228" s="7">
        <f>ROUND(84336.8099999999,2)</f>
        <v>84336.81</v>
      </c>
    </row>
    <row r="229" spans="1:181" ht="26.4" x14ac:dyDescent="0.3">
      <c r="A229" s="4" t="s">
        <v>671</v>
      </c>
      <c r="B229" s="5"/>
      <c r="C229" s="5" t="s">
        <v>394</v>
      </c>
      <c r="D229" s="5" t="s">
        <v>672</v>
      </c>
      <c r="E229" s="5" t="s">
        <v>0</v>
      </c>
      <c r="F229" s="5" t="s">
        <v>0</v>
      </c>
      <c r="G229" s="5" t="s">
        <v>673</v>
      </c>
      <c r="H229" s="8">
        <f>ROUND(1559.2282,2)</f>
        <v>1559.23</v>
      </c>
      <c r="I229" s="7">
        <f>ROUND(87087.3,2)</f>
        <v>87087.3</v>
      </c>
      <c r="J229" s="7">
        <f>ROUND(1688,2)</f>
        <v>1688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7">
        <f>ROUND(-8,2)</f>
        <v>-8</v>
      </c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7">
        <f>ROUND(8,2)</f>
        <v>8</v>
      </c>
      <c r="BX229" s="6"/>
      <c r="BY229" s="6"/>
      <c r="BZ229" s="6"/>
      <c r="CA229" s="6"/>
      <c r="CB229" s="6"/>
      <c r="CC229" s="6"/>
      <c r="CD229" s="6"/>
      <c r="CE229" s="6"/>
      <c r="CF229" s="6"/>
      <c r="CG229" s="7">
        <f>ROUND(16,2)</f>
        <v>16</v>
      </c>
      <c r="CH229" s="7">
        <f>ROUND(56,2)</f>
        <v>56</v>
      </c>
      <c r="CI229" s="7">
        <f>ROUND(32,2)</f>
        <v>32</v>
      </c>
      <c r="CJ229" s="6"/>
      <c r="CK229" s="6"/>
      <c r="CL229" s="6"/>
      <c r="CM229" s="6"/>
      <c r="CN229" s="7">
        <f>ROUND(176,2)</f>
        <v>176</v>
      </c>
      <c r="CO229" s="6"/>
      <c r="CP229" s="7">
        <f>ROUND(24,2)</f>
        <v>24</v>
      </c>
      <c r="CQ229" s="7">
        <f>ROUND(1992,2)</f>
        <v>1992</v>
      </c>
      <c r="CR229" s="7">
        <f>ROUND(79656.02,2)</f>
        <v>79656.02</v>
      </c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7">
        <f>ROUND(-311.85,2)</f>
        <v>-311.85000000000002</v>
      </c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7">
        <f>ROUND(3742.15,2)</f>
        <v>3742.15</v>
      </c>
      <c r="FK229" s="6"/>
      <c r="FL229" s="6"/>
      <c r="FM229" s="7">
        <f>ROUND(623.7,2)</f>
        <v>623.70000000000005</v>
      </c>
      <c r="FN229" s="7">
        <f>ROUND(935.55,2)</f>
        <v>935.55</v>
      </c>
      <c r="FO229" s="6"/>
      <c r="FP229" s="6"/>
      <c r="FQ229" s="6"/>
      <c r="FR229" s="6"/>
      <c r="FS229" s="6"/>
      <c r="FT229" s="6"/>
      <c r="FU229" s="6"/>
      <c r="FV229" s="7">
        <f>ROUND(1559.25,2)</f>
        <v>1559.25</v>
      </c>
      <c r="FW229" s="6"/>
      <c r="FX229" s="7">
        <f>ROUND(882.48,2)</f>
        <v>882.48</v>
      </c>
      <c r="FY229" s="7">
        <f>ROUND(87087.3,2)</f>
        <v>87087.3</v>
      </c>
    </row>
    <row r="230" spans="1:181" x14ac:dyDescent="0.3">
      <c r="A230" s="4" t="s">
        <v>674</v>
      </c>
      <c r="B230" s="5" t="s">
        <v>1029</v>
      </c>
      <c r="C230" s="5" t="s">
        <v>223</v>
      </c>
      <c r="D230" s="5" t="s">
        <v>675</v>
      </c>
      <c r="E230" s="5" t="s">
        <v>0</v>
      </c>
      <c r="F230" s="5" t="s">
        <v>676</v>
      </c>
      <c r="G230" s="5" t="s">
        <v>677</v>
      </c>
      <c r="H230" s="8">
        <f>ROUND(50,2)</f>
        <v>50</v>
      </c>
      <c r="I230" s="7">
        <f>ROUND(56575,2)</f>
        <v>56575</v>
      </c>
      <c r="J230" s="7">
        <f>ROUND(1131.5,2)</f>
        <v>1131.5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7">
        <f>ROUND(1131.5,2)</f>
        <v>1131.5</v>
      </c>
      <c r="CR230" s="7">
        <f>ROUND(56575,2)</f>
        <v>56575</v>
      </c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7">
        <f>ROUND(56575,2)</f>
        <v>56575</v>
      </c>
    </row>
    <row r="231" spans="1:181" x14ac:dyDescent="0.3">
      <c r="A231" s="4" t="s">
        <v>678</v>
      </c>
      <c r="B231" s="5" t="s">
        <v>1029</v>
      </c>
      <c r="C231" s="5" t="s">
        <v>181</v>
      </c>
      <c r="D231" s="5" t="s">
        <v>276</v>
      </c>
      <c r="E231" s="5" t="s">
        <v>0</v>
      </c>
      <c r="F231" s="5" t="s">
        <v>0</v>
      </c>
      <c r="G231" s="5" t="s">
        <v>183</v>
      </c>
      <c r="H231" s="8">
        <v>33.380000000000003</v>
      </c>
      <c r="I231" s="7">
        <f>ROUND(83846.58,2)</f>
        <v>83846.58</v>
      </c>
      <c r="J231" s="6"/>
      <c r="K231" s="6"/>
      <c r="L231" s="6"/>
      <c r="M231" s="6"/>
      <c r="N231" s="7">
        <f>ROUND(1971.63,2)</f>
        <v>1971.63</v>
      </c>
      <c r="O231" s="6"/>
      <c r="P231" s="6"/>
      <c r="Q231" s="7">
        <f>ROUND(123.449999999999,2)</f>
        <v>123.45</v>
      </c>
      <c r="R231" s="6"/>
      <c r="S231" s="6"/>
      <c r="T231" s="6"/>
      <c r="U231" s="6"/>
      <c r="V231" s="6"/>
      <c r="W231" s="7">
        <f>ROUND(9.25,2)</f>
        <v>9.25</v>
      </c>
      <c r="X231" s="6"/>
      <c r="Y231" s="6"/>
      <c r="Z231" s="6"/>
      <c r="AA231" s="6"/>
      <c r="AB231" s="6"/>
      <c r="AC231" s="6"/>
      <c r="AD231" s="6"/>
      <c r="AE231" s="7">
        <f>ROUND(10,2)</f>
        <v>10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7">
        <f>ROUND(24.5,2)</f>
        <v>24.5</v>
      </c>
      <c r="AQ231" s="6"/>
      <c r="AR231" s="7">
        <f>ROUND(4.5,2)</f>
        <v>4.5</v>
      </c>
      <c r="AS231" s="6"/>
      <c r="AT231" s="6"/>
      <c r="AU231" s="7">
        <f>ROUND(68,2)</f>
        <v>68</v>
      </c>
      <c r="AV231" s="6"/>
      <c r="AW231" s="7">
        <f>ROUND(24,2)</f>
        <v>24</v>
      </c>
      <c r="AX231" s="6"/>
      <c r="AY231" s="7">
        <f>ROUND(24,2)</f>
        <v>24</v>
      </c>
      <c r="AZ231" s="6"/>
      <c r="BA231" s="6"/>
      <c r="BB231" s="6"/>
      <c r="BC231" s="6"/>
      <c r="BD231" s="7">
        <f>ROUND(8,2)</f>
        <v>8</v>
      </c>
      <c r="BE231" s="7">
        <f>ROUND(1.87,2)</f>
        <v>1.87</v>
      </c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7">
        <f>ROUND(56,2)</f>
        <v>56</v>
      </c>
      <c r="CQ231" s="7">
        <f>ROUND(2325.19999999999,2)</f>
        <v>2325.1999999999998</v>
      </c>
      <c r="CR231" s="6"/>
      <c r="CS231" s="6"/>
      <c r="CT231" s="6"/>
      <c r="CU231" s="6"/>
      <c r="CV231" s="7">
        <f>ROUND(64574.0099999999,2)</f>
        <v>64574.01</v>
      </c>
      <c r="CW231" s="6"/>
      <c r="CX231" s="6"/>
      <c r="CY231" s="7">
        <f>ROUND(5994.67,2)</f>
        <v>5994.67</v>
      </c>
      <c r="CZ231" s="6"/>
      <c r="DA231" s="6"/>
      <c r="DB231" s="6"/>
      <c r="DC231" s="6"/>
      <c r="DD231" s="6"/>
      <c r="DE231" s="7">
        <f>ROUND(458.57,2)</f>
        <v>458.57</v>
      </c>
      <c r="DF231" s="6"/>
      <c r="DG231" s="6"/>
      <c r="DH231" s="6"/>
      <c r="DI231" s="6"/>
      <c r="DJ231" s="6"/>
      <c r="DK231" s="6"/>
      <c r="DL231" s="6"/>
      <c r="DM231" s="6"/>
      <c r="DN231" s="7">
        <f>ROUND(320.9,2)</f>
        <v>320.89999999999998</v>
      </c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7">
        <f>ROUND(786.21,2)</f>
        <v>786.21</v>
      </c>
      <c r="DZ231" s="6"/>
      <c r="EA231" s="7">
        <f>ROUND(223.09,2)</f>
        <v>223.09</v>
      </c>
      <c r="EB231" s="6"/>
      <c r="EC231" s="6"/>
      <c r="ED231" s="7">
        <f>ROUND(2215.48,2)</f>
        <v>2215.48</v>
      </c>
      <c r="EE231" s="6"/>
      <c r="EF231" s="7">
        <f>ROUND(793.199999999999,2)</f>
        <v>793.2</v>
      </c>
      <c r="EG231" s="6"/>
      <c r="EH231" s="7">
        <f>ROUND(793.199999999999,2)</f>
        <v>793.2</v>
      </c>
      <c r="EI231" s="6"/>
      <c r="EJ231" s="6"/>
      <c r="EK231" s="6"/>
      <c r="EL231" s="6"/>
      <c r="EM231" s="6"/>
      <c r="EN231" s="7">
        <f>ROUND(256.72,2)</f>
        <v>256.72000000000003</v>
      </c>
      <c r="EO231" s="7">
        <f>ROUND(61.25,2)</f>
        <v>61.25</v>
      </c>
      <c r="EP231" s="6"/>
      <c r="EQ231" s="6"/>
      <c r="ER231" s="6"/>
      <c r="ES231" s="6"/>
      <c r="ET231" s="6"/>
      <c r="EU231" s="6"/>
      <c r="EV231" s="7">
        <f>ROUND(500,2)</f>
        <v>500</v>
      </c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7">
        <f>ROUND(2000,2)</f>
        <v>2000</v>
      </c>
      <c r="FK231" s="6"/>
      <c r="FL231" s="6"/>
      <c r="FM231" s="6"/>
      <c r="FN231" s="6"/>
      <c r="FO231" s="6"/>
      <c r="FP231" s="6"/>
      <c r="FQ231" s="6"/>
      <c r="FR231" s="6"/>
      <c r="FS231" s="6"/>
      <c r="FT231" s="7">
        <f>ROUND(3000,2)</f>
        <v>3000</v>
      </c>
      <c r="FU231" s="6"/>
      <c r="FV231" s="6"/>
      <c r="FW231" s="6"/>
      <c r="FX231" s="7">
        <f>ROUND(1869.28,2)</f>
        <v>1869.28</v>
      </c>
      <c r="FY231" s="7">
        <f>ROUND(83846.58,2)</f>
        <v>83846.58</v>
      </c>
    </row>
    <row r="232" spans="1:181" x14ac:dyDescent="0.3">
      <c r="A232" s="4" t="s">
        <v>679</v>
      </c>
      <c r="B232" s="5" t="s">
        <v>1029</v>
      </c>
      <c r="C232" s="5" t="s">
        <v>181</v>
      </c>
      <c r="D232" s="5" t="s">
        <v>648</v>
      </c>
      <c r="E232" s="5" t="s">
        <v>0</v>
      </c>
      <c r="F232" s="5" t="s">
        <v>0</v>
      </c>
      <c r="G232" s="5" t="s">
        <v>183</v>
      </c>
      <c r="H232" s="8">
        <v>33.380000000000003</v>
      </c>
      <c r="I232" s="7">
        <f>ROUND(82958.18,2)</f>
        <v>82958.179999999993</v>
      </c>
      <c r="J232" s="6"/>
      <c r="K232" s="6"/>
      <c r="L232" s="6"/>
      <c r="M232" s="6"/>
      <c r="N232" s="7">
        <f>ROUND(1956.73,2)</f>
        <v>1956.73</v>
      </c>
      <c r="O232" s="6"/>
      <c r="P232" s="6"/>
      <c r="Q232" s="7">
        <f>ROUND(175.589999999999,2)</f>
        <v>175.59</v>
      </c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7">
        <f>ROUND(2.33,2)</f>
        <v>2.33</v>
      </c>
      <c r="AQ232" s="6"/>
      <c r="AR232" s="6"/>
      <c r="AS232" s="6"/>
      <c r="AT232" s="6"/>
      <c r="AU232" s="7">
        <f>ROUND(68,2)</f>
        <v>68</v>
      </c>
      <c r="AV232" s="6"/>
      <c r="AW232" s="7">
        <f>ROUND(32,2)</f>
        <v>32</v>
      </c>
      <c r="AX232" s="6"/>
      <c r="AY232" s="7">
        <f>ROUND(34.33,2)</f>
        <v>34.33</v>
      </c>
      <c r="AZ232" s="7">
        <f>ROUND(5.67,2)</f>
        <v>5.67</v>
      </c>
      <c r="BA232" s="6"/>
      <c r="BB232" s="7">
        <f>ROUND(32,2)</f>
        <v>32</v>
      </c>
      <c r="BC232" s="6"/>
      <c r="BD232" s="6"/>
      <c r="BE232" s="7">
        <f>ROUND(4.43,2)</f>
        <v>4.43</v>
      </c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7">
        <f>ROUND(24,2)</f>
        <v>24</v>
      </c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7">
        <f>ROUND(8,2)</f>
        <v>8</v>
      </c>
      <c r="CQ232" s="7">
        <f>ROUND(2343.07999999999,2)</f>
        <v>2343.08</v>
      </c>
      <c r="CR232" s="6"/>
      <c r="CS232" s="6"/>
      <c r="CT232" s="6"/>
      <c r="CU232" s="6"/>
      <c r="CV232" s="7">
        <f>ROUND(64028.76,2)</f>
        <v>64028.76</v>
      </c>
      <c r="CW232" s="6"/>
      <c r="CX232" s="6"/>
      <c r="CY232" s="7">
        <f>ROUND(8646.86,2)</f>
        <v>8646.86</v>
      </c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7">
        <f>ROUND(75.12,2)</f>
        <v>75.12</v>
      </c>
      <c r="DZ232" s="6"/>
      <c r="EA232" s="6"/>
      <c r="EB232" s="6"/>
      <c r="EC232" s="6"/>
      <c r="ED232" s="7">
        <f>ROUND(2215.48,2)</f>
        <v>2215.48</v>
      </c>
      <c r="EE232" s="6"/>
      <c r="EF232" s="7">
        <f>ROUND(1057.6,2)</f>
        <v>1057.5999999999999</v>
      </c>
      <c r="EG232" s="6"/>
      <c r="EH232" s="7">
        <f>ROUND(1124.69,2)</f>
        <v>1124.69</v>
      </c>
      <c r="EI232" s="7">
        <f>ROUND(272.93,2)</f>
        <v>272.93</v>
      </c>
      <c r="EJ232" s="6"/>
      <c r="EK232" s="7">
        <f>ROUND(1026.88,2)</f>
        <v>1026.8800000000001</v>
      </c>
      <c r="EL232" s="6"/>
      <c r="EM232" s="6"/>
      <c r="EN232" s="6"/>
      <c r="EO232" s="7">
        <f>ROUND(142.82,2)</f>
        <v>142.82</v>
      </c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7">
        <f>ROUND(1100,2)</f>
        <v>1100</v>
      </c>
      <c r="FK232" s="6"/>
      <c r="FL232" s="6"/>
      <c r="FM232" s="6"/>
      <c r="FN232" s="6"/>
      <c r="FO232" s="6"/>
      <c r="FP232" s="6"/>
      <c r="FQ232" s="6"/>
      <c r="FR232" s="6"/>
      <c r="FS232" s="6"/>
      <c r="FT232" s="7">
        <f>ROUND(3000,2)</f>
        <v>3000</v>
      </c>
      <c r="FU232" s="6"/>
      <c r="FV232" s="6"/>
      <c r="FW232" s="6"/>
      <c r="FX232" s="7">
        <f>ROUND(267.04,2)</f>
        <v>267.04000000000002</v>
      </c>
      <c r="FY232" s="7">
        <f>ROUND(82958.18,2)</f>
        <v>82958.179999999993</v>
      </c>
    </row>
    <row r="233" spans="1:181" x14ac:dyDescent="0.3">
      <c r="A233" s="4" t="s">
        <v>680</v>
      </c>
      <c r="B233" s="5" t="s">
        <v>1029</v>
      </c>
      <c r="C233" s="5" t="s">
        <v>181</v>
      </c>
      <c r="D233" s="5" t="s">
        <v>342</v>
      </c>
      <c r="E233" s="5" t="s">
        <v>0</v>
      </c>
      <c r="F233" s="5" t="s">
        <v>0</v>
      </c>
      <c r="G233" s="5" t="s">
        <v>183</v>
      </c>
      <c r="H233" s="8">
        <v>33.380000000000003</v>
      </c>
      <c r="I233" s="7">
        <f>ROUND(25618.48,2)</f>
        <v>25618.48</v>
      </c>
      <c r="J233" s="6"/>
      <c r="K233" s="6"/>
      <c r="L233" s="6"/>
      <c r="M233" s="6"/>
      <c r="N233" s="7">
        <f>ROUND(570.19,2)</f>
        <v>570.19000000000005</v>
      </c>
      <c r="O233" s="6"/>
      <c r="P233" s="6"/>
      <c r="Q233" s="7">
        <f>ROUND(3.32,2)</f>
        <v>3.32</v>
      </c>
      <c r="R233" s="6"/>
      <c r="S233" s="6"/>
      <c r="T233" s="6"/>
      <c r="U233" s="6"/>
      <c r="V233" s="7">
        <f>ROUND(4.73,2)</f>
        <v>4.7300000000000004</v>
      </c>
      <c r="W233" s="6"/>
      <c r="X233" s="6"/>
      <c r="Y233" s="6"/>
      <c r="Z233" s="6"/>
      <c r="AA233" s="6"/>
      <c r="AB233" s="6"/>
      <c r="AC233" s="6"/>
      <c r="AD233" s="6"/>
      <c r="AE233" s="7">
        <f>ROUND(26.17,2)</f>
        <v>26.17</v>
      </c>
      <c r="AF233" s="6"/>
      <c r="AG233" s="7">
        <f>ROUND(0.08,2)</f>
        <v>0.08</v>
      </c>
      <c r="AH233" s="6"/>
      <c r="AI233" s="6"/>
      <c r="AJ233" s="6"/>
      <c r="AK233" s="6"/>
      <c r="AL233" s="6"/>
      <c r="AM233" s="6"/>
      <c r="AN233" s="6"/>
      <c r="AO233" s="6"/>
      <c r="AP233" s="7">
        <f>ROUND(25.48,2)</f>
        <v>25.48</v>
      </c>
      <c r="AQ233" s="6"/>
      <c r="AR233" s="7">
        <f>ROUND(7,2)</f>
        <v>7</v>
      </c>
      <c r="AS233" s="6"/>
      <c r="AT233" s="6"/>
      <c r="AU233" s="7">
        <f>ROUND(20,2)</f>
        <v>20</v>
      </c>
      <c r="AV233" s="6"/>
      <c r="AW233" s="7">
        <f>ROUND(10,2)</f>
        <v>10</v>
      </c>
      <c r="AX233" s="6"/>
      <c r="AY233" s="7">
        <f>ROUND(20,2)</f>
        <v>20</v>
      </c>
      <c r="AZ233" s="6"/>
      <c r="BA233" s="6"/>
      <c r="BB233" s="7">
        <f>ROUND(10,2)</f>
        <v>10</v>
      </c>
      <c r="BC233" s="6"/>
      <c r="BD233" s="7">
        <f>ROUND(5.22,2)</f>
        <v>5.22</v>
      </c>
      <c r="BE233" s="7">
        <f>ROUND(3.8,2)</f>
        <v>3.8</v>
      </c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7">
        <f>ROUND(680,2)</f>
        <v>680</v>
      </c>
      <c r="BT233" s="6"/>
      <c r="BU233" s="7">
        <f>ROUND(62.22,2)</f>
        <v>62.22</v>
      </c>
      <c r="BV233" s="6"/>
      <c r="BW233" s="7">
        <f>ROUND(20,2)</f>
        <v>20</v>
      </c>
      <c r="BX233" s="6"/>
      <c r="BY233" s="7">
        <f>ROUND(15,2)</f>
        <v>15</v>
      </c>
      <c r="BZ233" s="6"/>
      <c r="CA233" s="7">
        <f>ROUND(20,2)</f>
        <v>20</v>
      </c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7">
        <f>ROUND(1503.20999999999,2)</f>
        <v>1503.21</v>
      </c>
      <c r="CR233" s="6"/>
      <c r="CS233" s="6"/>
      <c r="CT233" s="6"/>
      <c r="CU233" s="6"/>
      <c r="CV233" s="7">
        <f>ROUND(18576.2299999999,2)</f>
        <v>18576.23</v>
      </c>
      <c r="CW233" s="6"/>
      <c r="CX233" s="6"/>
      <c r="CY233" s="7">
        <f>ROUND(164.59,2)</f>
        <v>164.59</v>
      </c>
      <c r="CZ233" s="6"/>
      <c r="DA233" s="6"/>
      <c r="DB233" s="6"/>
      <c r="DC233" s="6"/>
      <c r="DD233" s="7">
        <f>ROUND(156.33,2)</f>
        <v>156.33000000000001</v>
      </c>
      <c r="DE233" s="6"/>
      <c r="DF233" s="6"/>
      <c r="DG233" s="6"/>
      <c r="DH233" s="6"/>
      <c r="DI233" s="6"/>
      <c r="DJ233" s="6"/>
      <c r="DK233" s="6"/>
      <c r="DL233" s="6"/>
      <c r="DM233" s="6"/>
      <c r="DN233" s="7">
        <f>ROUND(857.93,2)</f>
        <v>857.93</v>
      </c>
      <c r="DO233" s="6"/>
      <c r="DP233" s="7">
        <f>ROUND(4.01,2)</f>
        <v>4.01</v>
      </c>
      <c r="DQ233" s="6"/>
      <c r="DR233" s="6"/>
      <c r="DS233" s="6"/>
      <c r="DT233" s="6"/>
      <c r="DU233" s="6"/>
      <c r="DV233" s="6"/>
      <c r="DW233" s="6"/>
      <c r="DX233" s="6"/>
      <c r="DY233" s="7">
        <f>ROUND(844.09,2)</f>
        <v>844.09</v>
      </c>
      <c r="DZ233" s="6"/>
      <c r="EA233" s="7">
        <f>ROUND(350.49,2)</f>
        <v>350.49</v>
      </c>
      <c r="EB233" s="6"/>
      <c r="EC233" s="6"/>
      <c r="ED233" s="7">
        <f>ROUND(653.05,2)</f>
        <v>653.04999999999995</v>
      </c>
      <c r="EE233" s="6"/>
      <c r="EF233" s="7">
        <f>ROUND(327.35,2)</f>
        <v>327.35000000000002</v>
      </c>
      <c r="EG233" s="6"/>
      <c r="EH233" s="7">
        <f>ROUND(641.8,2)</f>
        <v>641.79999999999995</v>
      </c>
      <c r="EI233" s="6"/>
      <c r="EJ233" s="6"/>
      <c r="EK233" s="7">
        <f>ROUND(320.9,2)</f>
        <v>320.89999999999998</v>
      </c>
      <c r="EL233" s="6"/>
      <c r="EM233" s="6"/>
      <c r="EN233" s="7">
        <f>ROUND(172.52,2)</f>
        <v>172.52</v>
      </c>
      <c r="EO233" s="7">
        <f>ROUND(121.94,2)</f>
        <v>121.94</v>
      </c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7">
        <f>ROUND(802.25,2)</f>
        <v>802.25</v>
      </c>
      <c r="FG233" s="6"/>
      <c r="FH233" s="6"/>
      <c r="FI233" s="6"/>
      <c r="FJ233" s="7">
        <f>ROUND(125,2)</f>
        <v>125</v>
      </c>
      <c r="FK233" s="6"/>
      <c r="FL233" s="6"/>
      <c r="FM233" s="6"/>
      <c r="FN233" s="6"/>
      <c r="FO233" s="6"/>
      <c r="FP233" s="6"/>
      <c r="FQ233" s="6"/>
      <c r="FR233" s="6"/>
      <c r="FS233" s="6"/>
      <c r="FT233" s="7">
        <f>ROUND(1500,2)</f>
        <v>1500</v>
      </c>
      <c r="FU233" s="6"/>
      <c r="FV233" s="6"/>
      <c r="FW233" s="6"/>
      <c r="FX233" s="6"/>
      <c r="FY233" s="7">
        <f>ROUND(25618.48,2)</f>
        <v>25618.48</v>
      </c>
    </row>
    <row r="234" spans="1:181" x14ac:dyDescent="0.3">
      <c r="A234" s="4" t="s">
        <v>681</v>
      </c>
      <c r="B234" s="5" t="s">
        <v>1029</v>
      </c>
      <c r="C234" s="5" t="s">
        <v>181</v>
      </c>
      <c r="D234" s="5" t="s">
        <v>422</v>
      </c>
      <c r="E234" s="5" t="s">
        <v>0</v>
      </c>
      <c r="F234" s="5" t="s">
        <v>0</v>
      </c>
      <c r="G234" s="5" t="s">
        <v>183</v>
      </c>
      <c r="H234" s="9">
        <v>33.380000000000003</v>
      </c>
      <c r="I234" s="7">
        <f>ROUND(58982.9999999999,2)</f>
        <v>58983</v>
      </c>
      <c r="J234" s="6"/>
      <c r="K234" s="6"/>
      <c r="L234" s="6"/>
      <c r="M234" s="6"/>
      <c r="N234" s="7">
        <f>ROUND(1143.57999999999,2)</f>
        <v>1143.58</v>
      </c>
      <c r="O234" s="6"/>
      <c r="P234" s="6"/>
      <c r="Q234" s="7">
        <f>ROUND(18.4,2)</f>
        <v>18.399999999999999</v>
      </c>
      <c r="R234" s="6"/>
      <c r="S234" s="6"/>
      <c r="T234" s="6"/>
      <c r="U234" s="6"/>
      <c r="V234" s="7">
        <f>ROUND(36.3799999999999,2)</f>
        <v>36.380000000000003</v>
      </c>
      <c r="W234" s="7">
        <f>ROUND(13.27,2)</f>
        <v>13.27</v>
      </c>
      <c r="X234" s="6"/>
      <c r="Y234" s="6"/>
      <c r="Z234" s="6"/>
      <c r="AA234" s="6"/>
      <c r="AB234" s="6"/>
      <c r="AC234" s="6"/>
      <c r="AD234" s="6"/>
      <c r="AE234" s="7">
        <f>ROUND(143.5,2)</f>
        <v>143.5</v>
      </c>
      <c r="AF234" s="6"/>
      <c r="AG234" s="7">
        <f>ROUND(11.66,2)</f>
        <v>11.66</v>
      </c>
      <c r="AH234" s="6"/>
      <c r="AI234" s="6"/>
      <c r="AJ234" s="6"/>
      <c r="AK234" s="6"/>
      <c r="AL234" s="6"/>
      <c r="AM234" s="6"/>
      <c r="AN234" s="6"/>
      <c r="AO234" s="6"/>
      <c r="AP234" s="7">
        <f>ROUND(248.06,2)</f>
        <v>248.06</v>
      </c>
      <c r="AQ234" s="6"/>
      <c r="AR234" s="7">
        <f>ROUND(95.28,2)</f>
        <v>95.28</v>
      </c>
      <c r="AS234" s="6"/>
      <c r="AT234" s="6"/>
      <c r="AU234" s="7">
        <f>ROUND(49,2)</f>
        <v>49</v>
      </c>
      <c r="AV234" s="6"/>
      <c r="AW234" s="7">
        <f>ROUND(5,2)</f>
        <v>5</v>
      </c>
      <c r="AX234" s="6"/>
      <c r="AY234" s="7">
        <f>ROUND(40,2)</f>
        <v>40</v>
      </c>
      <c r="AZ234" s="6"/>
      <c r="BA234" s="6"/>
      <c r="BB234" s="6"/>
      <c r="BC234" s="6"/>
      <c r="BD234" s="7">
        <f>ROUND(8,2)</f>
        <v>8</v>
      </c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7">
        <f>ROUND(20.5,2)</f>
        <v>20.5</v>
      </c>
      <c r="BP234" s="6"/>
      <c r="BQ234" s="7">
        <f>ROUND(5.42,2)</f>
        <v>5.42</v>
      </c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7">
        <f>ROUND(1838.05,2)</f>
        <v>1838.05</v>
      </c>
      <c r="CR234" s="6"/>
      <c r="CS234" s="6"/>
      <c r="CT234" s="6"/>
      <c r="CU234" s="6"/>
      <c r="CV234" s="7">
        <f>ROUND(32011.96,2)</f>
        <v>32011.96</v>
      </c>
      <c r="CW234" s="6"/>
      <c r="CX234" s="6"/>
      <c r="CY234" s="7">
        <f>ROUND(821.85,2)</f>
        <v>821.85</v>
      </c>
      <c r="CZ234" s="6"/>
      <c r="DA234" s="6"/>
      <c r="DB234" s="6"/>
      <c r="DC234" s="6"/>
      <c r="DD234" s="7">
        <f>ROUND(1086.76,2)</f>
        <v>1086.76</v>
      </c>
      <c r="DE234" s="7">
        <f>ROUND(592.27,2)</f>
        <v>592.27</v>
      </c>
      <c r="DF234" s="6"/>
      <c r="DG234" s="6"/>
      <c r="DH234" s="6"/>
      <c r="DI234" s="6"/>
      <c r="DJ234" s="6"/>
      <c r="DK234" s="6"/>
      <c r="DL234" s="6"/>
      <c r="DM234" s="6"/>
      <c r="DN234" s="7">
        <f>ROUND(4150.52,2)</f>
        <v>4150.5200000000004</v>
      </c>
      <c r="DO234" s="6"/>
      <c r="DP234" s="7">
        <f>ROUND(520.32,2)</f>
        <v>520.32000000000005</v>
      </c>
      <c r="DQ234" s="6"/>
      <c r="DR234" s="6"/>
      <c r="DS234" s="6"/>
      <c r="DT234" s="6"/>
      <c r="DU234" s="6"/>
      <c r="DV234" s="6"/>
      <c r="DW234" s="6"/>
      <c r="DX234" s="6"/>
      <c r="DY234" s="7">
        <f>ROUND(7417.91,2)</f>
        <v>7417.91</v>
      </c>
      <c r="DZ234" s="6"/>
      <c r="EA234" s="7">
        <f>ROUND(4279.37,2)</f>
        <v>4279.37</v>
      </c>
      <c r="EB234" s="6"/>
      <c r="EC234" s="6"/>
      <c r="ED234" s="7">
        <f>ROUND(1386.27,2)</f>
        <v>1386.27</v>
      </c>
      <c r="EE234" s="6"/>
      <c r="EF234" s="7">
        <f>ROUND(136.4,2)</f>
        <v>136.4</v>
      </c>
      <c r="EG234" s="6"/>
      <c r="EH234" s="7">
        <f>ROUND(1190,2)</f>
        <v>1190</v>
      </c>
      <c r="EI234" s="6"/>
      <c r="EJ234" s="6"/>
      <c r="EK234" s="6"/>
      <c r="EL234" s="6"/>
      <c r="EM234" s="6"/>
      <c r="EN234" s="7">
        <f>ROUND(218.24,2)</f>
        <v>218.24</v>
      </c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7">
        <f>ROUND(609.88,2)</f>
        <v>609.88</v>
      </c>
      <c r="FC234" s="6"/>
      <c r="FD234" s="7">
        <f>ROUND(161.25,2)</f>
        <v>161.25</v>
      </c>
      <c r="FE234" s="6"/>
      <c r="FF234" s="6"/>
      <c r="FG234" s="6"/>
      <c r="FH234" s="6"/>
      <c r="FI234" s="6"/>
      <c r="FJ234" s="7">
        <f>ROUND(1400,2)</f>
        <v>1400</v>
      </c>
      <c r="FK234" s="6"/>
      <c r="FL234" s="6"/>
      <c r="FM234" s="6"/>
      <c r="FN234" s="6"/>
      <c r="FO234" s="6"/>
      <c r="FP234" s="6"/>
      <c r="FQ234" s="6"/>
      <c r="FR234" s="6"/>
      <c r="FS234" s="6"/>
      <c r="FT234" s="7">
        <f>ROUND(3000,2)</f>
        <v>3000</v>
      </c>
      <c r="FU234" s="6"/>
      <c r="FV234" s="6"/>
      <c r="FW234" s="6"/>
      <c r="FX234" s="6"/>
      <c r="FY234" s="7">
        <f>ROUND(58982.9999999999,2)</f>
        <v>58983</v>
      </c>
    </row>
    <row r="235" spans="1:181" x14ac:dyDescent="0.3">
      <c r="A235" s="4" t="s">
        <v>682</v>
      </c>
      <c r="B235" s="5" t="s">
        <v>1029</v>
      </c>
      <c r="C235" s="5" t="s">
        <v>236</v>
      </c>
      <c r="D235" s="5" t="s">
        <v>683</v>
      </c>
      <c r="E235" s="5" t="s">
        <v>0</v>
      </c>
      <c r="F235" s="5" t="s">
        <v>0</v>
      </c>
      <c r="G235" s="5" t="s">
        <v>649</v>
      </c>
      <c r="H235" s="8">
        <v>38.950000000000003</v>
      </c>
      <c r="I235" s="7">
        <f>ROUND(74582.65,2)</f>
        <v>74582.649999999994</v>
      </c>
      <c r="J235" s="6"/>
      <c r="K235" s="6"/>
      <c r="L235" s="7">
        <f>ROUND(704,2)</f>
        <v>704</v>
      </c>
      <c r="M235" s="7">
        <f>ROUND(0.62,2)</f>
        <v>0.62</v>
      </c>
      <c r="N235" s="6"/>
      <c r="O235" s="7">
        <f>ROUND(1296,2)</f>
        <v>1296</v>
      </c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7">
        <f>ROUND(56,2)</f>
        <v>56</v>
      </c>
      <c r="AV235" s="6"/>
      <c r="AW235" s="7">
        <f>ROUND(32,2)</f>
        <v>32</v>
      </c>
      <c r="AX235" s="6"/>
      <c r="AY235" s="7">
        <f>ROUND(40,2)</f>
        <v>40</v>
      </c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7">
        <f>ROUND(2128.62,2)</f>
        <v>2128.62</v>
      </c>
      <c r="CR235" s="6"/>
      <c r="CS235" s="6"/>
      <c r="CT235" s="7">
        <f>ROUND(26912.13,2)</f>
        <v>26912.13</v>
      </c>
      <c r="CU235" s="7">
        <f>ROUND(35.32,2)</f>
        <v>35.32</v>
      </c>
      <c r="CV235" s="6"/>
      <c r="CW235" s="7">
        <f>ROUND(38385.76,2)</f>
        <v>38385.760000000002</v>
      </c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7">
        <f>ROUND(1867.44,2)</f>
        <v>1867.44</v>
      </c>
      <c r="EE235" s="6"/>
      <c r="EF235" s="7">
        <f>ROUND(1014.72,2)</f>
        <v>1014.72</v>
      </c>
      <c r="EG235" s="6"/>
      <c r="EH235" s="7">
        <f>ROUND(1367.28,2)</f>
        <v>1367.28</v>
      </c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7">
        <f>ROUND(2000,2)</f>
        <v>2000</v>
      </c>
      <c r="FK235" s="6"/>
      <c r="FL235" s="6"/>
      <c r="FM235" s="6"/>
      <c r="FN235" s="6"/>
      <c r="FO235" s="6"/>
      <c r="FP235" s="6"/>
      <c r="FQ235" s="6"/>
      <c r="FR235" s="6"/>
      <c r="FS235" s="6"/>
      <c r="FT235" s="7">
        <f>ROUND(3000,2)</f>
        <v>3000</v>
      </c>
      <c r="FU235" s="6"/>
      <c r="FV235" s="6"/>
      <c r="FW235" s="6"/>
      <c r="FX235" s="6"/>
      <c r="FY235" s="7">
        <f>ROUND(74582.65,2)</f>
        <v>74582.649999999994</v>
      </c>
    </row>
    <row r="236" spans="1:181" ht="26.4" x14ac:dyDescent="0.3">
      <c r="A236" s="4" t="s">
        <v>684</v>
      </c>
      <c r="B236" s="5"/>
      <c r="C236" s="5" t="s">
        <v>223</v>
      </c>
      <c r="D236" s="5" t="s">
        <v>685</v>
      </c>
      <c r="E236" s="5" t="s">
        <v>0</v>
      </c>
      <c r="F236" s="5" t="s">
        <v>0</v>
      </c>
      <c r="G236" s="5" t="s">
        <v>686</v>
      </c>
      <c r="H236" s="8">
        <f>ROUND(1392.69,2)</f>
        <v>1392.69</v>
      </c>
      <c r="I236" s="7">
        <f>ROUND(77155.03,2)</f>
        <v>77155.03</v>
      </c>
      <c r="J236" s="7">
        <f>ROUND(1648,2)</f>
        <v>1648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>
        <f>ROUND(-8,2)</f>
        <v>-8</v>
      </c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7">
        <f>ROUND(8,2)</f>
        <v>8</v>
      </c>
      <c r="BX236" s="6"/>
      <c r="BY236" s="6"/>
      <c r="BZ236" s="6"/>
      <c r="CA236" s="6"/>
      <c r="CB236" s="6"/>
      <c r="CC236" s="6"/>
      <c r="CD236" s="6"/>
      <c r="CE236" s="6"/>
      <c r="CF236" s="7">
        <f>ROUND(24,2)</f>
        <v>24</v>
      </c>
      <c r="CG236" s="7">
        <f>ROUND(16,2)</f>
        <v>16</v>
      </c>
      <c r="CH236" s="7">
        <f>ROUND(56,2)</f>
        <v>56</v>
      </c>
      <c r="CI236" s="7">
        <f>ROUND(32,2)</f>
        <v>32</v>
      </c>
      <c r="CJ236" s="6"/>
      <c r="CK236" s="6"/>
      <c r="CL236" s="6"/>
      <c r="CM236" s="6"/>
      <c r="CN236" s="7">
        <f>ROUND(120,2)</f>
        <v>120</v>
      </c>
      <c r="CO236" s="6"/>
      <c r="CP236" s="6"/>
      <c r="CQ236" s="7">
        <f>ROUND(1896,2)</f>
        <v>1896</v>
      </c>
      <c r="CR236" s="7">
        <f>ROUND(69913.01,2)</f>
        <v>69913.009999999995</v>
      </c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7">
        <f>ROUND(-278.54,2)</f>
        <v>-278.54000000000002</v>
      </c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7">
        <f>ROUND(3342.46,2)</f>
        <v>3342.46</v>
      </c>
      <c r="FK236" s="6"/>
      <c r="FL236" s="6"/>
      <c r="FM236" s="7">
        <f>ROUND(557.08,2)</f>
        <v>557.08000000000004</v>
      </c>
      <c r="FN236" s="7">
        <f>ROUND(835.62,2)</f>
        <v>835.62</v>
      </c>
      <c r="FO236" s="6"/>
      <c r="FP236" s="6"/>
      <c r="FQ236" s="6"/>
      <c r="FR236" s="6"/>
      <c r="FS236" s="6"/>
      <c r="FT236" s="6"/>
      <c r="FU236" s="6"/>
      <c r="FV236" s="7">
        <f>ROUND(2785.4,2)</f>
        <v>2785.4</v>
      </c>
      <c r="FW236" s="6"/>
      <c r="FX236" s="6"/>
      <c r="FY236" s="7">
        <f>ROUND(77155.03,2)</f>
        <v>77155.03</v>
      </c>
    </row>
    <row r="237" spans="1:181" ht="26.4" x14ac:dyDescent="0.3">
      <c r="A237" s="4" t="s">
        <v>687</v>
      </c>
      <c r="B237" s="5"/>
      <c r="C237" s="5" t="s">
        <v>201</v>
      </c>
      <c r="D237" s="5" t="s">
        <v>291</v>
      </c>
      <c r="E237" s="5" t="s">
        <v>688</v>
      </c>
      <c r="F237" s="5" t="s">
        <v>0</v>
      </c>
      <c r="G237" s="5" t="s">
        <v>203</v>
      </c>
      <c r="H237" s="8">
        <f>ROUND(18,2)</f>
        <v>18</v>
      </c>
      <c r="I237" s="7">
        <f>ROUND(39421.25,2)</f>
        <v>39421.25</v>
      </c>
      <c r="J237" s="7">
        <f>ROUND(1807.75,2)</f>
        <v>1807.75</v>
      </c>
      <c r="K237" s="7">
        <f>ROUND(40.25,2)</f>
        <v>40.25</v>
      </c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7">
        <f>ROUND(40,2)</f>
        <v>40</v>
      </c>
      <c r="BX237" s="6"/>
      <c r="BY237" s="6"/>
      <c r="BZ237" s="6"/>
      <c r="CA237" s="6"/>
      <c r="CB237" s="6"/>
      <c r="CC237" s="6"/>
      <c r="CD237" s="6"/>
      <c r="CE237" s="6"/>
      <c r="CF237" s="6"/>
      <c r="CG237" s="7">
        <f>ROUND(50,2)</f>
        <v>50</v>
      </c>
      <c r="CH237" s="7">
        <f>ROUND(32,2)</f>
        <v>32</v>
      </c>
      <c r="CI237" s="7">
        <f>ROUND(32,2)</f>
        <v>32</v>
      </c>
      <c r="CJ237" s="7">
        <f>ROUND(22,2)</f>
        <v>22</v>
      </c>
      <c r="CK237" s="6"/>
      <c r="CL237" s="7">
        <f>ROUND(8,2)</f>
        <v>8</v>
      </c>
      <c r="CM237" s="6"/>
      <c r="CN237" s="7">
        <f>ROUND(40,2)</f>
        <v>40</v>
      </c>
      <c r="CO237" s="6"/>
      <c r="CP237" s="6"/>
      <c r="CQ237" s="7">
        <f>ROUND(2072,2)</f>
        <v>2072</v>
      </c>
      <c r="CR237" s="7">
        <f>ROUND(32539.5,2)</f>
        <v>32539.5</v>
      </c>
      <c r="CS237" s="7">
        <f>ROUND(1086.75,2)</f>
        <v>1086.75</v>
      </c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7">
        <f>ROUND(125,2)</f>
        <v>125</v>
      </c>
      <c r="EX237" s="6"/>
      <c r="EY237" s="6"/>
      <c r="EZ237" s="6"/>
      <c r="FA237" s="6"/>
      <c r="FB237" s="6"/>
      <c r="FC237" s="6"/>
      <c r="FD237" s="6"/>
      <c r="FE237" s="6"/>
      <c r="FF237" s="6"/>
      <c r="FG237" s="7">
        <f>ROUND(720,2)</f>
        <v>720</v>
      </c>
      <c r="FH237" s="6"/>
      <c r="FI237" s="6"/>
      <c r="FJ237" s="7">
        <f>ROUND(1440,2)</f>
        <v>1440</v>
      </c>
      <c r="FK237" s="6"/>
      <c r="FL237" s="6"/>
      <c r="FM237" s="7">
        <f>ROUND(900,2)</f>
        <v>900</v>
      </c>
      <c r="FN237" s="7">
        <f>ROUND(576,2)</f>
        <v>576</v>
      </c>
      <c r="FO237" s="7">
        <f>ROUND(576,2)</f>
        <v>576</v>
      </c>
      <c r="FP237" s="7">
        <f>ROUND(594,2)</f>
        <v>594</v>
      </c>
      <c r="FQ237" s="6"/>
      <c r="FR237" s="6"/>
      <c r="FS237" s="7">
        <f>ROUND(144,2)</f>
        <v>144</v>
      </c>
      <c r="FT237" s="6"/>
      <c r="FU237" s="6"/>
      <c r="FV237" s="7">
        <f>ROUND(720,2)</f>
        <v>720</v>
      </c>
      <c r="FW237" s="6"/>
      <c r="FX237" s="6"/>
      <c r="FY237" s="7">
        <f>ROUND(39421.25,2)</f>
        <v>39421.25</v>
      </c>
    </row>
    <row r="238" spans="1:181" x14ac:dyDescent="0.3">
      <c r="A238" s="4" t="s">
        <v>689</v>
      </c>
      <c r="B238" s="5"/>
      <c r="C238" s="5" t="s">
        <v>294</v>
      </c>
      <c r="D238" s="5" t="s">
        <v>690</v>
      </c>
      <c r="E238" s="5" t="s">
        <v>0</v>
      </c>
      <c r="F238" s="5" t="s">
        <v>0</v>
      </c>
      <c r="G238" s="5" t="s">
        <v>691</v>
      </c>
      <c r="H238" s="8">
        <f>ROUND(1426.65,2)</f>
        <v>1426.65</v>
      </c>
      <c r="I238" s="7">
        <f>ROUND(85248.5699999999,2)</f>
        <v>85248.57</v>
      </c>
      <c r="J238" s="7">
        <f>ROUND(1656,2)</f>
        <v>1656</v>
      </c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7">
        <f>ROUND(-8,2)</f>
        <v>-8</v>
      </c>
      <c r="AC238" s="7">
        <f>ROUND(5,2)</f>
        <v>5</v>
      </c>
      <c r="AD238" s="7">
        <f>ROUND(7,2)</f>
        <v>7</v>
      </c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7">
        <f>ROUND(8,2)</f>
        <v>8</v>
      </c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7">
        <f>ROUND(8,2)</f>
        <v>8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7">
        <f>ROUND(56,2)</f>
        <v>56</v>
      </c>
      <c r="CI238" s="7">
        <f>ROUND(24,2)</f>
        <v>24</v>
      </c>
      <c r="CJ238" s="6"/>
      <c r="CK238" s="6"/>
      <c r="CL238" s="6"/>
      <c r="CM238" s="6"/>
      <c r="CN238" s="7">
        <f>ROUND(184,2)</f>
        <v>184</v>
      </c>
      <c r="CO238" s="6"/>
      <c r="CP238" s="7">
        <f>ROUND(48,2)</f>
        <v>48</v>
      </c>
      <c r="CQ238" s="7">
        <f>ROUND(1988,2)</f>
        <v>1988</v>
      </c>
      <c r="CR238" s="7">
        <f>ROUND(71903.16,2)</f>
        <v>71903.16</v>
      </c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7">
        <f>ROUND(-285.33,2)</f>
        <v>-285.33</v>
      </c>
      <c r="DL238" s="7">
        <f>ROUND(1875,2)</f>
        <v>1875</v>
      </c>
      <c r="DM238" s="7">
        <f>ROUND(2625,2)</f>
        <v>2625</v>
      </c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7">
        <f>ROUND(3423.96,2)</f>
        <v>3423.96</v>
      </c>
      <c r="FK238" s="6"/>
      <c r="FL238" s="6"/>
      <c r="FM238" s="6"/>
      <c r="FN238" s="7">
        <f>ROUND(855.99,2)</f>
        <v>855.99</v>
      </c>
      <c r="FO238" s="7">
        <f>ROUND(570.66,2)</f>
        <v>570.66</v>
      </c>
      <c r="FP238" s="6"/>
      <c r="FQ238" s="6"/>
      <c r="FR238" s="6"/>
      <c r="FS238" s="6"/>
      <c r="FT238" s="6"/>
      <c r="FU238" s="6"/>
      <c r="FV238" s="7">
        <f>ROUND(2567.97,2)</f>
        <v>2567.9699999999998</v>
      </c>
      <c r="FW238" s="6"/>
      <c r="FX238" s="7">
        <f>ROUND(1712.16,2)</f>
        <v>1712.16</v>
      </c>
      <c r="FY238" s="7">
        <f>ROUND(85248.5699999999,2)</f>
        <v>85248.57</v>
      </c>
    </row>
    <row r="239" spans="1:181" x14ac:dyDescent="0.3">
      <c r="A239" s="4" t="s">
        <v>692</v>
      </c>
      <c r="B239" s="5" t="s">
        <v>1029</v>
      </c>
      <c r="C239" s="5" t="s">
        <v>181</v>
      </c>
      <c r="D239" s="5" t="s">
        <v>332</v>
      </c>
      <c r="E239" s="5" t="s">
        <v>693</v>
      </c>
      <c r="F239" s="5" t="s">
        <v>0</v>
      </c>
      <c r="G239" s="5" t="s">
        <v>183</v>
      </c>
      <c r="H239" s="8">
        <v>32.090000000000003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7">
        <f>ROUND(32,2)</f>
        <v>32</v>
      </c>
      <c r="BX239" s="6"/>
      <c r="BY239" s="6"/>
      <c r="BZ239" s="6"/>
      <c r="CA239" s="6"/>
      <c r="CB239" s="6"/>
      <c r="CC239" s="7">
        <f>ROUND(1000,2)</f>
        <v>1000</v>
      </c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7">
        <f>ROUND(1032,2)</f>
        <v>1032</v>
      </c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</row>
    <row r="240" spans="1:181" ht="26.4" x14ac:dyDescent="0.3">
      <c r="A240" s="4" t="s">
        <v>694</v>
      </c>
      <c r="B240" s="5"/>
      <c r="C240" s="5" t="s">
        <v>201</v>
      </c>
      <c r="D240" s="5" t="s">
        <v>609</v>
      </c>
      <c r="E240" s="5" t="s">
        <v>225</v>
      </c>
      <c r="F240" s="5" t="s">
        <v>0</v>
      </c>
      <c r="G240" s="5" t="s">
        <v>203</v>
      </c>
      <c r="H240" s="8">
        <f>ROUND(18,2)</f>
        <v>18</v>
      </c>
      <c r="I240" s="7">
        <f>ROUND(28161,2)</f>
        <v>28161</v>
      </c>
      <c r="J240" s="7">
        <f>ROUND(1294.25,2)</f>
        <v>1294.25</v>
      </c>
      <c r="K240" s="7">
        <f>ROUND(70.5,2)</f>
        <v>70.5</v>
      </c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7">
        <f>ROUND(24,2)</f>
        <v>24</v>
      </c>
      <c r="CG240" s="7">
        <f>ROUND(6,2)</f>
        <v>6</v>
      </c>
      <c r="CH240" s="7">
        <f>ROUND(24,2)</f>
        <v>24</v>
      </c>
      <c r="CI240" s="7">
        <f>ROUND(48,2)</f>
        <v>48</v>
      </c>
      <c r="CJ240" s="7">
        <f>ROUND(7,2)</f>
        <v>7</v>
      </c>
      <c r="CK240" s="6"/>
      <c r="CL240" s="7">
        <f>ROUND(12,2)</f>
        <v>12</v>
      </c>
      <c r="CM240" s="6"/>
      <c r="CN240" s="7">
        <f>ROUND(36,2)</f>
        <v>36</v>
      </c>
      <c r="CO240" s="6"/>
      <c r="CP240" s="7">
        <f>ROUND(4,2)</f>
        <v>4</v>
      </c>
      <c r="CQ240" s="7">
        <f>ROUND(1525.75,2)</f>
        <v>1525.75</v>
      </c>
      <c r="CR240" s="7">
        <f>ROUND(23296.5,2)</f>
        <v>23296.5</v>
      </c>
      <c r="CS240" s="7">
        <f>ROUND(1903.5,2)</f>
        <v>1903.5</v>
      </c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7">
        <f>ROUND(432,2)</f>
        <v>432</v>
      </c>
      <c r="FM240" s="7">
        <f>ROUND(108,2)</f>
        <v>108</v>
      </c>
      <c r="FN240" s="7">
        <f>ROUND(432,2)</f>
        <v>432</v>
      </c>
      <c r="FO240" s="7">
        <f>ROUND(864,2)</f>
        <v>864</v>
      </c>
      <c r="FP240" s="7">
        <f>ROUND(189,2)</f>
        <v>189</v>
      </c>
      <c r="FQ240" s="6"/>
      <c r="FR240" s="6"/>
      <c r="FS240" s="7">
        <f>ROUND(216,2)</f>
        <v>216</v>
      </c>
      <c r="FT240" s="6"/>
      <c r="FU240" s="6"/>
      <c r="FV240" s="7">
        <f>ROUND(648,2)</f>
        <v>648</v>
      </c>
      <c r="FW240" s="6"/>
      <c r="FX240" s="7">
        <f>ROUND(72,2)</f>
        <v>72</v>
      </c>
      <c r="FY240" s="7">
        <f>ROUND(28161,2)</f>
        <v>28161</v>
      </c>
    </row>
    <row r="241" spans="1:181" x14ac:dyDescent="0.3">
      <c r="A241" s="4" t="s">
        <v>695</v>
      </c>
      <c r="B241" s="5" t="s">
        <v>1029</v>
      </c>
      <c r="C241" s="5" t="s">
        <v>181</v>
      </c>
      <c r="D241" s="5" t="s">
        <v>468</v>
      </c>
      <c r="E241" s="5" t="s">
        <v>0</v>
      </c>
      <c r="F241" s="5" t="s">
        <v>0</v>
      </c>
      <c r="G241" s="5" t="s">
        <v>183</v>
      </c>
      <c r="H241" s="8">
        <v>33.380000000000003</v>
      </c>
      <c r="I241" s="7">
        <f>ROUND(15070.96,2)</f>
        <v>15070.96</v>
      </c>
      <c r="J241" s="6"/>
      <c r="K241" s="6"/>
      <c r="L241" s="6"/>
      <c r="M241" s="6"/>
      <c r="N241" s="7">
        <f>ROUND(8,2)</f>
        <v>8</v>
      </c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>
        <f>ROUND(30,2)</f>
        <v>30</v>
      </c>
      <c r="AQ241" s="6"/>
      <c r="AR241" s="6"/>
      <c r="AS241" s="6"/>
      <c r="AT241" s="6"/>
      <c r="AU241" s="7">
        <f>ROUND(18,2)</f>
        <v>18</v>
      </c>
      <c r="AV241" s="6"/>
      <c r="AW241" s="6"/>
      <c r="AX241" s="6"/>
      <c r="AY241" s="6"/>
      <c r="AZ241" s="6"/>
      <c r="BA241" s="6"/>
      <c r="BB241" s="6"/>
      <c r="BC241" s="6"/>
      <c r="BD241" s="7">
        <f>ROUND(128,2)</f>
        <v>128</v>
      </c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7">
        <f>ROUND(48,2)</f>
        <v>48</v>
      </c>
      <c r="BX241" s="6"/>
      <c r="BY241" s="6"/>
      <c r="BZ241" s="6"/>
      <c r="CA241" s="6"/>
      <c r="CB241" s="6"/>
      <c r="CC241" s="7">
        <f>ROUND(1240,2)</f>
        <v>1240</v>
      </c>
      <c r="CD241" s="7">
        <f>ROUND(16,2)</f>
        <v>16</v>
      </c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7">
        <f>ROUND(160,2)</f>
        <v>160</v>
      </c>
      <c r="CQ241" s="7">
        <f>ROUND(1648,2)</f>
        <v>1648</v>
      </c>
      <c r="CR241" s="6"/>
      <c r="CS241" s="6"/>
      <c r="CT241" s="6"/>
      <c r="CU241" s="6"/>
      <c r="CV241" s="7">
        <f>ROUND(269.68,2)</f>
        <v>269.68</v>
      </c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7">
        <f>ROUND(1011.3,2)</f>
        <v>1011.3</v>
      </c>
      <c r="DZ241" s="6"/>
      <c r="EA241" s="6"/>
      <c r="EB241" s="6"/>
      <c r="EC241" s="6"/>
      <c r="ED241" s="7">
        <f>ROUND(601.5,2)</f>
        <v>601.5</v>
      </c>
      <c r="EE241" s="6"/>
      <c r="EF241" s="6"/>
      <c r="EG241" s="6"/>
      <c r="EH241" s="6"/>
      <c r="EI241" s="6"/>
      <c r="EJ241" s="6"/>
      <c r="EK241" s="6"/>
      <c r="EL241" s="6"/>
      <c r="EM241" s="6"/>
      <c r="EN241" s="7">
        <f>ROUND(4255.52,2)</f>
        <v>4255.5200000000004</v>
      </c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7">
        <f>ROUND(539.36,2)</f>
        <v>539.36</v>
      </c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7">
        <f>ROUND(3000,2)</f>
        <v>3000</v>
      </c>
      <c r="FU241" s="6"/>
      <c r="FV241" s="6"/>
      <c r="FW241" s="6"/>
      <c r="FX241" s="7">
        <f>ROUND(5393.6,2)</f>
        <v>5393.6</v>
      </c>
      <c r="FY241" s="7">
        <f>ROUND(15070.96,2)</f>
        <v>15070.96</v>
      </c>
    </row>
    <row r="242" spans="1:181" x14ac:dyDescent="0.3">
      <c r="A242" s="4" t="s">
        <v>696</v>
      </c>
      <c r="B242" s="5" t="s">
        <v>1029</v>
      </c>
      <c r="C242" s="5" t="s">
        <v>181</v>
      </c>
      <c r="D242" s="5" t="s">
        <v>697</v>
      </c>
      <c r="E242" s="5" t="s">
        <v>0</v>
      </c>
      <c r="F242" s="5" t="s">
        <v>0</v>
      </c>
      <c r="G242" s="5" t="s">
        <v>183</v>
      </c>
      <c r="H242" s="8">
        <v>33.880000000000003</v>
      </c>
      <c r="I242" s="7">
        <f>ROUND(76112.0899999999,2)</f>
        <v>76112.09</v>
      </c>
      <c r="J242" s="6"/>
      <c r="K242" s="6"/>
      <c r="L242" s="6"/>
      <c r="M242" s="6"/>
      <c r="N242" s="7">
        <f>ROUND(10.34,2)</f>
        <v>10.34</v>
      </c>
      <c r="O242" s="6"/>
      <c r="P242" s="6"/>
      <c r="Q242" s="7">
        <f>ROUND(8.12999999999999,2)</f>
        <v>8.1300000000000008</v>
      </c>
      <c r="R242" s="6"/>
      <c r="S242" s="6"/>
      <c r="T242" s="6"/>
      <c r="U242" s="6"/>
      <c r="V242" s="6"/>
      <c r="W242" s="7">
        <f>ROUND(5.25,2)</f>
        <v>5.25</v>
      </c>
      <c r="X242" s="6"/>
      <c r="Y242" s="6"/>
      <c r="Z242" s="6"/>
      <c r="AA242" s="6"/>
      <c r="AB242" s="6"/>
      <c r="AC242" s="6"/>
      <c r="AD242" s="6"/>
      <c r="AE242" s="7">
        <f>ROUND(581.569999999999,2)</f>
        <v>581.57000000000005</v>
      </c>
      <c r="AF242" s="6"/>
      <c r="AG242" s="7">
        <f>ROUND(24.1199999999999,2)</f>
        <v>24.12</v>
      </c>
      <c r="AH242" s="6"/>
      <c r="AI242" s="6"/>
      <c r="AJ242" s="6"/>
      <c r="AK242" s="6"/>
      <c r="AL242" s="6"/>
      <c r="AM242" s="6"/>
      <c r="AN242" s="6"/>
      <c r="AO242" s="6"/>
      <c r="AP242" s="7">
        <f>ROUND(5.5,2)</f>
        <v>5.5</v>
      </c>
      <c r="AQ242" s="6"/>
      <c r="AR242" s="7">
        <f>ROUND(20.16,2)</f>
        <v>20.16</v>
      </c>
      <c r="AS242" s="6"/>
      <c r="AT242" s="6"/>
      <c r="AU242" s="7">
        <f>ROUND(68,2)</f>
        <v>68</v>
      </c>
      <c r="AV242" s="6"/>
      <c r="AW242" s="7">
        <f>ROUND(24,2)</f>
        <v>24</v>
      </c>
      <c r="AX242" s="6"/>
      <c r="AY242" s="7">
        <f>ROUND(135,2)</f>
        <v>135</v>
      </c>
      <c r="AZ242" s="7">
        <f>ROUND(1,2)</f>
        <v>1</v>
      </c>
      <c r="BA242" s="6"/>
      <c r="BB242" s="7">
        <f>ROUND(32,2)</f>
        <v>32</v>
      </c>
      <c r="BC242" s="6"/>
      <c r="BD242" s="7">
        <f>ROUND(8,2)</f>
        <v>8</v>
      </c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7">
        <f>ROUND(1235.14,2)</f>
        <v>1235.1400000000001</v>
      </c>
      <c r="BP242" s="7">
        <f>ROUND(15.92,2)</f>
        <v>15.92</v>
      </c>
      <c r="BQ242" s="6"/>
      <c r="BR242" s="6"/>
      <c r="BS242" s="7">
        <f>ROUND(3.43,2)</f>
        <v>3.43</v>
      </c>
      <c r="BT242" s="7">
        <f>ROUND(0.85,2)</f>
        <v>0.85</v>
      </c>
      <c r="BU242" s="7">
        <f>ROUND(8,2)</f>
        <v>8</v>
      </c>
      <c r="BV242" s="7">
        <f>ROUND(0.92,2)</f>
        <v>0.92</v>
      </c>
      <c r="BW242" s="6"/>
      <c r="BX242" s="6"/>
      <c r="BY242" s="7">
        <f>ROUND(8,2)</f>
        <v>8</v>
      </c>
      <c r="BZ242" s="6"/>
      <c r="CA242" s="7">
        <f>ROUND(17.33,2)</f>
        <v>17.329999999999998</v>
      </c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7">
        <f>ROUND(8,2)</f>
        <v>8</v>
      </c>
      <c r="CQ242" s="7">
        <f>ROUND(2220.66,2)</f>
        <v>2220.66</v>
      </c>
      <c r="CR242" s="6"/>
      <c r="CS242" s="6"/>
      <c r="CT242" s="6"/>
      <c r="CU242" s="6"/>
      <c r="CV242" s="7">
        <f>ROUND(333.36,2)</f>
        <v>333.36</v>
      </c>
      <c r="CW242" s="6"/>
      <c r="CX242" s="6"/>
      <c r="CY242" s="7">
        <f>ROUND(414.09,2)</f>
        <v>414.09</v>
      </c>
      <c r="CZ242" s="6"/>
      <c r="DA242" s="6"/>
      <c r="DB242" s="6"/>
      <c r="DC242" s="6"/>
      <c r="DD242" s="6"/>
      <c r="DE242" s="7">
        <f>ROUND(260.27,2)</f>
        <v>260.27</v>
      </c>
      <c r="DF242" s="6"/>
      <c r="DG242" s="6"/>
      <c r="DH242" s="6"/>
      <c r="DI242" s="6"/>
      <c r="DJ242" s="6"/>
      <c r="DK242" s="6"/>
      <c r="DL242" s="6"/>
      <c r="DM242" s="6"/>
      <c r="DN242" s="7">
        <f>ROUND(19045.69,2)</f>
        <v>19045.689999999999</v>
      </c>
      <c r="DO242" s="6"/>
      <c r="DP242" s="7">
        <f>ROUND(1205.05,2)</f>
        <v>1205.05</v>
      </c>
      <c r="DQ242" s="6"/>
      <c r="DR242" s="6"/>
      <c r="DS242" s="6"/>
      <c r="DT242" s="6"/>
      <c r="DU242" s="6"/>
      <c r="DV242" s="6"/>
      <c r="DW242" s="6"/>
      <c r="DX242" s="6"/>
      <c r="DY242" s="7">
        <f>ROUND(182.6,2)</f>
        <v>182.6</v>
      </c>
      <c r="DZ242" s="6"/>
      <c r="EA242" s="7">
        <f>ROUND(988.649999999999,2)</f>
        <v>988.65</v>
      </c>
      <c r="EB242" s="6"/>
      <c r="EC242" s="6"/>
      <c r="ED242" s="7">
        <f>ROUND(2218.12,2)</f>
        <v>2218.12</v>
      </c>
      <c r="EE242" s="6"/>
      <c r="EF242" s="7">
        <f>ROUND(770.16,2)</f>
        <v>770.16</v>
      </c>
      <c r="EG242" s="6"/>
      <c r="EH242" s="7">
        <f>ROUND(4370.55,2)</f>
        <v>4370.55</v>
      </c>
      <c r="EI242" s="7">
        <f>ROUND(48.14,2)</f>
        <v>48.14</v>
      </c>
      <c r="EJ242" s="6"/>
      <c r="EK242" s="7">
        <f>ROUND(1042.24,2)</f>
        <v>1042.24</v>
      </c>
      <c r="EL242" s="6"/>
      <c r="EM242" s="6"/>
      <c r="EN242" s="7">
        <f>ROUND(256.72,2)</f>
        <v>256.72000000000003</v>
      </c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7">
        <f>ROUND(40207.5399999999,2)</f>
        <v>40207.54</v>
      </c>
      <c r="FC242" s="7">
        <f>ROUND(774.23,2)</f>
        <v>774.23</v>
      </c>
      <c r="FD242" s="6"/>
      <c r="FE242" s="6"/>
      <c r="FF242" s="6"/>
      <c r="FG242" s="6"/>
      <c r="FH242" s="6"/>
      <c r="FI242" s="6"/>
      <c r="FJ242" s="7">
        <f>ROUND(725,2)</f>
        <v>725</v>
      </c>
      <c r="FK242" s="6"/>
      <c r="FL242" s="6"/>
      <c r="FM242" s="6"/>
      <c r="FN242" s="6"/>
      <c r="FO242" s="6"/>
      <c r="FP242" s="6"/>
      <c r="FQ242" s="6"/>
      <c r="FR242" s="6"/>
      <c r="FS242" s="6"/>
      <c r="FT242" s="7">
        <f>ROUND(3000,2)</f>
        <v>3000</v>
      </c>
      <c r="FU242" s="6"/>
      <c r="FV242" s="6"/>
      <c r="FW242" s="6"/>
      <c r="FX242" s="7">
        <f>ROUND(269.68,2)</f>
        <v>269.68</v>
      </c>
      <c r="FY242" s="7">
        <f>ROUND(76112.0899999999,2)</f>
        <v>76112.09</v>
      </c>
    </row>
    <row r="243" spans="1:181" x14ac:dyDescent="0.3">
      <c r="A243" s="4" t="s">
        <v>698</v>
      </c>
      <c r="B243" s="5" t="s">
        <v>1029</v>
      </c>
      <c r="C243" s="5" t="s">
        <v>181</v>
      </c>
      <c r="D243" s="5" t="s">
        <v>268</v>
      </c>
      <c r="E243" s="5" t="s">
        <v>0</v>
      </c>
      <c r="F243" s="5" t="s">
        <v>0</v>
      </c>
      <c r="G243" s="5" t="s">
        <v>183</v>
      </c>
      <c r="H243" s="9">
        <v>31.71</v>
      </c>
      <c r="I243" s="7">
        <f>ROUND(24486.4,2)</f>
        <v>24486.400000000001</v>
      </c>
      <c r="J243" s="6"/>
      <c r="K243" s="6"/>
      <c r="L243" s="6"/>
      <c r="M243" s="6"/>
      <c r="N243" s="7">
        <f>ROUND(416.16,2)</f>
        <v>416.16</v>
      </c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7">
        <f>ROUND(107.43,2)</f>
        <v>107.43</v>
      </c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7">
        <f>ROUND(20,2)</f>
        <v>20</v>
      </c>
      <c r="AV243" s="6"/>
      <c r="AW243" s="6"/>
      <c r="AX243" s="6"/>
      <c r="AY243" s="6"/>
      <c r="AZ243" s="6"/>
      <c r="BA243" s="6"/>
      <c r="BB243" s="7">
        <f>ROUND(15,2)</f>
        <v>15</v>
      </c>
      <c r="BC243" s="6"/>
      <c r="BD243" s="7">
        <f>ROUND(389.239999999999,2)</f>
        <v>389.24</v>
      </c>
      <c r="BE243" s="6"/>
      <c r="BF243" s="7">
        <f>ROUND(14.69,2)</f>
        <v>14.69</v>
      </c>
      <c r="BG243" s="6"/>
      <c r="BH243" s="6"/>
      <c r="BI243" s="7">
        <f>ROUND(24.53,2)</f>
        <v>24.53</v>
      </c>
      <c r="BJ243" s="7">
        <f>ROUND(14.8,2)</f>
        <v>14.8</v>
      </c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7">
        <f>ROUND(1001.84999999999,2)</f>
        <v>1001.85</v>
      </c>
      <c r="CR243" s="6"/>
      <c r="CS243" s="6"/>
      <c r="CT243" s="6"/>
      <c r="CU243" s="6"/>
      <c r="CV243" s="7">
        <f>ROUND(11023.37,2)</f>
        <v>11023.37</v>
      </c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7">
        <f>ROUND(2891.06,2)</f>
        <v>2891.06</v>
      </c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7">
        <f>ROUND(501.999999999999,2)</f>
        <v>502</v>
      </c>
      <c r="EE243" s="6"/>
      <c r="EF243" s="6"/>
      <c r="EG243" s="6"/>
      <c r="EH243" s="6"/>
      <c r="EI243" s="6"/>
      <c r="EJ243" s="6"/>
      <c r="EK243" s="7">
        <f>ROUND(404.849999999999,2)</f>
        <v>404.85</v>
      </c>
      <c r="EL243" s="6"/>
      <c r="EM243" s="6"/>
      <c r="EN243" s="7">
        <f>ROUND(6811.71,2)</f>
        <v>6811.71</v>
      </c>
      <c r="EO243" s="6"/>
      <c r="EP243" s="7">
        <f>ROUND(385.62,2)</f>
        <v>385.62</v>
      </c>
      <c r="EQ243" s="6"/>
      <c r="ER243" s="6"/>
      <c r="ES243" s="6"/>
      <c r="ET243" s="7">
        <f>ROUND(429.28,2)</f>
        <v>429.28</v>
      </c>
      <c r="EU243" s="7">
        <f>ROUND(388.51,2)</f>
        <v>388.51</v>
      </c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7">
        <f>ROUND(150,2)</f>
        <v>150</v>
      </c>
      <c r="FK243" s="6"/>
      <c r="FL243" s="6"/>
      <c r="FM243" s="6"/>
      <c r="FN243" s="6"/>
      <c r="FO243" s="6"/>
      <c r="FP243" s="6"/>
      <c r="FQ243" s="6"/>
      <c r="FR243" s="6"/>
      <c r="FS243" s="6"/>
      <c r="FT243" s="7">
        <f>ROUND(1500,2)</f>
        <v>1500</v>
      </c>
      <c r="FU243" s="6"/>
      <c r="FV243" s="6"/>
      <c r="FW243" s="6"/>
      <c r="FX243" s="6"/>
      <c r="FY243" s="7">
        <f>ROUND(24486.4,2)</f>
        <v>24486.400000000001</v>
      </c>
    </row>
    <row r="244" spans="1:181" x14ac:dyDescent="0.3">
      <c r="A244" s="4" t="s">
        <v>699</v>
      </c>
      <c r="B244" s="5"/>
      <c r="C244" s="5" t="s">
        <v>311</v>
      </c>
      <c r="D244" s="5" t="s">
        <v>700</v>
      </c>
      <c r="E244" s="5" t="s">
        <v>0</v>
      </c>
      <c r="F244" s="5" t="s">
        <v>0</v>
      </c>
      <c r="G244" s="5" t="s">
        <v>701</v>
      </c>
      <c r="H244" s="8">
        <f>ROUND(30.9,2)</f>
        <v>30.9</v>
      </c>
      <c r="I244" s="7">
        <f>ROUND(88671.77,2)</f>
        <v>88671.77</v>
      </c>
      <c r="J244" s="7">
        <f>ROUND(1896,2)</f>
        <v>1896</v>
      </c>
      <c r="K244" s="7">
        <f>ROUND(405,2)</f>
        <v>405</v>
      </c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7">
        <f>ROUND(8,2)</f>
        <v>8</v>
      </c>
      <c r="BX244" s="6"/>
      <c r="BY244" s="6"/>
      <c r="BZ244" s="6"/>
      <c r="CA244" s="6"/>
      <c r="CB244" s="6"/>
      <c r="CC244" s="6"/>
      <c r="CD244" s="6"/>
      <c r="CE244" s="6"/>
      <c r="CF244" s="6"/>
      <c r="CG244" s="7">
        <f>ROUND(50,2)</f>
        <v>50</v>
      </c>
      <c r="CH244" s="7">
        <f>ROUND(56,2)</f>
        <v>56</v>
      </c>
      <c r="CI244" s="7">
        <f>ROUND(40,2)</f>
        <v>40</v>
      </c>
      <c r="CJ244" s="6"/>
      <c r="CK244" s="6"/>
      <c r="CL244" s="7">
        <f>ROUND(24,2)</f>
        <v>24</v>
      </c>
      <c r="CM244" s="6"/>
      <c r="CN244" s="7">
        <f>ROUND(80,2)</f>
        <v>80</v>
      </c>
      <c r="CO244" s="6"/>
      <c r="CP244" s="6"/>
      <c r="CQ244" s="7">
        <f>ROUND(2559,2)</f>
        <v>2559</v>
      </c>
      <c r="CR244" s="7">
        <f>ROUND(58586.4,2)</f>
        <v>58586.400000000001</v>
      </c>
      <c r="CS244" s="7">
        <f>ROUND(18771.7699999999,2)</f>
        <v>18771.77</v>
      </c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7">
        <f>ROUND(375,2)</f>
        <v>375</v>
      </c>
      <c r="EX244" s="6"/>
      <c r="EY244" s="6"/>
      <c r="EZ244" s="6"/>
      <c r="FA244" s="6"/>
      <c r="FB244" s="6"/>
      <c r="FC244" s="6"/>
      <c r="FD244" s="6"/>
      <c r="FE244" s="6"/>
      <c r="FF244" s="6"/>
      <c r="FG244" s="7">
        <f>ROUND(247.2,2)</f>
        <v>247.2</v>
      </c>
      <c r="FH244" s="6"/>
      <c r="FI244" s="6"/>
      <c r="FJ244" s="7">
        <f>ROUND(2966.4,2)</f>
        <v>2966.4</v>
      </c>
      <c r="FK244" s="6"/>
      <c r="FL244" s="6"/>
      <c r="FM244" s="7">
        <f>ROUND(1545,2)</f>
        <v>1545</v>
      </c>
      <c r="FN244" s="7">
        <f>ROUND(1730.4,2)</f>
        <v>1730.4</v>
      </c>
      <c r="FO244" s="7">
        <f>ROUND(1236,2)</f>
        <v>1236</v>
      </c>
      <c r="FP244" s="6"/>
      <c r="FQ244" s="6"/>
      <c r="FR244" s="6"/>
      <c r="FS244" s="7">
        <f>ROUND(741.599999999999,2)</f>
        <v>741.6</v>
      </c>
      <c r="FT244" s="6"/>
      <c r="FU244" s="6"/>
      <c r="FV244" s="7">
        <f>ROUND(2472,2)</f>
        <v>2472</v>
      </c>
      <c r="FW244" s="6"/>
      <c r="FX244" s="6"/>
      <c r="FY244" s="7">
        <f>ROUND(88671.77,2)</f>
        <v>88671.77</v>
      </c>
    </row>
    <row r="245" spans="1:181" x14ac:dyDescent="0.3">
      <c r="A245" s="4" t="s">
        <v>702</v>
      </c>
      <c r="B245" s="5" t="s">
        <v>1029</v>
      </c>
      <c r="C245" s="5" t="s">
        <v>181</v>
      </c>
      <c r="D245" s="5" t="s">
        <v>332</v>
      </c>
      <c r="E245" s="5" t="s">
        <v>0</v>
      </c>
      <c r="F245" s="5" t="s">
        <v>0</v>
      </c>
      <c r="G245" s="5" t="s">
        <v>183</v>
      </c>
      <c r="H245" s="8">
        <v>33.880000000000003</v>
      </c>
      <c r="I245" s="7">
        <f>ROUND(78723.5199999999,2)</f>
        <v>78723.520000000004</v>
      </c>
      <c r="J245" s="6"/>
      <c r="K245" s="6"/>
      <c r="L245" s="6"/>
      <c r="M245" s="6"/>
      <c r="N245" s="7">
        <f>ROUND(1501.65999999999,2)</f>
        <v>1501.66</v>
      </c>
      <c r="O245" s="6"/>
      <c r="P245" s="6"/>
      <c r="Q245" s="7">
        <f>ROUND(74.16,2)</f>
        <v>74.16</v>
      </c>
      <c r="R245" s="6"/>
      <c r="S245" s="6"/>
      <c r="T245" s="6"/>
      <c r="U245" s="6"/>
      <c r="V245" s="7">
        <f>ROUND(8.3,2)</f>
        <v>8.3000000000000007</v>
      </c>
      <c r="W245" s="6"/>
      <c r="X245" s="6"/>
      <c r="Y245" s="6"/>
      <c r="Z245" s="6"/>
      <c r="AA245" s="6"/>
      <c r="AB245" s="6"/>
      <c r="AC245" s="6"/>
      <c r="AD245" s="6"/>
      <c r="AE245" s="7">
        <f>ROUND(77,2)</f>
        <v>77</v>
      </c>
      <c r="AF245" s="6"/>
      <c r="AG245" s="7">
        <f>ROUND(4,2)</f>
        <v>4</v>
      </c>
      <c r="AH245" s="6"/>
      <c r="AI245" s="6"/>
      <c r="AJ245" s="6"/>
      <c r="AK245" s="6"/>
      <c r="AL245" s="6"/>
      <c r="AM245" s="6"/>
      <c r="AN245" s="6"/>
      <c r="AO245" s="6"/>
      <c r="AP245" s="7">
        <f>ROUND(267.76,2)</f>
        <v>267.76</v>
      </c>
      <c r="AQ245" s="6"/>
      <c r="AR245" s="7">
        <f>ROUND(0.45,2)</f>
        <v>0.45</v>
      </c>
      <c r="AS245" s="6"/>
      <c r="AT245" s="6"/>
      <c r="AU245" s="7">
        <f>ROUND(66.83,2)</f>
        <v>66.83</v>
      </c>
      <c r="AV245" s="7">
        <f>ROUND(7.16,2)</f>
        <v>7.16</v>
      </c>
      <c r="AW245" s="7">
        <f>ROUND(40,2)</f>
        <v>40</v>
      </c>
      <c r="AX245" s="6"/>
      <c r="AY245" s="7">
        <f>ROUND(110.85,2)</f>
        <v>110.85</v>
      </c>
      <c r="AZ245" s="7">
        <f>ROUND(9.15,2)</f>
        <v>9.15</v>
      </c>
      <c r="BA245" s="6"/>
      <c r="BB245" s="7">
        <f>ROUND(10,2)</f>
        <v>10</v>
      </c>
      <c r="BC245" s="6"/>
      <c r="BD245" s="7">
        <f>ROUND(8,2)</f>
        <v>8</v>
      </c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7">
        <f>ROUND(19,2)</f>
        <v>19</v>
      </c>
      <c r="BP245" s="6"/>
      <c r="BQ245" s="7">
        <f>ROUND(8,2)</f>
        <v>8</v>
      </c>
      <c r="BR245" s="6"/>
      <c r="BS245" s="6"/>
      <c r="BT245" s="6"/>
      <c r="BU245" s="6"/>
      <c r="BV245" s="6"/>
      <c r="BW245" s="6"/>
      <c r="BX245" s="6"/>
      <c r="BY245" s="7">
        <f>ROUND(16,2)</f>
        <v>16</v>
      </c>
      <c r="BZ245" s="6"/>
      <c r="CA245" s="7">
        <f>ROUND(8,2)</f>
        <v>8</v>
      </c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7">
        <f>ROUND(8,2)</f>
        <v>8</v>
      </c>
      <c r="CQ245" s="7">
        <f>ROUND(2244.31999999999,2)</f>
        <v>2244.3200000000002</v>
      </c>
      <c r="CR245" s="6"/>
      <c r="CS245" s="6"/>
      <c r="CT245" s="6"/>
      <c r="CU245" s="6"/>
      <c r="CV245" s="7">
        <f>ROUND(49003.5499999999,2)</f>
        <v>49003.55</v>
      </c>
      <c r="CW245" s="6"/>
      <c r="CX245" s="6"/>
      <c r="CY245" s="7">
        <f>ROUND(3640.42,2)</f>
        <v>3640.42</v>
      </c>
      <c r="CZ245" s="6"/>
      <c r="DA245" s="6"/>
      <c r="DB245" s="6"/>
      <c r="DC245" s="6"/>
      <c r="DD245" s="7">
        <f>ROUND(267.59,2)</f>
        <v>267.58999999999997</v>
      </c>
      <c r="DE245" s="6"/>
      <c r="DF245" s="6"/>
      <c r="DG245" s="6"/>
      <c r="DH245" s="6"/>
      <c r="DI245" s="6"/>
      <c r="DJ245" s="6"/>
      <c r="DK245" s="6"/>
      <c r="DL245" s="6"/>
      <c r="DM245" s="6"/>
      <c r="DN245" s="7">
        <f>ROUND(2471.31,2)</f>
        <v>2471.31</v>
      </c>
      <c r="DO245" s="6"/>
      <c r="DP245" s="7">
        <f>ROUND(192.54,2)</f>
        <v>192.54</v>
      </c>
      <c r="DQ245" s="6"/>
      <c r="DR245" s="6"/>
      <c r="DS245" s="6"/>
      <c r="DT245" s="6"/>
      <c r="DU245" s="6"/>
      <c r="DV245" s="6"/>
      <c r="DW245" s="6"/>
      <c r="DX245" s="6"/>
      <c r="DY245" s="7">
        <f>ROUND(8692.55,2)</f>
        <v>8692.5499999999993</v>
      </c>
      <c r="DZ245" s="6"/>
      <c r="EA245" s="7">
        <f>ROUND(22.06,2)</f>
        <v>22.06</v>
      </c>
      <c r="EB245" s="6"/>
      <c r="EC245" s="6"/>
      <c r="ED245" s="7">
        <f>ROUND(2171.05,2)</f>
        <v>2171.0500000000002</v>
      </c>
      <c r="EE245" s="7">
        <f>ROUND(354.99,2)</f>
        <v>354.99</v>
      </c>
      <c r="EF245" s="7">
        <f>ROUND(1293.92,2)</f>
        <v>1293.92</v>
      </c>
      <c r="EG245" s="6"/>
      <c r="EH245" s="7">
        <f>ROUND(3608.78,2)</f>
        <v>3608.78</v>
      </c>
      <c r="EI245" s="7">
        <f>ROUND(443.669999999999,2)</f>
        <v>443.67</v>
      </c>
      <c r="EJ245" s="6"/>
      <c r="EK245" s="7">
        <f>ROUND(320.9,2)</f>
        <v>320.89999999999998</v>
      </c>
      <c r="EL245" s="6"/>
      <c r="EM245" s="6"/>
      <c r="EN245" s="7">
        <f>ROUND(256.72,2)</f>
        <v>256.72000000000003</v>
      </c>
      <c r="EO245" s="6"/>
      <c r="EP245" s="6"/>
      <c r="EQ245" s="6"/>
      <c r="ER245" s="6"/>
      <c r="ES245" s="6"/>
      <c r="ET245" s="6"/>
      <c r="EU245" s="6"/>
      <c r="EV245" s="7">
        <f>ROUND(500,2)</f>
        <v>500</v>
      </c>
      <c r="EW245" s="6"/>
      <c r="EX245" s="6"/>
      <c r="EY245" s="6"/>
      <c r="EZ245" s="6"/>
      <c r="FA245" s="6"/>
      <c r="FB245" s="7">
        <f>ROUND(609.71,2)</f>
        <v>609.71</v>
      </c>
      <c r="FC245" s="6"/>
      <c r="FD245" s="7">
        <f>ROUND(256.72,2)</f>
        <v>256.72000000000003</v>
      </c>
      <c r="FE245" s="6"/>
      <c r="FF245" s="6"/>
      <c r="FG245" s="6"/>
      <c r="FH245" s="6"/>
      <c r="FI245" s="6"/>
      <c r="FJ245" s="7">
        <f>ROUND(1350,2)</f>
        <v>1350</v>
      </c>
      <c r="FK245" s="6"/>
      <c r="FL245" s="6"/>
      <c r="FM245" s="6"/>
      <c r="FN245" s="6"/>
      <c r="FO245" s="6"/>
      <c r="FP245" s="6"/>
      <c r="FQ245" s="6"/>
      <c r="FR245" s="6"/>
      <c r="FS245" s="6"/>
      <c r="FT245" s="7">
        <f t="shared" ref="FT245:FT251" si="4">ROUND(3000,2)</f>
        <v>3000</v>
      </c>
      <c r="FU245" s="6"/>
      <c r="FV245" s="6"/>
      <c r="FW245" s="6"/>
      <c r="FX245" s="7">
        <f>ROUND(267.04,2)</f>
        <v>267.04000000000002</v>
      </c>
      <c r="FY245" s="7">
        <f>ROUND(78723.5199999999,2)</f>
        <v>78723.520000000004</v>
      </c>
    </row>
    <row r="246" spans="1:181" x14ac:dyDescent="0.3">
      <c r="A246" s="4" t="s">
        <v>703</v>
      </c>
      <c r="B246" s="5" t="s">
        <v>1029</v>
      </c>
      <c r="C246" s="5" t="s">
        <v>181</v>
      </c>
      <c r="D246" s="5" t="s">
        <v>704</v>
      </c>
      <c r="E246" s="5" t="s">
        <v>0</v>
      </c>
      <c r="F246" s="5" t="s">
        <v>0</v>
      </c>
      <c r="G246" s="5" t="s">
        <v>183</v>
      </c>
      <c r="H246" s="8">
        <v>34.04</v>
      </c>
      <c r="I246" s="7">
        <f>ROUND(109797.77,2)</f>
        <v>109797.77</v>
      </c>
      <c r="J246" s="6"/>
      <c r="K246" s="6"/>
      <c r="L246" s="6"/>
      <c r="M246" s="6"/>
      <c r="N246" s="7">
        <f>ROUND(481.84,2)</f>
        <v>481.84</v>
      </c>
      <c r="O246" s="6"/>
      <c r="P246" s="6"/>
      <c r="Q246" s="7">
        <f>ROUND(203.28,2)</f>
        <v>203.28</v>
      </c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>
        <f>ROUND(1413.69999999999,2)</f>
        <v>1413.7</v>
      </c>
      <c r="AF246" s="6"/>
      <c r="AG246" s="7">
        <f>ROUND(422.14,2)</f>
        <v>422.14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7">
        <f>ROUND(64,2)</f>
        <v>64</v>
      </c>
      <c r="AV246" s="7">
        <f>ROUND(8,2)</f>
        <v>8</v>
      </c>
      <c r="AW246" s="7">
        <f>ROUND(16,2)</f>
        <v>16</v>
      </c>
      <c r="AX246" s="7">
        <f>ROUND(16,2)</f>
        <v>16</v>
      </c>
      <c r="AY246" s="7">
        <f>ROUND(146.16,2)</f>
        <v>146.16</v>
      </c>
      <c r="AZ246" s="7">
        <f>ROUND(31.84,2)</f>
        <v>31.84</v>
      </c>
      <c r="BA246" s="6"/>
      <c r="BB246" s="6"/>
      <c r="BC246" s="6"/>
      <c r="BD246" s="7">
        <f>ROUND(8,2)</f>
        <v>8</v>
      </c>
      <c r="BE246" s="7">
        <f>ROUND(2.3,2)</f>
        <v>2.2999999999999998</v>
      </c>
      <c r="BF246" s="6"/>
      <c r="BG246" s="7">
        <f>ROUND(13.22,2)</f>
        <v>13.22</v>
      </c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7">
        <f>ROUND(1.71,2)</f>
        <v>1.71</v>
      </c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7">
        <f>ROUND(64,2)</f>
        <v>64</v>
      </c>
      <c r="CQ246" s="7">
        <f>ROUND(2892.18999999999,2)</f>
        <v>2892.19</v>
      </c>
      <c r="CR246" s="6"/>
      <c r="CS246" s="6"/>
      <c r="CT246" s="6"/>
      <c r="CU246" s="6"/>
      <c r="CV246" s="7">
        <f>ROUND(15586.79,2)</f>
        <v>15586.79</v>
      </c>
      <c r="CW246" s="6"/>
      <c r="CX246" s="6"/>
      <c r="CY246" s="7">
        <f>ROUND(9839.38,2)</f>
        <v>9839.3799999999992</v>
      </c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7">
        <f>ROUND(46229.0099999999,2)</f>
        <v>46229.01</v>
      </c>
      <c r="DO246" s="6"/>
      <c r="DP246" s="7">
        <f>ROUND(20710.9,2)</f>
        <v>20710.900000000001</v>
      </c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7">
        <f>ROUND(2084.72,2)</f>
        <v>2084.7199999999998</v>
      </c>
      <c r="EE246" s="7">
        <f>ROUND(396.64,2)</f>
        <v>396.64</v>
      </c>
      <c r="EF246" s="7">
        <f>ROUND(521.12,2)</f>
        <v>521.12</v>
      </c>
      <c r="EG246" s="7">
        <f>ROUND(781.68,2)</f>
        <v>781.68</v>
      </c>
      <c r="EH246" s="7">
        <f>ROUND(4739.5,2)</f>
        <v>4739.5</v>
      </c>
      <c r="EI246" s="7">
        <f>ROUND(1574.71,2)</f>
        <v>1574.71</v>
      </c>
      <c r="EJ246" s="6"/>
      <c r="EK246" s="6"/>
      <c r="EL246" s="6"/>
      <c r="EM246" s="6"/>
      <c r="EN246" s="7">
        <f>ROUND(256.72,2)</f>
        <v>256.72000000000003</v>
      </c>
      <c r="EO246" s="7">
        <f>ROUND(73.81,2)</f>
        <v>73.81</v>
      </c>
      <c r="EP246" s="6"/>
      <c r="EQ246" s="7">
        <f>ROUND(424.23,2)</f>
        <v>424.23</v>
      </c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7">
        <f>ROUND(1400,2)</f>
        <v>1400</v>
      </c>
      <c r="FK246" s="6"/>
      <c r="FL246" s="6"/>
      <c r="FM246" s="6"/>
      <c r="FN246" s="6"/>
      <c r="FO246" s="6"/>
      <c r="FP246" s="6"/>
      <c r="FQ246" s="6"/>
      <c r="FR246" s="6"/>
      <c r="FS246" s="6"/>
      <c r="FT246" s="7">
        <f t="shared" si="4"/>
        <v>3000</v>
      </c>
      <c r="FU246" s="6"/>
      <c r="FV246" s="6"/>
      <c r="FW246" s="6"/>
      <c r="FX246" s="7">
        <f>ROUND(2178.56,2)</f>
        <v>2178.56</v>
      </c>
      <c r="FY246" s="7">
        <f>ROUND(109797.77,2)</f>
        <v>109797.77</v>
      </c>
    </row>
    <row r="247" spans="1:181" x14ac:dyDescent="0.3">
      <c r="A247" s="4" t="s">
        <v>705</v>
      </c>
      <c r="B247" s="5" t="s">
        <v>1029</v>
      </c>
      <c r="C247" s="5" t="s">
        <v>181</v>
      </c>
      <c r="D247" s="5" t="s">
        <v>547</v>
      </c>
      <c r="E247" s="5" t="s">
        <v>0</v>
      </c>
      <c r="F247" s="5" t="s">
        <v>0</v>
      </c>
      <c r="G247" s="5" t="s">
        <v>183</v>
      </c>
      <c r="H247" s="8">
        <v>33.880000000000003</v>
      </c>
      <c r="I247" s="7">
        <f>ROUND(69033.2,2)</f>
        <v>69033.2</v>
      </c>
      <c r="J247" s="6"/>
      <c r="K247" s="6"/>
      <c r="L247" s="6"/>
      <c r="M247" s="6"/>
      <c r="N247" s="7">
        <f>ROUND(1080.56,2)</f>
        <v>1080.56</v>
      </c>
      <c r="O247" s="6"/>
      <c r="P247" s="6"/>
      <c r="Q247" s="7">
        <f>ROUND(67.08,2)</f>
        <v>67.08</v>
      </c>
      <c r="R247" s="6"/>
      <c r="S247" s="6"/>
      <c r="T247" s="6"/>
      <c r="U247" s="6"/>
      <c r="V247" s="7">
        <f>ROUND(8,2)</f>
        <v>8</v>
      </c>
      <c r="W247" s="6"/>
      <c r="X247" s="7">
        <f>ROUND(2.41,2)</f>
        <v>2.41</v>
      </c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7">
        <f>ROUND(45.11,2)</f>
        <v>45.11</v>
      </c>
      <c r="AQ247" s="6"/>
      <c r="AR247" s="6"/>
      <c r="AS247" s="6"/>
      <c r="AT247" s="6"/>
      <c r="AU247" s="7">
        <f>ROUND(71.33,2)</f>
        <v>71.33</v>
      </c>
      <c r="AV247" s="7">
        <f>ROUND(0.66,2)</f>
        <v>0.66</v>
      </c>
      <c r="AW247" s="7">
        <f>ROUND(32.75,2)</f>
        <v>32.75</v>
      </c>
      <c r="AX247" s="7">
        <f>ROUND(7.25,2)</f>
        <v>7.25</v>
      </c>
      <c r="AY247" s="7">
        <f>ROUND(95.7,2)</f>
        <v>95.7</v>
      </c>
      <c r="AZ247" s="7">
        <f>ROUND(8.3,2)</f>
        <v>8.3000000000000007</v>
      </c>
      <c r="BA247" s="6"/>
      <c r="BB247" s="7">
        <f>ROUND(8,2)</f>
        <v>8</v>
      </c>
      <c r="BC247" s="6"/>
      <c r="BD247" s="7">
        <f>ROUND(23.83,2)</f>
        <v>23.83</v>
      </c>
      <c r="BE247" s="6"/>
      <c r="BF247" s="7">
        <f>ROUND(1.17,2)</f>
        <v>1.17</v>
      </c>
      <c r="BG247" s="7">
        <f>ROUND(24,2)</f>
        <v>24</v>
      </c>
      <c r="BH247" s="6"/>
      <c r="BI247" s="6"/>
      <c r="BJ247" s="6"/>
      <c r="BK247" s="7">
        <f>ROUND(400.059999999999,2)</f>
        <v>400.06</v>
      </c>
      <c r="BL247" s="7">
        <f>ROUND(15.44,2)</f>
        <v>15.44</v>
      </c>
      <c r="BM247" s="6"/>
      <c r="BN247" s="6"/>
      <c r="BO247" s="6"/>
      <c r="BP247" s="6"/>
      <c r="BQ247" s="6"/>
      <c r="BR247" s="6"/>
      <c r="BS247" s="6"/>
      <c r="BT247" s="7">
        <f>ROUND(0.72,2)</f>
        <v>0.72</v>
      </c>
      <c r="BU247" s="6"/>
      <c r="BV247" s="6"/>
      <c r="BW247" s="6"/>
      <c r="BX247" s="6"/>
      <c r="BY247" s="7">
        <f>ROUND(8,2)</f>
        <v>8</v>
      </c>
      <c r="BZ247" s="6"/>
      <c r="CA247" s="6"/>
      <c r="CB247" s="7">
        <f>ROUND(425.52,2)</f>
        <v>425.52</v>
      </c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7">
        <f>ROUND(48,2)</f>
        <v>48</v>
      </c>
      <c r="CQ247" s="7">
        <f>ROUND(2373.89,2)</f>
        <v>2373.89</v>
      </c>
      <c r="CR247" s="6"/>
      <c r="CS247" s="6"/>
      <c r="CT247" s="6"/>
      <c r="CU247" s="6"/>
      <c r="CV247" s="7">
        <f>ROUND(35158.07,2)</f>
        <v>35158.07</v>
      </c>
      <c r="CW247" s="6"/>
      <c r="CX247" s="6"/>
      <c r="CY247" s="7">
        <f>ROUND(3250.75,2)</f>
        <v>3250.75</v>
      </c>
      <c r="CZ247" s="6"/>
      <c r="DA247" s="6"/>
      <c r="DB247" s="6"/>
      <c r="DC247" s="6"/>
      <c r="DD247" s="7">
        <f>ROUND(265.6,2)</f>
        <v>265.60000000000002</v>
      </c>
      <c r="DE247" s="6"/>
      <c r="DF247" s="7">
        <f>ROUND(77.33,2)</f>
        <v>77.33</v>
      </c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7">
        <f>ROUND(1447.58,2)</f>
        <v>1447.58</v>
      </c>
      <c r="DZ247" s="6"/>
      <c r="EA247" s="6"/>
      <c r="EB247" s="6"/>
      <c r="EC247" s="6"/>
      <c r="ED247" s="7">
        <f>ROUND(2321.7,2)</f>
        <v>2321.6999999999998</v>
      </c>
      <c r="EE247" s="7">
        <f>ROUND(32.72,2)</f>
        <v>32.72</v>
      </c>
      <c r="EF247" s="7">
        <f>ROUND(1058.62,2)</f>
        <v>1058.6199999999999</v>
      </c>
      <c r="EG247" s="7">
        <f>ROUND(348.98,2)</f>
        <v>348.98</v>
      </c>
      <c r="EH247" s="7">
        <f>ROUND(3093.76,2)</f>
        <v>3093.76</v>
      </c>
      <c r="EI247" s="7">
        <f>ROUND(411.47,2)</f>
        <v>411.47</v>
      </c>
      <c r="EJ247" s="6"/>
      <c r="EK247" s="7">
        <f>ROUND(264.4,2)</f>
        <v>264.39999999999998</v>
      </c>
      <c r="EL247" s="6"/>
      <c r="EM247" s="6"/>
      <c r="EN247" s="7">
        <f>ROUND(779.9,2)</f>
        <v>779.9</v>
      </c>
      <c r="EO247" s="6"/>
      <c r="EP247" s="7">
        <f>ROUND(58,2)</f>
        <v>58</v>
      </c>
      <c r="EQ247" s="7">
        <f>ROUND(801.12,2)</f>
        <v>801.12</v>
      </c>
      <c r="ER247" s="6"/>
      <c r="ES247" s="6"/>
      <c r="ET247" s="6"/>
      <c r="EU247" s="6"/>
      <c r="EV247" s="6"/>
      <c r="EW247" s="6"/>
      <c r="EX247" s="7">
        <f>ROUND(13008.56,2)</f>
        <v>13008.56</v>
      </c>
      <c r="EY247" s="7">
        <f>ROUND(745.46,2)</f>
        <v>745.46</v>
      </c>
      <c r="EZ247" s="6"/>
      <c r="FA247" s="6"/>
      <c r="FB247" s="6"/>
      <c r="FC247" s="6"/>
      <c r="FD247" s="6"/>
      <c r="FE247" s="6"/>
      <c r="FF247" s="6"/>
      <c r="FG247" s="6"/>
      <c r="FH247" s="7">
        <f>ROUND(-93.06,2)</f>
        <v>-93.06</v>
      </c>
      <c r="FI247" s="6"/>
      <c r="FJ247" s="7">
        <f>ROUND(1400,2)</f>
        <v>1400</v>
      </c>
      <c r="FK247" s="6"/>
      <c r="FL247" s="6"/>
      <c r="FM247" s="6"/>
      <c r="FN247" s="6"/>
      <c r="FO247" s="6"/>
      <c r="FP247" s="6"/>
      <c r="FQ247" s="6"/>
      <c r="FR247" s="6"/>
      <c r="FS247" s="6"/>
      <c r="FT247" s="7">
        <f t="shared" si="4"/>
        <v>3000</v>
      </c>
      <c r="FU247" s="6"/>
      <c r="FV247" s="6"/>
      <c r="FW247" s="6"/>
      <c r="FX247" s="7">
        <f>ROUND(1602.24,2)</f>
        <v>1602.24</v>
      </c>
      <c r="FY247" s="7">
        <f>ROUND(69033.2,2)</f>
        <v>69033.2</v>
      </c>
    </row>
    <row r="248" spans="1:181" x14ac:dyDescent="0.3">
      <c r="A248" s="4" t="s">
        <v>706</v>
      </c>
      <c r="B248" s="5" t="s">
        <v>1029</v>
      </c>
      <c r="C248" s="5" t="s">
        <v>181</v>
      </c>
      <c r="D248" s="5" t="s">
        <v>276</v>
      </c>
      <c r="E248" s="5" t="s">
        <v>0</v>
      </c>
      <c r="F248" s="5" t="s">
        <v>0</v>
      </c>
      <c r="G248" s="5" t="s">
        <v>183</v>
      </c>
      <c r="H248" s="8">
        <v>33.380000000000003</v>
      </c>
      <c r="I248" s="7">
        <f>ROUND(84372.1999999999,2)</f>
        <v>84372.2</v>
      </c>
      <c r="J248" s="6"/>
      <c r="K248" s="6"/>
      <c r="L248" s="6"/>
      <c r="M248" s="6"/>
      <c r="N248" s="7">
        <f>ROUND(1302.72999999999,2)</f>
        <v>1302.73</v>
      </c>
      <c r="O248" s="6"/>
      <c r="P248" s="6"/>
      <c r="Q248" s="7">
        <f>ROUND(167.83,2)</f>
        <v>167.83</v>
      </c>
      <c r="R248" s="6"/>
      <c r="S248" s="6"/>
      <c r="T248" s="6"/>
      <c r="U248" s="6"/>
      <c r="V248" s="7">
        <f>ROUND(17.03,2)</f>
        <v>17.03</v>
      </c>
      <c r="W248" s="7">
        <f>ROUND(0.48,2)</f>
        <v>0.48</v>
      </c>
      <c r="X248" s="6"/>
      <c r="Y248" s="7">
        <f>ROUND(0.15,2)</f>
        <v>0.15</v>
      </c>
      <c r="Z248" s="6"/>
      <c r="AA248" s="6"/>
      <c r="AB248" s="6"/>
      <c r="AC248" s="6"/>
      <c r="AD248" s="6"/>
      <c r="AE248" s="7">
        <f>ROUND(345.39,2)</f>
        <v>345.39</v>
      </c>
      <c r="AF248" s="6"/>
      <c r="AG248" s="7">
        <f>ROUND(48.51,2)</f>
        <v>48.51</v>
      </c>
      <c r="AH248" s="6"/>
      <c r="AI248" s="6"/>
      <c r="AJ248" s="6"/>
      <c r="AK248" s="6"/>
      <c r="AL248" s="6"/>
      <c r="AM248" s="6"/>
      <c r="AN248" s="6"/>
      <c r="AO248" s="6"/>
      <c r="AP248" s="7">
        <f>ROUND(238.4,2)</f>
        <v>238.4</v>
      </c>
      <c r="AQ248" s="6"/>
      <c r="AR248" s="7">
        <f>ROUND(12.58,2)</f>
        <v>12.58</v>
      </c>
      <c r="AS248" s="6"/>
      <c r="AT248" s="6"/>
      <c r="AU248" s="7">
        <f>ROUND(62,2)</f>
        <v>62</v>
      </c>
      <c r="AV248" s="7">
        <f>ROUND(8,2)</f>
        <v>8</v>
      </c>
      <c r="AW248" s="7">
        <f>ROUND(31.65,2)</f>
        <v>31.65</v>
      </c>
      <c r="AX248" s="7">
        <f>ROUND(2.35,2)</f>
        <v>2.35</v>
      </c>
      <c r="AY248" s="7">
        <f>ROUND(44,2)</f>
        <v>44</v>
      </c>
      <c r="AZ248" s="6"/>
      <c r="BA248" s="6"/>
      <c r="BB248" s="7">
        <f>ROUND(42,2)</f>
        <v>42</v>
      </c>
      <c r="BC248" s="6"/>
      <c r="BD248" s="7">
        <f>ROUND(8,2)</f>
        <v>8</v>
      </c>
      <c r="BE248" s="7">
        <f>ROUND(1.25,2)</f>
        <v>1.25</v>
      </c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7">
        <f>ROUND(10,2)</f>
        <v>10</v>
      </c>
      <c r="BR248" s="6"/>
      <c r="BS248" s="7">
        <f>ROUND(40,2)</f>
        <v>40</v>
      </c>
      <c r="BT248" s="7">
        <f>ROUND(2.02,2)</f>
        <v>2.02</v>
      </c>
      <c r="BU248" s="6"/>
      <c r="BV248" s="6"/>
      <c r="BW248" s="6"/>
      <c r="BX248" s="6"/>
      <c r="BY248" s="6"/>
      <c r="BZ248" s="6"/>
      <c r="CA248" s="7">
        <f>ROUND(16,2)</f>
        <v>16</v>
      </c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7">
        <f>ROUND(2400.36999999999,2)</f>
        <v>2400.37</v>
      </c>
      <c r="CR248" s="6"/>
      <c r="CS248" s="6"/>
      <c r="CT248" s="6"/>
      <c r="CU248" s="6"/>
      <c r="CV248" s="7">
        <f>ROUND(42472.9999999999,2)</f>
        <v>42473</v>
      </c>
      <c r="CW248" s="6"/>
      <c r="CX248" s="6"/>
      <c r="CY248" s="7">
        <f>ROUND(8177.04999999999,2)</f>
        <v>8177.05</v>
      </c>
      <c r="CZ248" s="6"/>
      <c r="DA248" s="6"/>
      <c r="DB248" s="6"/>
      <c r="DC248" s="6"/>
      <c r="DD248" s="7">
        <f>ROUND(546.49,2)</f>
        <v>546.49</v>
      </c>
      <c r="DE248" s="7">
        <f>ROUND(23.1,2)</f>
        <v>23.1</v>
      </c>
      <c r="DF248" s="6"/>
      <c r="DG248" s="7">
        <f>ROUND(7.22,2)</f>
        <v>7.22</v>
      </c>
      <c r="DH248" s="6"/>
      <c r="DI248" s="6"/>
      <c r="DJ248" s="6"/>
      <c r="DK248" s="6"/>
      <c r="DL248" s="6"/>
      <c r="DM248" s="6"/>
      <c r="DN248" s="7">
        <f>ROUND(11365.57,2)</f>
        <v>11365.57</v>
      </c>
      <c r="DO248" s="6"/>
      <c r="DP248" s="7">
        <f>ROUND(2384.16,2)</f>
        <v>2384.16</v>
      </c>
      <c r="DQ248" s="6"/>
      <c r="DR248" s="6"/>
      <c r="DS248" s="6"/>
      <c r="DT248" s="6"/>
      <c r="DU248" s="6"/>
      <c r="DV248" s="6"/>
      <c r="DW248" s="6"/>
      <c r="DX248" s="6"/>
      <c r="DY248" s="7">
        <f>ROUND(7763.71,2)</f>
        <v>7763.71</v>
      </c>
      <c r="DZ248" s="6"/>
      <c r="EA248" s="7">
        <f>ROUND(624.16,2)</f>
        <v>624.16</v>
      </c>
      <c r="EB248" s="6"/>
      <c r="EC248" s="6"/>
      <c r="ED248" s="7">
        <f>ROUND(2015.26,2)</f>
        <v>2015.26</v>
      </c>
      <c r="EE248" s="7">
        <f>ROUND(396.64,2)</f>
        <v>396.64</v>
      </c>
      <c r="EF248" s="7">
        <f>ROUND(1031.00999999999,2)</f>
        <v>1031.01</v>
      </c>
      <c r="EG248" s="7">
        <f>ROUND(113.12,2)</f>
        <v>113.12</v>
      </c>
      <c r="EH248" s="7">
        <f>ROUND(1427.32,2)</f>
        <v>1427.32</v>
      </c>
      <c r="EI248" s="6"/>
      <c r="EJ248" s="6"/>
      <c r="EK248" s="7">
        <f>ROUND(1355.46,2)</f>
        <v>1355.46</v>
      </c>
      <c r="EL248" s="6"/>
      <c r="EM248" s="6"/>
      <c r="EN248" s="7">
        <f>ROUND(256.72,2)</f>
        <v>256.72000000000003</v>
      </c>
      <c r="EO248" s="7">
        <f>ROUND(41.31,2)</f>
        <v>41.31</v>
      </c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7">
        <f>ROUND(320.9,2)</f>
        <v>320.89999999999998</v>
      </c>
      <c r="FE248" s="6"/>
      <c r="FF248" s="6"/>
      <c r="FG248" s="6"/>
      <c r="FH248" s="6"/>
      <c r="FI248" s="6"/>
      <c r="FJ248" s="7">
        <f>ROUND(1050,2)</f>
        <v>1050</v>
      </c>
      <c r="FK248" s="6"/>
      <c r="FL248" s="6"/>
      <c r="FM248" s="6"/>
      <c r="FN248" s="6"/>
      <c r="FO248" s="6"/>
      <c r="FP248" s="6"/>
      <c r="FQ248" s="6"/>
      <c r="FR248" s="6"/>
      <c r="FS248" s="6"/>
      <c r="FT248" s="7">
        <f t="shared" si="4"/>
        <v>3000</v>
      </c>
      <c r="FU248" s="6"/>
      <c r="FV248" s="6"/>
      <c r="FW248" s="6"/>
      <c r="FX248" s="6"/>
      <c r="FY248" s="7">
        <f>ROUND(84372.1999999999,2)</f>
        <v>84372.2</v>
      </c>
    </row>
    <row r="249" spans="1:181" x14ac:dyDescent="0.3">
      <c r="A249" s="4" t="s">
        <v>707</v>
      </c>
      <c r="B249" s="5" t="s">
        <v>1029</v>
      </c>
      <c r="C249" s="5" t="s">
        <v>181</v>
      </c>
      <c r="D249" s="5" t="s">
        <v>468</v>
      </c>
      <c r="E249" s="5" t="s">
        <v>0</v>
      </c>
      <c r="F249" s="5" t="s">
        <v>0</v>
      </c>
      <c r="G249" s="5" t="s">
        <v>183</v>
      </c>
      <c r="H249" s="8">
        <v>33.880000000000003</v>
      </c>
      <c r="I249" s="7">
        <f>ROUND(97054.8999999999,2)</f>
        <v>97054.9</v>
      </c>
      <c r="J249" s="6"/>
      <c r="K249" s="6"/>
      <c r="L249" s="6"/>
      <c r="M249" s="6"/>
      <c r="N249" s="7">
        <f>ROUND(1660.05,2)</f>
        <v>1660.05</v>
      </c>
      <c r="O249" s="6"/>
      <c r="P249" s="6"/>
      <c r="Q249" s="7">
        <f>ROUND(301.82,2)</f>
        <v>301.82</v>
      </c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7">
        <f>ROUND(63,2)</f>
        <v>63</v>
      </c>
      <c r="AV249" s="7">
        <f>ROUND(5,2)</f>
        <v>5</v>
      </c>
      <c r="AW249" s="7">
        <f>ROUND(27.48,2)</f>
        <v>27.48</v>
      </c>
      <c r="AX249" s="7">
        <f>ROUND(4.52,2)</f>
        <v>4.5199999999999996</v>
      </c>
      <c r="AY249" s="7">
        <f>ROUND(90.66,2)</f>
        <v>90.66</v>
      </c>
      <c r="AZ249" s="7">
        <f>ROUND(21.34,2)</f>
        <v>21.34</v>
      </c>
      <c r="BA249" s="6"/>
      <c r="BB249" s="7">
        <f>ROUND(32,2)</f>
        <v>32</v>
      </c>
      <c r="BC249" s="6"/>
      <c r="BD249" s="7">
        <f>ROUND(8,2)</f>
        <v>8</v>
      </c>
      <c r="BE249" s="7">
        <f>ROUND(3.15,2)</f>
        <v>3.15</v>
      </c>
      <c r="BF249" s="6"/>
      <c r="BG249" s="6"/>
      <c r="BH249" s="6"/>
      <c r="BI249" s="6"/>
      <c r="BJ249" s="6"/>
      <c r="BK249" s="6"/>
      <c r="BL249" s="6"/>
      <c r="BM249" s="6"/>
      <c r="BN249" s="6"/>
      <c r="BO249" s="7">
        <f>ROUND(272,2)</f>
        <v>272</v>
      </c>
      <c r="BP249" s="7">
        <f>ROUND(90.65,2)</f>
        <v>90.65</v>
      </c>
      <c r="BQ249" s="6"/>
      <c r="BR249" s="6"/>
      <c r="BS249" s="6"/>
      <c r="BT249" s="7">
        <f>ROUND(2.3,2)</f>
        <v>2.2999999999999998</v>
      </c>
      <c r="BU249" s="6"/>
      <c r="BV249" s="6"/>
      <c r="BW249" s="6"/>
      <c r="BX249" s="6"/>
      <c r="BY249" s="7">
        <f>ROUND(8,2)</f>
        <v>8</v>
      </c>
      <c r="BZ249" s="6"/>
      <c r="CA249" s="7">
        <f>ROUND(16,2)</f>
        <v>16</v>
      </c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7">
        <f>ROUND(56,2)</f>
        <v>56</v>
      </c>
      <c r="CQ249" s="7">
        <f>ROUND(2661.97,2)</f>
        <v>2661.97</v>
      </c>
      <c r="CR249" s="6"/>
      <c r="CS249" s="6"/>
      <c r="CT249" s="6"/>
      <c r="CU249" s="6"/>
      <c r="CV249" s="7">
        <f>ROUND(54366.4499999999,2)</f>
        <v>54366.45</v>
      </c>
      <c r="CW249" s="6"/>
      <c r="CX249" s="6"/>
      <c r="CY249" s="7">
        <f>ROUND(14909.33,2)</f>
        <v>14909.33</v>
      </c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7">
        <f>ROUND(2052.87,2)</f>
        <v>2052.87</v>
      </c>
      <c r="EE249" s="7">
        <f>ROUND(247.9,2)</f>
        <v>247.9</v>
      </c>
      <c r="EF249" s="7">
        <f>ROUND(881.83,2)</f>
        <v>881.83</v>
      </c>
      <c r="EG249" s="7">
        <f>ROUND(217.57,2)</f>
        <v>217.57</v>
      </c>
      <c r="EH249" s="7">
        <f>ROUND(2924.63,2)</f>
        <v>2924.63</v>
      </c>
      <c r="EI249" s="7">
        <f>ROUND(1027.2,2)</f>
        <v>1027.2</v>
      </c>
      <c r="EJ249" s="6"/>
      <c r="EK249" s="7">
        <f>ROUND(1034.56,2)</f>
        <v>1034.56</v>
      </c>
      <c r="EL249" s="6"/>
      <c r="EM249" s="6"/>
      <c r="EN249" s="7">
        <f>ROUND(256.72,2)</f>
        <v>256.72000000000003</v>
      </c>
      <c r="EO249" s="7">
        <f>ROUND(156.16,2)</f>
        <v>156.16</v>
      </c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7">
        <f>ROUND(8728.48,2)</f>
        <v>8728.48</v>
      </c>
      <c r="FC249" s="7">
        <f>ROUND(4363.44,2)</f>
        <v>4363.4399999999996</v>
      </c>
      <c r="FD249" s="6"/>
      <c r="FE249" s="6"/>
      <c r="FF249" s="6"/>
      <c r="FG249" s="6"/>
      <c r="FH249" s="6"/>
      <c r="FI249" s="6"/>
      <c r="FJ249" s="7">
        <f>ROUND(1000,2)</f>
        <v>1000</v>
      </c>
      <c r="FK249" s="6"/>
      <c r="FL249" s="6"/>
      <c r="FM249" s="6"/>
      <c r="FN249" s="6"/>
      <c r="FO249" s="6"/>
      <c r="FP249" s="6"/>
      <c r="FQ249" s="6"/>
      <c r="FR249" s="6"/>
      <c r="FS249" s="6"/>
      <c r="FT249" s="7">
        <f t="shared" si="4"/>
        <v>3000</v>
      </c>
      <c r="FU249" s="6"/>
      <c r="FV249" s="6"/>
      <c r="FW249" s="6"/>
      <c r="FX249" s="7">
        <f>ROUND(1887.76,2)</f>
        <v>1887.76</v>
      </c>
      <c r="FY249" s="7">
        <f>ROUND(97054.8999999999,2)</f>
        <v>97054.9</v>
      </c>
    </row>
    <row r="250" spans="1:181" x14ac:dyDescent="0.3">
      <c r="A250" s="4" t="s">
        <v>708</v>
      </c>
      <c r="B250" s="5" t="s">
        <v>1029</v>
      </c>
      <c r="C250" s="5" t="s">
        <v>181</v>
      </c>
      <c r="D250" s="5" t="s">
        <v>370</v>
      </c>
      <c r="E250" s="5" t="s">
        <v>0</v>
      </c>
      <c r="F250" s="5" t="s">
        <v>0</v>
      </c>
      <c r="G250" s="5" t="s">
        <v>183</v>
      </c>
      <c r="H250" s="8">
        <v>33.880000000000003</v>
      </c>
      <c r="I250" s="7">
        <f>ROUND(97362.89,2)</f>
        <v>97362.89</v>
      </c>
      <c r="J250" s="6"/>
      <c r="K250" s="6"/>
      <c r="L250" s="6"/>
      <c r="M250" s="6"/>
      <c r="N250" s="7">
        <f>ROUND(1928.44999999999,2)</f>
        <v>1928.45</v>
      </c>
      <c r="O250" s="6"/>
      <c r="P250" s="6"/>
      <c r="Q250" s="7">
        <f>ROUND(420.9,2)</f>
        <v>420.9</v>
      </c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7">
        <f>ROUND(60.97,2)</f>
        <v>60.97</v>
      </c>
      <c r="AV250" s="7">
        <f>ROUND(7.03,2)</f>
        <v>7.03</v>
      </c>
      <c r="AW250" s="7">
        <f>ROUND(19.94,2)</f>
        <v>19.940000000000001</v>
      </c>
      <c r="AX250" s="7">
        <f>ROUND(12.06,2)</f>
        <v>12.06</v>
      </c>
      <c r="AY250" s="7">
        <f>ROUND(113,2)</f>
        <v>113</v>
      </c>
      <c r="AZ250" s="7">
        <f>ROUND(7,2)</f>
        <v>7</v>
      </c>
      <c r="BA250" s="6"/>
      <c r="BB250" s="7">
        <f>ROUND(8,2)</f>
        <v>8</v>
      </c>
      <c r="BC250" s="6"/>
      <c r="BD250" s="7">
        <f>ROUND(8,2)</f>
        <v>8</v>
      </c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7">
        <f>ROUND(0.6,2)</f>
        <v>0.6</v>
      </c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7">
        <f>ROUND(32,2)</f>
        <v>32</v>
      </c>
      <c r="CQ250" s="7">
        <f>ROUND(2617.95,2)</f>
        <v>2617.9499999999998</v>
      </c>
      <c r="CR250" s="6"/>
      <c r="CS250" s="6"/>
      <c r="CT250" s="6"/>
      <c r="CU250" s="6"/>
      <c r="CV250" s="7">
        <f>ROUND(63123.6199999999,2)</f>
        <v>63123.62</v>
      </c>
      <c r="CW250" s="6"/>
      <c r="CX250" s="6"/>
      <c r="CY250" s="7">
        <f>ROUND(20603.02,2)</f>
        <v>20603.02</v>
      </c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7">
        <f>ROUND(1983.13999999999,2)</f>
        <v>1983.14</v>
      </c>
      <c r="EE250" s="7">
        <f>ROUND(348.55,2)</f>
        <v>348.55</v>
      </c>
      <c r="EF250" s="7">
        <f>ROUND(652.21,2)</f>
        <v>652.21</v>
      </c>
      <c r="EG250" s="7">
        <f>ROUND(600.51,2)</f>
        <v>600.51</v>
      </c>
      <c r="EH250" s="7">
        <f>ROUND(3665.52999999999,2)</f>
        <v>3665.53</v>
      </c>
      <c r="EI250" s="7">
        <f>ROUND(347.03,2)</f>
        <v>347.03</v>
      </c>
      <c r="EJ250" s="6"/>
      <c r="EK250" s="7">
        <f>ROUND(264.4,2)</f>
        <v>264.39999999999998</v>
      </c>
      <c r="EL250" s="6"/>
      <c r="EM250" s="6"/>
      <c r="EN250" s="7">
        <f>ROUND(256.72,2)</f>
        <v>256.72000000000003</v>
      </c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7">
        <f>ROUND(1450,2)</f>
        <v>1450</v>
      </c>
      <c r="FK250" s="6"/>
      <c r="FL250" s="6"/>
      <c r="FM250" s="6"/>
      <c r="FN250" s="6"/>
      <c r="FO250" s="6"/>
      <c r="FP250" s="6"/>
      <c r="FQ250" s="6"/>
      <c r="FR250" s="6"/>
      <c r="FS250" s="6"/>
      <c r="FT250" s="7">
        <f t="shared" si="4"/>
        <v>3000</v>
      </c>
      <c r="FU250" s="6"/>
      <c r="FV250" s="6"/>
      <c r="FW250" s="6"/>
      <c r="FX250" s="7">
        <f>ROUND(1068.16,2)</f>
        <v>1068.1600000000001</v>
      </c>
      <c r="FY250" s="7">
        <f>ROUND(97362.89,2)</f>
        <v>97362.89</v>
      </c>
    </row>
    <row r="251" spans="1:181" x14ac:dyDescent="0.3">
      <c r="A251" s="4" t="s">
        <v>709</v>
      </c>
      <c r="B251" s="5" t="s">
        <v>1029</v>
      </c>
      <c r="C251" s="5" t="s">
        <v>181</v>
      </c>
      <c r="D251" s="5" t="s">
        <v>349</v>
      </c>
      <c r="E251" s="5" t="s">
        <v>710</v>
      </c>
      <c r="F251" s="5" t="s">
        <v>0</v>
      </c>
      <c r="G251" s="5" t="s">
        <v>183</v>
      </c>
      <c r="H251" s="8">
        <v>33.380000000000003</v>
      </c>
      <c r="I251" s="7">
        <f>ROUND(83524.08,2)</f>
        <v>83524.08</v>
      </c>
      <c r="J251" s="6"/>
      <c r="K251" s="6"/>
      <c r="L251" s="6"/>
      <c r="M251" s="6"/>
      <c r="N251" s="7">
        <f>ROUND(1908.73,2)</f>
        <v>1908.73</v>
      </c>
      <c r="O251" s="6"/>
      <c r="P251" s="6"/>
      <c r="Q251" s="7">
        <f>ROUND(139.529999999999,2)</f>
        <v>139.53</v>
      </c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7">
        <f>ROUND(68,2)</f>
        <v>68</v>
      </c>
      <c r="AV251" s="6"/>
      <c r="AW251" s="7">
        <f>ROUND(27.58,2)</f>
        <v>27.58</v>
      </c>
      <c r="AX251" s="7">
        <f>ROUND(4.42,2)</f>
        <v>4.42</v>
      </c>
      <c r="AY251" s="7">
        <f>ROUND(73.86,2)</f>
        <v>73.86</v>
      </c>
      <c r="AZ251" s="7">
        <f>ROUND(6.14,2)</f>
        <v>6.14</v>
      </c>
      <c r="BA251" s="6"/>
      <c r="BB251" s="6"/>
      <c r="BC251" s="6"/>
      <c r="BD251" s="7">
        <f>ROUND(8,2)</f>
        <v>8</v>
      </c>
      <c r="BE251" s="6"/>
      <c r="BF251" s="6"/>
      <c r="BG251" s="7">
        <f>ROUND(42.17,2)</f>
        <v>42.17</v>
      </c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7">
        <f>ROUND(40,2)</f>
        <v>40</v>
      </c>
      <c r="CQ251" s="7">
        <f>ROUND(2318.43,2)</f>
        <v>2318.4299999999998</v>
      </c>
      <c r="CR251" s="6"/>
      <c r="CS251" s="6"/>
      <c r="CT251" s="6"/>
      <c r="CU251" s="6"/>
      <c r="CV251" s="7">
        <f>ROUND(62192.5099999999,2)</f>
        <v>62192.51</v>
      </c>
      <c r="CW251" s="6"/>
      <c r="CX251" s="6"/>
      <c r="CY251" s="7">
        <f>ROUND(6816.04999999999,2)</f>
        <v>6816.05</v>
      </c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7">
        <f>ROUND(2215.48,2)</f>
        <v>2215.48</v>
      </c>
      <c r="EE251" s="6"/>
      <c r="EF251" s="7">
        <f>ROUND(898.319999999999,2)</f>
        <v>898.32</v>
      </c>
      <c r="EG251" s="7">
        <f>ROUND(215.88,2)</f>
        <v>215.88</v>
      </c>
      <c r="EH251" s="7">
        <f>ROUND(2387.47,2)</f>
        <v>2387.4699999999998</v>
      </c>
      <c r="EI251" s="7">
        <f>ROUND(304.15,2)</f>
        <v>304.14999999999998</v>
      </c>
      <c r="EJ251" s="6"/>
      <c r="EK251" s="6"/>
      <c r="EL251" s="6"/>
      <c r="EM251" s="6"/>
      <c r="EN251" s="7">
        <f>ROUND(256.72,2)</f>
        <v>256.72000000000003</v>
      </c>
      <c r="EO251" s="6"/>
      <c r="EP251" s="6"/>
      <c r="EQ251" s="7">
        <f>ROUND(1402.3,2)</f>
        <v>1402.3</v>
      </c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7">
        <f>ROUND(2500,2)</f>
        <v>2500</v>
      </c>
      <c r="FK251" s="6"/>
      <c r="FL251" s="6"/>
      <c r="FM251" s="6"/>
      <c r="FN251" s="6"/>
      <c r="FO251" s="6"/>
      <c r="FP251" s="6"/>
      <c r="FQ251" s="6"/>
      <c r="FR251" s="6"/>
      <c r="FS251" s="6"/>
      <c r="FT251" s="7">
        <f t="shared" si="4"/>
        <v>3000</v>
      </c>
      <c r="FU251" s="6"/>
      <c r="FV251" s="6"/>
      <c r="FW251" s="6"/>
      <c r="FX251" s="7">
        <f>ROUND(1335.2,2)</f>
        <v>1335.2</v>
      </c>
      <c r="FY251" s="7">
        <f>ROUND(83524.08,2)</f>
        <v>83524.08</v>
      </c>
    </row>
    <row r="252" spans="1:181" x14ac:dyDescent="0.3">
      <c r="A252" s="4" t="s">
        <v>711</v>
      </c>
      <c r="B252" s="5" t="s">
        <v>1029</v>
      </c>
      <c r="C252" s="5" t="s">
        <v>181</v>
      </c>
      <c r="D252" s="5" t="s">
        <v>712</v>
      </c>
      <c r="E252" s="5" t="s">
        <v>713</v>
      </c>
      <c r="F252" s="5" t="s">
        <v>0</v>
      </c>
      <c r="G252" s="5" t="s">
        <v>183</v>
      </c>
      <c r="H252" s="8">
        <v>33.380000000000003</v>
      </c>
      <c r="I252" s="7">
        <f>ROUND(4350.8,2)</f>
        <v>4350.8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7">
        <f>ROUND(1024,2)</f>
        <v>1024</v>
      </c>
      <c r="BT252" s="6"/>
      <c r="BU252" s="6"/>
      <c r="BV252" s="6"/>
      <c r="BW252" s="7">
        <f>ROUND(42,2)</f>
        <v>42</v>
      </c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7">
        <f>ROUND(120,2)</f>
        <v>120</v>
      </c>
      <c r="CQ252" s="7">
        <f>ROUND(1186,2)</f>
        <v>1186</v>
      </c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7">
        <f>ROUND(500,2)</f>
        <v>500</v>
      </c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7">
        <f>ROUND(3850.8,2)</f>
        <v>3850.8</v>
      </c>
      <c r="FY252" s="7">
        <f>ROUND(4350.8,2)</f>
        <v>4350.8</v>
      </c>
    </row>
    <row r="253" spans="1:181" x14ac:dyDescent="0.3">
      <c r="A253" s="4" t="s">
        <v>714</v>
      </c>
      <c r="B253" s="5" t="s">
        <v>1029</v>
      </c>
      <c r="C253" s="5" t="s">
        <v>181</v>
      </c>
      <c r="D253" s="5" t="s">
        <v>550</v>
      </c>
      <c r="E253" s="5" t="s">
        <v>0</v>
      </c>
      <c r="F253" s="5" t="s">
        <v>0</v>
      </c>
      <c r="G253" s="5" t="s">
        <v>183</v>
      </c>
      <c r="H253" s="8">
        <v>34.04</v>
      </c>
      <c r="I253" s="7">
        <f>ROUND(49770.88,2)</f>
        <v>49770.879999999997</v>
      </c>
      <c r="J253" s="6"/>
      <c r="K253" s="6"/>
      <c r="L253" s="6"/>
      <c r="M253" s="6"/>
      <c r="N253" s="7">
        <f>ROUND(5.42,2)</f>
        <v>5.42</v>
      </c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7">
        <f>ROUND(40,2)</f>
        <v>40</v>
      </c>
      <c r="AV253" s="6"/>
      <c r="AW253" s="7">
        <f>ROUND(5,2)</f>
        <v>5</v>
      </c>
      <c r="AX253" s="6"/>
      <c r="AY253" s="7">
        <f>ROUND(75,2)</f>
        <v>75</v>
      </c>
      <c r="AZ253" s="6"/>
      <c r="BA253" s="6"/>
      <c r="BB253" s="6"/>
      <c r="BC253" s="6"/>
      <c r="BD253" s="7">
        <f>ROUND(8,2)</f>
        <v>8</v>
      </c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7">
        <f>ROUND(1307.96,2)</f>
        <v>1307.96</v>
      </c>
      <c r="BR253" s="6"/>
      <c r="BS253" s="6"/>
      <c r="BT253" s="7">
        <f>ROUND(0.63,2)</f>
        <v>0.63</v>
      </c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7">
        <f>ROUND(1442.01,2)</f>
        <v>1442.01</v>
      </c>
      <c r="CR253" s="6"/>
      <c r="CS253" s="6"/>
      <c r="CT253" s="6"/>
      <c r="CU253" s="6"/>
      <c r="CV253" s="7">
        <f>ROUND(179.13,2)</f>
        <v>179.13</v>
      </c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7">
        <f>ROUND(1304.45,2)</f>
        <v>1304.45</v>
      </c>
      <c r="EE253" s="6"/>
      <c r="EF253" s="7">
        <f>ROUND(160.45,2)</f>
        <v>160.44999999999999</v>
      </c>
      <c r="EG253" s="6"/>
      <c r="EH253" s="7">
        <f>ROUND(2454.75,2)</f>
        <v>2454.75</v>
      </c>
      <c r="EI253" s="6"/>
      <c r="EJ253" s="6"/>
      <c r="EK253" s="6"/>
      <c r="EL253" s="6"/>
      <c r="EM253" s="6"/>
      <c r="EN253" s="7">
        <f>ROUND(256.72,2)</f>
        <v>256.72000000000003</v>
      </c>
      <c r="EO253" s="6"/>
      <c r="EP253" s="6"/>
      <c r="EQ253" s="6"/>
      <c r="ER253" s="6"/>
      <c r="ES253" s="6"/>
      <c r="ET253" s="6"/>
      <c r="EU253" s="6"/>
      <c r="EV253" s="7">
        <f>ROUND(500,2)</f>
        <v>500</v>
      </c>
      <c r="EW253" s="6"/>
      <c r="EX253" s="6"/>
      <c r="EY253" s="6"/>
      <c r="EZ253" s="6"/>
      <c r="FA253" s="6"/>
      <c r="FB253" s="6"/>
      <c r="FC253" s="6"/>
      <c r="FD253" s="7">
        <f>ROUND(42590.3799999999,2)</f>
        <v>42590.38</v>
      </c>
      <c r="FE253" s="6"/>
      <c r="FF253" s="6"/>
      <c r="FG253" s="6"/>
      <c r="FH253" s="6"/>
      <c r="FI253" s="6"/>
      <c r="FJ253" s="7">
        <f>ROUND(825,2)</f>
        <v>825</v>
      </c>
      <c r="FK253" s="6"/>
      <c r="FL253" s="6"/>
      <c r="FM253" s="6"/>
      <c r="FN253" s="6"/>
      <c r="FO253" s="6"/>
      <c r="FP253" s="6"/>
      <c r="FQ253" s="6"/>
      <c r="FR253" s="6"/>
      <c r="FS253" s="6"/>
      <c r="FT253" s="7">
        <f>ROUND(1500,2)</f>
        <v>1500</v>
      </c>
      <c r="FU253" s="6"/>
      <c r="FV253" s="6"/>
      <c r="FW253" s="6"/>
      <c r="FX253" s="6"/>
      <c r="FY253" s="7">
        <f>ROUND(49770.88,2)</f>
        <v>49770.879999999997</v>
      </c>
    </row>
    <row r="254" spans="1:181" x14ac:dyDescent="0.3">
      <c r="A254" s="4" t="s">
        <v>715</v>
      </c>
      <c r="B254" s="5" t="s">
        <v>1029</v>
      </c>
      <c r="C254" s="5" t="s">
        <v>181</v>
      </c>
      <c r="D254" s="5" t="s">
        <v>648</v>
      </c>
      <c r="E254" s="5" t="s">
        <v>0</v>
      </c>
      <c r="F254" s="5" t="s">
        <v>0</v>
      </c>
      <c r="G254" s="5" t="s">
        <v>183</v>
      </c>
      <c r="H254" s="8">
        <v>33.380000000000003</v>
      </c>
      <c r="I254" s="7">
        <f>ROUND(74535.2699999999,2)</f>
        <v>74535.27</v>
      </c>
      <c r="J254" s="6"/>
      <c r="K254" s="6"/>
      <c r="L254" s="6"/>
      <c r="M254" s="6"/>
      <c r="N254" s="7">
        <f>ROUND(1408.43,2)</f>
        <v>1408.43</v>
      </c>
      <c r="O254" s="6"/>
      <c r="P254" s="6"/>
      <c r="Q254" s="7">
        <f>ROUND(42.73,2)</f>
        <v>42.73</v>
      </c>
      <c r="R254" s="6"/>
      <c r="S254" s="6"/>
      <c r="T254" s="6"/>
      <c r="U254" s="6"/>
      <c r="V254" s="7">
        <f>ROUND(25.82,2)</f>
        <v>25.82</v>
      </c>
      <c r="W254" s="6"/>
      <c r="X254" s="6"/>
      <c r="Y254" s="6"/>
      <c r="Z254" s="6"/>
      <c r="AA254" s="6"/>
      <c r="AB254" s="6"/>
      <c r="AC254" s="6"/>
      <c r="AD254" s="6"/>
      <c r="AE254" s="7">
        <f>ROUND(100.22,2)</f>
        <v>100.22</v>
      </c>
      <c r="AF254" s="6"/>
      <c r="AG254" s="7">
        <f>ROUND(8.92,2)</f>
        <v>8.92</v>
      </c>
      <c r="AH254" s="6"/>
      <c r="AI254" s="6"/>
      <c r="AJ254" s="6"/>
      <c r="AK254" s="6"/>
      <c r="AL254" s="6"/>
      <c r="AM254" s="6"/>
      <c r="AN254" s="6"/>
      <c r="AO254" s="6"/>
      <c r="AP254" s="7">
        <f>ROUND(333.62,2)</f>
        <v>333.62</v>
      </c>
      <c r="AQ254" s="6"/>
      <c r="AR254" s="7">
        <f>ROUND(0.83,2)</f>
        <v>0.83</v>
      </c>
      <c r="AS254" s="6"/>
      <c r="AT254" s="6"/>
      <c r="AU254" s="7">
        <f>ROUND(74,2)</f>
        <v>74</v>
      </c>
      <c r="AV254" s="6"/>
      <c r="AW254" s="7">
        <f>ROUND(15.33,2)</f>
        <v>15.33</v>
      </c>
      <c r="AX254" s="7">
        <f>ROUND(0.67,2)</f>
        <v>0.67</v>
      </c>
      <c r="AY254" s="7">
        <f>ROUND(72,2)</f>
        <v>72</v>
      </c>
      <c r="AZ254" s="6"/>
      <c r="BA254" s="6"/>
      <c r="BB254" s="6"/>
      <c r="BC254" s="6"/>
      <c r="BD254" s="7">
        <f>ROUND(8,2)</f>
        <v>8</v>
      </c>
      <c r="BE254" s="7">
        <f>ROUND(2.33,2)</f>
        <v>2.33</v>
      </c>
      <c r="BF254" s="6"/>
      <c r="BG254" s="6"/>
      <c r="BH254" s="6"/>
      <c r="BI254" s="6"/>
      <c r="BJ254" s="6"/>
      <c r="BK254" s="6"/>
      <c r="BL254" s="6"/>
      <c r="BM254" s="6"/>
      <c r="BN254" s="6"/>
      <c r="BO254" s="7">
        <f>ROUND(18.25,2)</f>
        <v>18.25</v>
      </c>
      <c r="BP254" s="6"/>
      <c r="BQ254" s="7">
        <f>ROUND(10,2)</f>
        <v>10</v>
      </c>
      <c r="BR254" s="6"/>
      <c r="BS254" s="6"/>
      <c r="BT254" s="7">
        <f>ROUND(10.14,2)</f>
        <v>10.14</v>
      </c>
      <c r="BU254" s="6"/>
      <c r="BV254" s="6"/>
      <c r="BW254" s="6"/>
      <c r="BX254" s="6"/>
      <c r="BY254" s="7">
        <f>ROUND(44,2)</f>
        <v>44</v>
      </c>
      <c r="BZ254" s="6"/>
      <c r="CA254" s="7">
        <f>ROUND(24,2)</f>
        <v>24</v>
      </c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7">
        <f>ROUND(16,2)</f>
        <v>16</v>
      </c>
      <c r="CQ254" s="7">
        <f>ROUND(2215.29,2)</f>
        <v>2215.29</v>
      </c>
      <c r="CR254" s="6"/>
      <c r="CS254" s="6"/>
      <c r="CT254" s="6"/>
      <c r="CU254" s="6"/>
      <c r="CV254" s="7">
        <f>ROUND(46151.2699999999,2)</f>
        <v>46151.27</v>
      </c>
      <c r="CW254" s="6"/>
      <c r="CX254" s="6"/>
      <c r="CY254" s="7">
        <f>ROUND(2071.72,2)</f>
        <v>2071.7199999999998</v>
      </c>
      <c r="CZ254" s="6"/>
      <c r="DA254" s="6"/>
      <c r="DB254" s="6"/>
      <c r="DC254" s="6"/>
      <c r="DD254" s="7">
        <f>ROUND(829.91,2)</f>
        <v>829.91</v>
      </c>
      <c r="DE254" s="6"/>
      <c r="DF254" s="6"/>
      <c r="DG254" s="6"/>
      <c r="DH254" s="6"/>
      <c r="DI254" s="6"/>
      <c r="DJ254" s="6"/>
      <c r="DK254" s="6"/>
      <c r="DL254" s="6"/>
      <c r="DM254" s="6"/>
      <c r="DN254" s="7">
        <f>ROUND(3226.47,2)</f>
        <v>3226.47</v>
      </c>
      <c r="DO254" s="6"/>
      <c r="DP254" s="7">
        <f>ROUND(429.36,2)</f>
        <v>429.36</v>
      </c>
      <c r="DQ254" s="6"/>
      <c r="DR254" s="6"/>
      <c r="DS254" s="6"/>
      <c r="DT254" s="6"/>
      <c r="DU254" s="6"/>
      <c r="DV254" s="6"/>
      <c r="DW254" s="6"/>
      <c r="DX254" s="6"/>
      <c r="DY254" s="7">
        <f>ROUND(10792.72,2)</f>
        <v>10792.72</v>
      </c>
      <c r="DZ254" s="6"/>
      <c r="EA254" s="7">
        <f>ROUND(39.95,2)</f>
        <v>39.950000000000003</v>
      </c>
      <c r="EB254" s="6"/>
      <c r="EC254" s="6"/>
      <c r="ED254" s="7">
        <f>ROUND(2409.94,2)</f>
        <v>2409.94</v>
      </c>
      <c r="EE254" s="6"/>
      <c r="EF254" s="7">
        <f>ROUND(499.62,2)</f>
        <v>499.62</v>
      </c>
      <c r="EG254" s="7">
        <f>ROUND(32.25,2)</f>
        <v>32.25</v>
      </c>
      <c r="EH254" s="7">
        <f>ROUND(2379.6,2)</f>
        <v>2379.6</v>
      </c>
      <c r="EI254" s="6"/>
      <c r="EJ254" s="6"/>
      <c r="EK254" s="6"/>
      <c r="EL254" s="6"/>
      <c r="EM254" s="6"/>
      <c r="EN254" s="7">
        <f>ROUND(256.72,2)</f>
        <v>256.72000000000003</v>
      </c>
      <c r="EO254" s="7">
        <f>ROUND(75.12,2)</f>
        <v>75.12</v>
      </c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7">
        <f>ROUND(585.64,2)</f>
        <v>585.64</v>
      </c>
      <c r="FC254" s="6"/>
      <c r="FD254" s="7">
        <f>ROUND(320.9,2)</f>
        <v>320.89999999999998</v>
      </c>
      <c r="FE254" s="6"/>
      <c r="FF254" s="6"/>
      <c r="FG254" s="6"/>
      <c r="FH254" s="6"/>
      <c r="FI254" s="6"/>
      <c r="FJ254" s="7">
        <f>ROUND(900,2)</f>
        <v>900</v>
      </c>
      <c r="FK254" s="6"/>
      <c r="FL254" s="6"/>
      <c r="FM254" s="6"/>
      <c r="FN254" s="6"/>
      <c r="FO254" s="6"/>
      <c r="FP254" s="6"/>
      <c r="FQ254" s="6"/>
      <c r="FR254" s="6"/>
      <c r="FS254" s="6"/>
      <c r="FT254" s="7">
        <f>ROUND(3000,2)</f>
        <v>3000</v>
      </c>
      <c r="FU254" s="6"/>
      <c r="FV254" s="6"/>
      <c r="FW254" s="6"/>
      <c r="FX254" s="7">
        <f>ROUND(534.08,2)</f>
        <v>534.08000000000004</v>
      </c>
      <c r="FY254" s="7">
        <f>ROUND(74535.2699999999,2)</f>
        <v>74535.27</v>
      </c>
    </row>
    <row r="255" spans="1:181" x14ac:dyDescent="0.3">
      <c r="A255" s="4" t="s">
        <v>716</v>
      </c>
      <c r="B255" s="5" t="s">
        <v>1029</v>
      </c>
      <c r="C255" s="5" t="s">
        <v>236</v>
      </c>
      <c r="D255" s="5" t="s">
        <v>717</v>
      </c>
      <c r="E255" s="5" t="s">
        <v>0</v>
      </c>
      <c r="F255" s="5" t="s">
        <v>0</v>
      </c>
      <c r="G255" s="5" t="s">
        <v>649</v>
      </c>
      <c r="H255" s="8">
        <v>34.67</v>
      </c>
      <c r="I255" s="7">
        <f>ROUND(93785.7599999999,2)</f>
        <v>93785.76</v>
      </c>
      <c r="J255" s="6"/>
      <c r="K255" s="6"/>
      <c r="L255" s="6"/>
      <c r="M255" s="6"/>
      <c r="N255" s="6"/>
      <c r="O255" s="7">
        <f>ROUND(1912.22,2)</f>
        <v>1912.22</v>
      </c>
      <c r="P255" s="7">
        <f>ROUND(363.82,2)</f>
        <v>363.82</v>
      </c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7">
        <f>ROUND(40,2)</f>
        <v>40</v>
      </c>
      <c r="AV255" s="6"/>
      <c r="AW255" s="7">
        <f>ROUND(40,2)</f>
        <v>40</v>
      </c>
      <c r="AX255" s="6"/>
      <c r="AY255" s="7">
        <f>ROUND(104,2)</f>
        <v>104</v>
      </c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7">
        <f>ROUND(16,2)</f>
        <v>16</v>
      </c>
      <c r="BT255" s="7">
        <f>ROUND(11.96,2)</f>
        <v>11.96</v>
      </c>
      <c r="BU255" s="6"/>
      <c r="BV255" s="6"/>
      <c r="BW255" s="7">
        <f>ROUND(16,2)</f>
        <v>16</v>
      </c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7">
        <f>ROUND(2504,2)</f>
        <v>2504</v>
      </c>
      <c r="CR255" s="6"/>
      <c r="CS255" s="6"/>
      <c r="CT255" s="6"/>
      <c r="CU255" s="6"/>
      <c r="CV255" s="6"/>
      <c r="CW255" s="7">
        <f>ROUND(64980.5199999999,2)</f>
        <v>64980.52</v>
      </c>
      <c r="CX255" s="7">
        <f>ROUND(18380.1599999999,2)</f>
        <v>18380.16</v>
      </c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7">
        <f>ROUND(1359.27999999999,2)</f>
        <v>1359.28</v>
      </c>
      <c r="EE255" s="6"/>
      <c r="EF255" s="7">
        <f>ROUND(1342.63999999999,2)</f>
        <v>1342.64</v>
      </c>
      <c r="EG255" s="6"/>
      <c r="EH255" s="7">
        <f>ROUND(3498.16,2)</f>
        <v>3498.16</v>
      </c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7">
        <f>ROUND(1225,2)</f>
        <v>1225</v>
      </c>
      <c r="FK255" s="6"/>
      <c r="FL255" s="6"/>
      <c r="FM255" s="6"/>
      <c r="FN255" s="6"/>
      <c r="FO255" s="6"/>
      <c r="FP255" s="6"/>
      <c r="FQ255" s="6"/>
      <c r="FR255" s="6"/>
      <c r="FS255" s="6"/>
      <c r="FT255" s="7">
        <f>ROUND(3000,2)</f>
        <v>3000</v>
      </c>
      <c r="FU255" s="6"/>
      <c r="FV255" s="6"/>
      <c r="FW255" s="6"/>
      <c r="FX255" s="6"/>
      <c r="FY255" s="7">
        <f>ROUND(93785.7599999999,2)</f>
        <v>93785.76</v>
      </c>
    </row>
    <row r="256" spans="1:181" x14ac:dyDescent="0.3">
      <c r="A256" s="4" t="s">
        <v>718</v>
      </c>
      <c r="B256" s="5" t="s">
        <v>1029</v>
      </c>
      <c r="C256" s="5" t="s">
        <v>181</v>
      </c>
      <c r="D256" s="5" t="s">
        <v>212</v>
      </c>
      <c r="E256" s="5" t="s">
        <v>0</v>
      </c>
      <c r="F256" s="5" t="s">
        <v>0</v>
      </c>
      <c r="G256" s="5" t="s">
        <v>183</v>
      </c>
      <c r="H256" s="8">
        <v>33.880000000000003</v>
      </c>
      <c r="I256" s="7">
        <f>ROUND(71925.9999999999,2)</f>
        <v>71926</v>
      </c>
      <c r="J256" s="6"/>
      <c r="K256" s="6"/>
      <c r="L256" s="6"/>
      <c r="M256" s="6"/>
      <c r="N256" s="7">
        <f>ROUND(1362.53999999999,2)</f>
        <v>1362.54</v>
      </c>
      <c r="O256" s="6"/>
      <c r="P256" s="6"/>
      <c r="Q256" s="7">
        <f>ROUND(65.14,2)</f>
        <v>65.14</v>
      </c>
      <c r="R256" s="6"/>
      <c r="S256" s="6"/>
      <c r="T256" s="6"/>
      <c r="U256" s="6"/>
      <c r="V256" s="7">
        <f>ROUND(5.58,2)</f>
        <v>5.58</v>
      </c>
      <c r="W256" s="7">
        <f>ROUND(8,2)</f>
        <v>8</v>
      </c>
      <c r="X256" s="6"/>
      <c r="Y256" s="6"/>
      <c r="Z256" s="6"/>
      <c r="AA256" s="6"/>
      <c r="AB256" s="6"/>
      <c r="AC256" s="6"/>
      <c r="AD256" s="6"/>
      <c r="AE256" s="7">
        <f>ROUND(360.7,2)</f>
        <v>360.7</v>
      </c>
      <c r="AF256" s="6"/>
      <c r="AG256" s="7">
        <f>ROUND(5.67,2)</f>
        <v>5.67</v>
      </c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7">
        <f>ROUND(29.42,2)</f>
        <v>29.42</v>
      </c>
      <c r="AS256" s="6"/>
      <c r="AT256" s="6"/>
      <c r="AU256" s="7">
        <f>ROUND(60,2)</f>
        <v>60</v>
      </c>
      <c r="AV256" s="6"/>
      <c r="AW256" s="7">
        <f>ROUND(32,2)</f>
        <v>32</v>
      </c>
      <c r="AX256" s="6"/>
      <c r="AY256" s="7">
        <f>ROUND(10,2)</f>
        <v>10</v>
      </c>
      <c r="AZ256" s="6"/>
      <c r="BA256" s="6"/>
      <c r="BB256" s="7">
        <f>ROUND(40,2)</f>
        <v>40</v>
      </c>
      <c r="BC256" s="6"/>
      <c r="BD256" s="7">
        <f>ROUND(8,2)</f>
        <v>8</v>
      </c>
      <c r="BE256" s="7">
        <f>ROUND(0.58,2)</f>
        <v>0.57999999999999996</v>
      </c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7">
        <f>ROUND(8.02,2)</f>
        <v>8.02</v>
      </c>
      <c r="BU256" s="7">
        <f>ROUND(302.33,2)</f>
        <v>302.33</v>
      </c>
      <c r="BV256" s="7">
        <f>ROUND(10,2)</f>
        <v>10</v>
      </c>
      <c r="BW256" s="7">
        <f>ROUND(8,2)</f>
        <v>8</v>
      </c>
      <c r="BX256" s="6"/>
      <c r="BY256" s="6"/>
      <c r="BZ256" s="6"/>
      <c r="CA256" s="7">
        <f>ROUND(66,2)</f>
        <v>66</v>
      </c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7">
        <f>ROUND(2381.97999999999,2)</f>
        <v>2381.98</v>
      </c>
      <c r="CR256" s="6"/>
      <c r="CS256" s="6"/>
      <c r="CT256" s="6"/>
      <c r="CU256" s="6"/>
      <c r="CV256" s="7">
        <f>ROUND(44379.0299999999,2)</f>
        <v>44379.03</v>
      </c>
      <c r="CW256" s="6"/>
      <c r="CX256" s="6"/>
      <c r="CY256" s="7">
        <f>ROUND(3177.1,2)</f>
        <v>3177.1</v>
      </c>
      <c r="CZ256" s="6"/>
      <c r="DA256" s="6"/>
      <c r="DB256" s="6"/>
      <c r="DC256" s="6"/>
      <c r="DD256" s="7">
        <f>ROUND(184.42,2)</f>
        <v>184.42</v>
      </c>
      <c r="DE256" s="7">
        <f>ROUND(386.88,2)</f>
        <v>386.88</v>
      </c>
      <c r="DF256" s="6"/>
      <c r="DG256" s="6"/>
      <c r="DH256" s="6"/>
      <c r="DI256" s="6"/>
      <c r="DJ256" s="6"/>
      <c r="DK256" s="6"/>
      <c r="DL256" s="6"/>
      <c r="DM256" s="6"/>
      <c r="DN256" s="7">
        <f>ROUND(11877.18,2)</f>
        <v>11877.18</v>
      </c>
      <c r="DO256" s="6"/>
      <c r="DP256" s="7">
        <f>ROUND(281.09,2)</f>
        <v>281.08999999999997</v>
      </c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7">
        <f>ROUND(1445.19999999999,2)</f>
        <v>1445.2</v>
      </c>
      <c r="EB256" s="6"/>
      <c r="EC256" s="6"/>
      <c r="ED256" s="7">
        <f>ROUND(1951.08,2)</f>
        <v>1951.08</v>
      </c>
      <c r="EE256" s="6"/>
      <c r="EF256" s="7">
        <f>ROUND(1034.56,2)</f>
        <v>1034.56</v>
      </c>
      <c r="EG256" s="6"/>
      <c r="EH256" s="7">
        <f>ROUND(330.5,2)</f>
        <v>330.5</v>
      </c>
      <c r="EI256" s="6"/>
      <c r="EJ256" s="6"/>
      <c r="EK256" s="7">
        <f>ROUND(1283.6,2)</f>
        <v>1283.5999999999999</v>
      </c>
      <c r="EL256" s="6"/>
      <c r="EM256" s="6"/>
      <c r="EN256" s="7">
        <f>ROUND(256.72,2)</f>
        <v>256.72000000000003</v>
      </c>
      <c r="EO256" s="7">
        <f>ROUND(19.17,2)</f>
        <v>19.170000000000002</v>
      </c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7">
        <f>ROUND(2319.47,2)</f>
        <v>2319.4699999999998</v>
      </c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7">
        <f>ROUND(3000,2)</f>
        <v>3000</v>
      </c>
      <c r="FU256" s="6"/>
      <c r="FV256" s="6"/>
      <c r="FW256" s="6"/>
      <c r="FX256" s="6"/>
      <c r="FY256" s="7">
        <f>ROUND(71925.9999999999,2)</f>
        <v>71926</v>
      </c>
    </row>
    <row r="257" spans="1:181" x14ac:dyDescent="0.3">
      <c r="A257" s="4" t="s">
        <v>719</v>
      </c>
      <c r="B257" s="5" t="s">
        <v>1029</v>
      </c>
      <c r="C257" s="5" t="s">
        <v>181</v>
      </c>
      <c r="D257" s="5" t="s">
        <v>510</v>
      </c>
      <c r="E257" s="5" t="s">
        <v>720</v>
      </c>
      <c r="F257" s="5" t="s">
        <v>0</v>
      </c>
      <c r="G257" s="5" t="s">
        <v>183</v>
      </c>
      <c r="H257" s="8">
        <v>32.090000000000003</v>
      </c>
      <c r="I257" s="7">
        <f>ROUND(20950.83,2)</f>
        <v>20950.830000000002</v>
      </c>
      <c r="J257" s="6"/>
      <c r="K257" s="6"/>
      <c r="L257" s="6"/>
      <c r="M257" s="6"/>
      <c r="N257" s="7">
        <f>ROUND(463.08,2)</f>
        <v>463.08</v>
      </c>
      <c r="O257" s="6"/>
      <c r="P257" s="6"/>
      <c r="Q257" s="7">
        <f>ROUND(27.5,2)</f>
        <v>27.5</v>
      </c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7">
        <f>ROUND(16,2)</f>
        <v>16</v>
      </c>
      <c r="AV257" s="6"/>
      <c r="AW257" s="6"/>
      <c r="AX257" s="6"/>
      <c r="AY257" s="7">
        <f>ROUND(125.3,2)</f>
        <v>125.3</v>
      </c>
      <c r="AZ257" s="7">
        <f>ROUND(2.7,2)</f>
        <v>2.7</v>
      </c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7">
        <f>ROUND(48,2)</f>
        <v>48</v>
      </c>
      <c r="BT257" s="6"/>
      <c r="BU257" s="6"/>
      <c r="BV257" s="6"/>
      <c r="BW257" s="7">
        <f>ROUND(8,2)</f>
        <v>8</v>
      </c>
      <c r="BX257" s="6"/>
      <c r="BY257" s="7">
        <f>ROUND(24,2)</f>
        <v>24</v>
      </c>
      <c r="BZ257" s="6"/>
      <c r="CA257" s="7">
        <f>ROUND(24,2)</f>
        <v>24</v>
      </c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7">
        <f>ROUND(738.58,2)</f>
        <v>738.58</v>
      </c>
      <c r="CR257" s="6"/>
      <c r="CS257" s="6"/>
      <c r="CT257" s="6"/>
      <c r="CU257" s="6"/>
      <c r="CV257" s="7">
        <f>ROUND(14956.65,2)</f>
        <v>14956.65</v>
      </c>
      <c r="CW257" s="6"/>
      <c r="CX257" s="6"/>
      <c r="CY257" s="7">
        <f>ROUND(1329.9,2)</f>
        <v>1329.9</v>
      </c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7">
        <f>ROUND(513.44,2)</f>
        <v>513.44000000000005</v>
      </c>
      <c r="EE257" s="6"/>
      <c r="EF257" s="6"/>
      <c r="EG257" s="6"/>
      <c r="EH257" s="7">
        <f>ROUND(4020.88,2)</f>
        <v>4020.88</v>
      </c>
      <c r="EI257" s="7">
        <f>ROUND(129.96,2)</f>
        <v>129.96</v>
      </c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7">
        <f>ROUND(20950.83,2)</f>
        <v>20950.830000000002</v>
      </c>
    </row>
    <row r="258" spans="1:181" x14ac:dyDescent="0.3">
      <c r="A258" s="4" t="s">
        <v>721</v>
      </c>
      <c r="B258" s="5" t="s">
        <v>1029</v>
      </c>
      <c r="C258" s="5" t="s">
        <v>181</v>
      </c>
      <c r="D258" s="5" t="s">
        <v>335</v>
      </c>
      <c r="E258" s="5" t="s">
        <v>0</v>
      </c>
      <c r="F258" s="5" t="s">
        <v>0</v>
      </c>
      <c r="G258" s="5" t="s">
        <v>183</v>
      </c>
      <c r="H258" s="6">
        <v>33.380000000000003</v>
      </c>
      <c r="I258" s="7">
        <f>ROUND(79344.67,2)</f>
        <v>79344.67</v>
      </c>
      <c r="J258" s="6"/>
      <c r="K258" s="6"/>
      <c r="L258" s="6"/>
      <c r="M258" s="6"/>
      <c r="N258" s="7">
        <f>ROUND(1343.35999999999,2)</f>
        <v>1343.36</v>
      </c>
      <c r="O258" s="6"/>
      <c r="P258" s="6"/>
      <c r="Q258" s="7">
        <f>ROUND(160.62,2)</f>
        <v>160.62</v>
      </c>
      <c r="R258" s="6"/>
      <c r="S258" s="6"/>
      <c r="T258" s="6"/>
      <c r="U258" s="6"/>
      <c r="V258" s="7">
        <f>ROUND(3.22,2)</f>
        <v>3.22</v>
      </c>
      <c r="W258" s="7">
        <f>ROUND(13.01,2)</f>
        <v>13.01</v>
      </c>
      <c r="X258" s="6"/>
      <c r="Y258" s="7">
        <f>ROUND(0.27,2)</f>
        <v>0.27</v>
      </c>
      <c r="Z258" s="6"/>
      <c r="AA258" s="6"/>
      <c r="AB258" s="6"/>
      <c r="AC258" s="6"/>
      <c r="AD258" s="6"/>
      <c r="AE258" s="7">
        <f>ROUND(167.91,2)</f>
        <v>167.91</v>
      </c>
      <c r="AF258" s="6"/>
      <c r="AG258" s="7">
        <f>ROUND(10,2)</f>
        <v>10</v>
      </c>
      <c r="AH258" s="6"/>
      <c r="AI258" s="6"/>
      <c r="AJ258" s="6"/>
      <c r="AK258" s="6"/>
      <c r="AL258" s="6"/>
      <c r="AM258" s="6"/>
      <c r="AN258" s="6"/>
      <c r="AO258" s="6"/>
      <c r="AP258" s="7">
        <f>ROUND(323.56,2)</f>
        <v>323.56</v>
      </c>
      <c r="AQ258" s="6"/>
      <c r="AR258" s="7">
        <f>ROUND(19.5999999999999,2)</f>
        <v>19.600000000000001</v>
      </c>
      <c r="AS258" s="6"/>
      <c r="AT258" s="6"/>
      <c r="AU258" s="7">
        <f>ROUND(54,2)</f>
        <v>54</v>
      </c>
      <c r="AV258" s="6"/>
      <c r="AW258" s="7">
        <f>ROUND(40,2)</f>
        <v>40</v>
      </c>
      <c r="AX258" s="6"/>
      <c r="AY258" s="7">
        <f>ROUND(16,2)</f>
        <v>16</v>
      </c>
      <c r="AZ258" s="6"/>
      <c r="BA258" s="6"/>
      <c r="BB258" s="7">
        <f>ROUND(24,2)</f>
        <v>24</v>
      </c>
      <c r="BC258" s="6"/>
      <c r="BD258" s="7">
        <f>ROUND(8,2)</f>
        <v>8</v>
      </c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7">
        <f>ROUND(28.5,2)</f>
        <v>28.5</v>
      </c>
      <c r="BP258" s="6"/>
      <c r="BQ258" s="7">
        <f>ROUND(8,2)</f>
        <v>8</v>
      </c>
      <c r="BR258" s="7">
        <f>ROUND(9,2)</f>
        <v>9</v>
      </c>
      <c r="BS258" s="7">
        <f>ROUND(8,2)</f>
        <v>8</v>
      </c>
      <c r="BT258" s="7">
        <f>ROUND(0.6,2)</f>
        <v>0.6</v>
      </c>
      <c r="BU258" s="6"/>
      <c r="BV258" s="6"/>
      <c r="BW258" s="7">
        <f>ROUND(18,2)</f>
        <v>18</v>
      </c>
      <c r="BX258" s="7">
        <f>ROUND(64,2)</f>
        <v>64</v>
      </c>
      <c r="BY258" s="7">
        <f>ROUND(16,2)</f>
        <v>16</v>
      </c>
      <c r="BZ258" s="6"/>
      <c r="CA258" s="7">
        <f>ROUND(56,2)</f>
        <v>56</v>
      </c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7">
        <f>ROUND(2391.65,2)</f>
        <v>2391.65</v>
      </c>
      <c r="CR258" s="6"/>
      <c r="CS258" s="6"/>
      <c r="CT258" s="6"/>
      <c r="CU258" s="6"/>
      <c r="CV258" s="7">
        <f>ROUND(43657.39,2)</f>
        <v>43657.39</v>
      </c>
      <c r="CW258" s="6"/>
      <c r="CX258" s="6"/>
      <c r="CY258" s="7">
        <f>ROUND(7779.22,2)</f>
        <v>7779.22</v>
      </c>
      <c r="CZ258" s="6"/>
      <c r="DA258" s="6"/>
      <c r="DB258" s="6"/>
      <c r="DC258" s="6"/>
      <c r="DD258" s="7">
        <f>ROUND(98.18,2)</f>
        <v>98.18</v>
      </c>
      <c r="DE258" s="7">
        <f>ROUND(596.86,2)</f>
        <v>596.86</v>
      </c>
      <c r="DF258" s="6"/>
      <c r="DG258" s="7">
        <f>ROUND(13.39,2)</f>
        <v>13.39</v>
      </c>
      <c r="DH258" s="6"/>
      <c r="DI258" s="6"/>
      <c r="DJ258" s="6"/>
      <c r="DK258" s="6"/>
      <c r="DL258" s="6"/>
      <c r="DM258" s="6"/>
      <c r="DN258" s="7">
        <f>ROUND(5264.78999999999,2)</f>
        <v>5264.79</v>
      </c>
      <c r="DO258" s="6"/>
      <c r="DP258" s="7">
        <f>ROUND(488.07,2)</f>
        <v>488.07</v>
      </c>
      <c r="DQ258" s="6"/>
      <c r="DR258" s="6"/>
      <c r="DS258" s="6"/>
      <c r="DT258" s="6"/>
      <c r="DU258" s="6"/>
      <c r="DV258" s="6"/>
      <c r="DW258" s="6"/>
      <c r="DX258" s="6"/>
      <c r="DY258" s="7">
        <f>ROUND(10073.79,2)</f>
        <v>10073.790000000001</v>
      </c>
      <c r="DZ258" s="6"/>
      <c r="EA258" s="7">
        <f>ROUND(952.569999999999,2)</f>
        <v>952.57</v>
      </c>
      <c r="EB258" s="6"/>
      <c r="EC258" s="6"/>
      <c r="ED258" s="7">
        <f>ROUND(1720.7,2)</f>
        <v>1720.7</v>
      </c>
      <c r="EE258" s="6"/>
      <c r="EF258" s="7">
        <f>ROUND(1240.08,2)</f>
        <v>1240.08</v>
      </c>
      <c r="EG258" s="6"/>
      <c r="EH258" s="7">
        <f>ROUND(521.12,2)</f>
        <v>521.12</v>
      </c>
      <c r="EI258" s="6"/>
      <c r="EJ258" s="6"/>
      <c r="EK258" s="7">
        <f>ROUND(731.76,2)</f>
        <v>731.76</v>
      </c>
      <c r="EL258" s="6"/>
      <c r="EM258" s="6"/>
      <c r="EN258" s="7">
        <f>ROUND(256.72,2)</f>
        <v>256.72000000000003</v>
      </c>
      <c r="EO258" s="6"/>
      <c r="EP258" s="6"/>
      <c r="EQ258" s="6"/>
      <c r="ER258" s="6"/>
      <c r="ES258" s="6"/>
      <c r="ET258" s="6"/>
      <c r="EU258" s="6"/>
      <c r="EV258" s="7">
        <f>ROUND(500,2)</f>
        <v>500</v>
      </c>
      <c r="EW258" s="6"/>
      <c r="EX258" s="6"/>
      <c r="EY258" s="6"/>
      <c r="EZ258" s="6"/>
      <c r="FA258" s="6"/>
      <c r="FB258" s="7">
        <f>ROUND(889.449999999999,2)</f>
        <v>889.45</v>
      </c>
      <c r="FC258" s="6"/>
      <c r="FD258" s="7">
        <f>ROUND(264.4,2)</f>
        <v>264.39999999999998</v>
      </c>
      <c r="FE258" s="7">
        <f>ROUND(446.18,2)</f>
        <v>446.18</v>
      </c>
      <c r="FF258" s="6"/>
      <c r="FG258" s="6"/>
      <c r="FH258" s="6"/>
      <c r="FI258" s="6"/>
      <c r="FJ258" s="7">
        <f>ROUND(850,2)</f>
        <v>850</v>
      </c>
      <c r="FK258" s="6"/>
      <c r="FL258" s="6"/>
      <c r="FM258" s="6"/>
      <c r="FN258" s="6"/>
      <c r="FO258" s="6"/>
      <c r="FP258" s="6"/>
      <c r="FQ258" s="6"/>
      <c r="FR258" s="6"/>
      <c r="FS258" s="6"/>
      <c r="FT258" s="7">
        <f>ROUND(3000,2)</f>
        <v>3000</v>
      </c>
      <c r="FU258" s="6"/>
      <c r="FV258" s="6"/>
      <c r="FW258" s="6"/>
      <c r="FX258" s="6"/>
      <c r="FY258" s="7">
        <f>ROUND(79344.67,2)</f>
        <v>79344.67</v>
      </c>
    </row>
    <row r="259" spans="1:181" x14ac:dyDescent="0.3">
      <c r="A259" s="4" t="s">
        <v>722</v>
      </c>
      <c r="B259" s="5" t="s">
        <v>1029</v>
      </c>
      <c r="C259" s="5" t="s">
        <v>181</v>
      </c>
      <c r="D259" s="5" t="s">
        <v>301</v>
      </c>
      <c r="E259" s="5" t="s">
        <v>723</v>
      </c>
      <c r="F259" s="5" t="s">
        <v>0</v>
      </c>
      <c r="G259" s="5" t="s">
        <v>183</v>
      </c>
      <c r="H259" s="6">
        <v>31.71</v>
      </c>
      <c r="I259" s="7">
        <f>ROUND(27051.78,2)</f>
        <v>27051.78</v>
      </c>
      <c r="J259" s="6"/>
      <c r="K259" s="6"/>
      <c r="L259" s="6"/>
      <c r="M259" s="6"/>
      <c r="N259" s="7">
        <f>ROUND(520.56,2)</f>
        <v>520.55999999999995</v>
      </c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7">
        <f>ROUND(102,2)</f>
        <v>102</v>
      </c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7">
        <f>ROUND(25,2)</f>
        <v>25</v>
      </c>
      <c r="AV259" s="6"/>
      <c r="AW259" s="6"/>
      <c r="AX259" s="6"/>
      <c r="AY259" s="6"/>
      <c r="AZ259" s="6"/>
      <c r="BA259" s="6"/>
      <c r="BB259" s="7">
        <f>ROUND(5,2)</f>
        <v>5</v>
      </c>
      <c r="BC259" s="6"/>
      <c r="BD259" s="7">
        <f>ROUND(392.9,2)</f>
        <v>392.9</v>
      </c>
      <c r="BE259" s="6"/>
      <c r="BF259" s="7">
        <f>ROUND(11.94,2)</f>
        <v>11.94</v>
      </c>
      <c r="BG259" s="6"/>
      <c r="BH259" s="6"/>
      <c r="BI259" s="7">
        <f>ROUND(17,2)</f>
        <v>17</v>
      </c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7">
        <f>ROUND(10,2)</f>
        <v>10</v>
      </c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7">
        <f>ROUND(10,2)</f>
        <v>10</v>
      </c>
      <c r="CQ259" s="7">
        <f>ROUND(1094.39999999999,2)</f>
        <v>1094.4000000000001</v>
      </c>
      <c r="CR259" s="6"/>
      <c r="CS259" s="6"/>
      <c r="CT259" s="6"/>
      <c r="CU259" s="6"/>
      <c r="CV259" s="7">
        <f>ROUND(13923.69,2)</f>
        <v>13923.69</v>
      </c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7">
        <f>ROUND(2777.75999999999,2)</f>
        <v>2777.76</v>
      </c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7">
        <f>ROUND(589.5,2)</f>
        <v>589.5</v>
      </c>
      <c r="EE259" s="6"/>
      <c r="EF259" s="6"/>
      <c r="EG259" s="6"/>
      <c r="EH259" s="6"/>
      <c r="EI259" s="6"/>
      <c r="EJ259" s="6"/>
      <c r="EK259" s="7">
        <f>ROUND(140.45,2)</f>
        <v>140.44999999999999</v>
      </c>
      <c r="EL259" s="6"/>
      <c r="EM259" s="6"/>
      <c r="EN259" s="7">
        <f>ROUND(6875.75,2)</f>
        <v>6875.75</v>
      </c>
      <c r="EO259" s="6"/>
      <c r="EP259" s="7">
        <f>ROUND(313.43,2)</f>
        <v>313.43</v>
      </c>
      <c r="EQ259" s="6"/>
      <c r="ER259" s="6"/>
      <c r="ES259" s="6"/>
      <c r="ET259" s="7">
        <f>ROUND(297.5,2)</f>
        <v>297.5</v>
      </c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7">
        <f>ROUND(350,2)</f>
        <v>350</v>
      </c>
      <c r="FK259" s="6"/>
      <c r="FL259" s="6"/>
      <c r="FM259" s="6"/>
      <c r="FN259" s="6"/>
      <c r="FO259" s="6"/>
      <c r="FP259" s="6"/>
      <c r="FQ259" s="6"/>
      <c r="FR259" s="6"/>
      <c r="FS259" s="6"/>
      <c r="FT259" s="7">
        <f>ROUND(1500,2)</f>
        <v>1500</v>
      </c>
      <c r="FU259" s="6"/>
      <c r="FV259" s="6"/>
      <c r="FW259" s="6"/>
      <c r="FX259" s="7">
        <f>ROUND(283.7,2)</f>
        <v>283.7</v>
      </c>
      <c r="FY259" s="7">
        <f>ROUND(27051.78,2)</f>
        <v>27051.78</v>
      </c>
    </row>
    <row r="260" spans="1:181" x14ac:dyDescent="0.3">
      <c r="A260" s="4" t="s">
        <v>724</v>
      </c>
      <c r="B260" s="5" t="s">
        <v>1029</v>
      </c>
      <c r="C260" s="5" t="s">
        <v>181</v>
      </c>
      <c r="D260" s="5" t="s">
        <v>725</v>
      </c>
      <c r="E260" s="5" t="s">
        <v>726</v>
      </c>
      <c r="F260" s="5" t="s">
        <v>0</v>
      </c>
      <c r="G260" s="5" t="s">
        <v>183</v>
      </c>
      <c r="H260" s="8">
        <v>32.090000000000003</v>
      </c>
      <c r="I260" s="7">
        <f>ROUND(35381.27,2)</f>
        <v>35381.269999999997</v>
      </c>
      <c r="J260" s="6"/>
      <c r="K260" s="6"/>
      <c r="L260" s="6"/>
      <c r="M260" s="6"/>
      <c r="N260" s="7">
        <f>ROUND(622.17,2)</f>
        <v>622.16999999999996</v>
      </c>
      <c r="O260" s="6"/>
      <c r="P260" s="6"/>
      <c r="Q260" s="7">
        <f>ROUND(127.28,2)</f>
        <v>127.28</v>
      </c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7">
        <f>ROUND(28,2)</f>
        <v>28</v>
      </c>
      <c r="AV260" s="6"/>
      <c r="AW260" s="7">
        <f>ROUND(16,2)</f>
        <v>16</v>
      </c>
      <c r="AX260" s="6"/>
      <c r="AY260" s="7">
        <f>ROUND(32,2)</f>
        <v>32</v>
      </c>
      <c r="AZ260" s="6"/>
      <c r="BA260" s="6"/>
      <c r="BB260" s="7">
        <f>ROUND(40,2)</f>
        <v>40</v>
      </c>
      <c r="BC260" s="6"/>
      <c r="BD260" s="6"/>
      <c r="BE260" s="7">
        <f>ROUND(2.79,2)</f>
        <v>2.79</v>
      </c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7">
        <f>ROUND(1328,2)</f>
        <v>1328</v>
      </c>
      <c r="BT260" s="6"/>
      <c r="BU260" s="6"/>
      <c r="BV260" s="6"/>
      <c r="BW260" s="7">
        <f>ROUND(40,2)</f>
        <v>40</v>
      </c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7">
        <f>ROUND(48,2)</f>
        <v>48</v>
      </c>
      <c r="CQ260" s="7">
        <f>ROUND(2284.24,2)</f>
        <v>2284.2399999999998</v>
      </c>
      <c r="CR260" s="6"/>
      <c r="CS260" s="6"/>
      <c r="CT260" s="6"/>
      <c r="CU260" s="6"/>
      <c r="CV260" s="7">
        <f>ROUND(19965.44,2)</f>
        <v>19965.439999999999</v>
      </c>
      <c r="CW260" s="6"/>
      <c r="CX260" s="6"/>
      <c r="CY260" s="7">
        <f>ROUND(6126.61999999999,2)</f>
        <v>6126.62</v>
      </c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7">
        <f>ROUND(898.52,2)</f>
        <v>898.52</v>
      </c>
      <c r="EE260" s="6"/>
      <c r="EF260" s="7">
        <f>ROUND(513.44,2)</f>
        <v>513.44000000000005</v>
      </c>
      <c r="EG260" s="6"/>
      <c r="EH260" s="7">
        <f>ROUND(1026.88,2)</f>
        <v>1026.8800000000001</v>
      </c>
      <c r="EI260" s="6"/>
      <c r="EJ260" s="6"/>
      <c r="EK260" s="7">
        <f>ROUND(1283.6,2)</f>
        <v>1283.5999999999999</v>
      </c>
      <c r="EL260" s="6"/>
      <c r="EM260" s="6"/>
      <c r="EN260" s="6"/>
      <c r="EO260" s="7">
        <f>ROUND(89.53,2)</f>
        <v>89.53</v>
      </c>
      <c r="EP260" s="6"/>
      <c r="EQ260" s="6"/>
      <c r="ER260" s="6"/>
      <c r="ES260" s="6"/>
      <c r="ET260" s="6"/>
      <c r="EU260" s="6"/>
      <c r="EV260" s="7">
        <f>ROUND(500,2)</f>
        <v>500</v>
      </c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7">
        <f>ROUND(375,2)</f>
        <v>375</v>
      </c>
      <c r="FK260" s="6"/>
      <c r="FL260" s="6"/>
      <c r="FM260" s="6"/>
      <c r="FN260" s="6"/>
      <c r="FO260" s="6"/>
      <c r="FP260" s="6"/>
      <c r="FQ260" s="6"/>
      <c r="FR260" s="6"/>
      <c r="FS260" s="6"/>
      <c r="FT260" s="7">
        <f>ROUND(3000,2)</f>
        <v>3000</v>
      </c>
      <c r="FU260" s="6"/>
      <c r="FV260" s="6"/>
      <c r="FW260" s="6"/>
      <c r="FX260" s="7">
        <f>ROUND(1602.24,2)</f>
        <v>1602.24</v>
      </c>
      <c r="FY260" s="7">
        <f>ROUND(35381.27,2)</f>
        <v>35381.269999999997</v>
      </c>
    </row>
    <row r="261" spans="1:181" x14ac:dyDescent="0.3">
      <c r="A261" s="4" t="s">
        <v>727</v>
      </c>
      <c r="B261" s="5" t="s">
        <v>1029</v>
      </c>
      <c r="C261" s="5" t="s">
        <v>181</v>
      </c>
      <c r="D261" s="5" t="s">
        <v>449</v>
      </c>
      <c r="E261" s="5" t="s">
        <v>0</v>
      </c>
      <c r="F261" s="5" t="s">
        <v>0</v>
      </c>
      <c r="G261" s="5" t="s">
        <v>183</v>
      </c>
      <c r="H261" s="8">
        <v>33.380000000000003</v>
      </c>
      <c r="I261" s="7">
        <f>ROUND(72018.2999999999,2)</f>
        <v>72018.3</v>
      </c>
      <c r="J261" s="6"/>
      <c r="K261" s="6"/>
      <c r="L261" s="6"/>
      <c r="M261" s="6"/>
      <c r="N261" s="7">
        <f>ROUND(1522.97,2)</f>
        <v>1522.97</v>
      </c>
      <c r="O261" s="6"/>
      <c r="P261" s="6"/>
      <c r="Q261" s="7">
        <f>ROUND(121.55,2)</f>
        <v>121.55</v>
      </c>
      <c r="R261" s="6"/>
      <c r="S261" s="6"/>
      <c r="T261" s="6"/>
      <c r="U261" s="6"/>
      <c r="V261" s="7">
        <f>ROUND(10.63,2)</f>
        <v>10.63</v>
      </c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7">
        <f>ROUND(62,2)</f>
        <v>62</v>
      </c>
      <c r="AV261" s="7">
        <f>ROUND(6,2)</f>
        <v>6</v>
      </c>
      <c r="AW261" s="7">
        <f>ROUND(18.67,2)</f>
        <v>18.670000000000002</v>
      </c>
      <c r="AX261" s="7">
        <f>ROUND(5.33,2)</f>
        <v>5.33</v>
      </c>
      <c r="AY261" s="7">
        <f>ROUND(90.52,2)</f>
        <v>90.52</v>
      </c>
      <c r="AZ261" s="7">
        <f>ROUND(21.4799999999999,2)</f>
        <v>21.48</v>
      </c>
      <c r="BA261" s="6"/>
      <c r="BB261" s="7">
        <f>ROUND(32,2)</f>
        <v>32</v>
      </c>
      <c r="BC261" s="6"/>
      <c r="BD261" s="7">
        <f>ROUND(8,2)</f>
        <v>8</v>
      </c>
      <c r="BE261" s="6"/>
      <c r="BF261" s="6"/>
      <c r="BG261" s="6"/>
      <c r="BH261" s="6"/>
      <c r="BI261" s="6"/>
      <c r="BJ261" s="6"/>
      <c r="BK261" s="7">
        <f>ROUND(67.05,2)</f>
        <v>67.05</v>
      </c>
      <c r="BL261" s="7">
        <f>ROUND(1,2)</f>
        <v>1</v>
      </c>
      <c r="BM261" s="6"/>
      <c r="BN261" s="6"/>
      <c r="BO261" s="6"/>
      <c r="BP261" s="6"/>
      <c r="BQ261" s="6"/>
      <c r="BR261" s="6"/>
      <c r="BS261" s="6"/>
      <c r="BT261" s="7">
        <f>ROUND(10.49,2)</f>
        <v>10.49</v>
      </c>
      <c r="BU261" s="6"/>
      <c r="BV261" s="6"/>
      <c r="BW261" s="6"/>
      <c r="BX261" s="6"/>
      <c r="BY261" s="7">
        <f>ROUND(8,2)</f>
        <v>8</v>
      </c>
      <c r="BZ261" s="6"/>
      <c r="CA261" s="7">
        <f>ROUND(16,2)</f>
        <v>16</v>
      </c>
      <c r="CB261" s="7">
        <f>ROUND(414.88,2)</f>
        <v>414.88</v>
      </c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7">
        <f>ROUND(24,2)</f>
        <v>24</v>
      </c>
      <c r="CQ261" s="7">
        <f>ROUND(2440.56999999999,2)</f>
        <v>2440.5700000000002</v>
      </c>
      <c r="CR261" s="6"/>
      <c r="CS261" s="6"/>
      <c r="CT261" s="6"/>
      <c r="CU261" s="6"/>
      <c r="CV261" s="7">
        <f>ROUND(49763.3699999999,2)</f>
        <v>49763.37</v>
      </c>
      <c r="CW261" s="6"/>
      <c r="CX261" s="6"/>
      <c r="CY261" s="7">
        <f>ROUND(5965.78999999999,2)</f>
        <v>5965.79</v>
      </c>
      <c r="CZ261" s="6"/>
      <c r="DA261" s="6"/>
      <c r="DB261" s="6"/>
      <c r="DC261" s="6"/>
      <c r="DD261" s="7">
        <f>ROUND(352.92,2)</f>
        <v>352.92</v>
      </c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7">
        <f>ROUND(2019.82,2)</f>
        <v>2019.82</v>
      </c>
      <c r="EE261" s="7">
        <f>ROUND(297.48,2)</f>
        <v>297.48</v>
      </c>
      <c r="EF261" s="7">
        <f>ROUND(614.48,2)</f>
        <v>614.48</v>
      </c>
      <c r="EG261" s="7">
        <f>ROUND(256.56,2)</f>
        <v>256.56</v>
      </c>
      <c r="EH261" s="7">
        <f>ROUND(2966.34,2)</f>
        <v>2966.34</v>
      </c>
      <c r="EI261" s="7">
        <f>ROUND(1049.62999999999,2)</f>
        <v>1049.6300000000001</v>
      </c>
      <c r="EJ261" s="6"/>
      <c r="EK261" s="7">
        <f>ROUND(1026.88,2)</f>
        <v>1026.8800000000001</v>
      </c>
      <c r="EL261" s="6"/>
      <c r="EM261" s="6"/>
      <c r="EN261" s="7">
        <f>ROUND(256.72,2)</f>
        <v>256.72000000000003</v>
      </c>
      <c r="EO261" s="6"/>
      <c r="EP261" s="6"/>
      <c r="EQ261" s="6"/>
      <c r="ER261" s="6"/>
      <c r="ES261" s="6"/>
      <c r="ET261" s="6"/>
      <c r="EU261" s="6"/>
      <c r="EV261" s="7">
        <f>ROUND(500,2)</f>
        <v>500</v>
      </c>
      <c r="EW261" s="6"/>
      <c r="EX261" s="7">
        <f>ROUND(2190.91,2)</f>
        <v>2190.91</v>
      </c>
      <c r="EY261" s="7">
        <f>ROUND(48.36,2)</f>
        <v>48.36</v>
      </c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7">
        <f>ROUND(900,2)</f>
        <v>900</v>
      </c>
      <c r="FK261" s="6"/>
      <c r="FL261" s="6"/>
      <c r="FM261" s="6"/>
      <c r="FN261" s="6"/>
      <c r="FO261" s="6"/>
      <c r="FP261" s="6"/>
      <c r="FQ261" s="6"/>
      <c r="FR261" s="6"/>
      <c r="FS261" s="6"/>
      <c r="FT261" s="7">
        <f>ROUND(3000,2)</f>
        <v>3000</v>
      </c>
      <c r="FU261" s="6"/>
      <c r="FV261" s="6"/>
      <c r="FW261" s="6"/>
      <c r="FX261" s="7">
        <f>ROUND(809.04,2)</f>
        <v>809.04</v>
      </c>
      <c r="FY261" s="7">
        <f>ROUND(72018.2999999999,2)</f>
        <v>72018.3</v>
      </c>
    </row>
    <row r="262" spans="1:181" x14ac:dyDescent="0.3">
      <c r="A262" s="4" t="s">
        <v>728</v>
      </c>
      <c r="B262" s="5" t="s">
        <v>1029</v>
      </c>
      <c r="C262" s="5" t="s">
        <v>181</v>
      </c>
      <c r="D262" s="5" t="s">
        <v>354</v>
      </c>
      <c r="E262" s="5" t="s">
        <v>0</v>
      </c>
      <c r="F262" s="5" t="s">
        <v>0</v>
      </c>
      <c r="G262" s="5" t="s">
        <v>183</v>
      </c>
      <c r="H262" s="6">
        <v>33.380000000000003</v>
      </c>
      <c r="I262" s="7">
        <f>ROUND(42354.85,2)</f>
        <v>42354.85</v>
      </c>
      <c r="J262" s="6"/>
      <c r="K262" s="6"/>
      <c r="L262" s="6"/>
      <c r="M262" s="6"/>
      <c r="N262" s="7">
        <f>ROUND(1318.53,2)</f>
        <v>1318.53</v>
      </c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7">
        <f>ROUND(40,2)</f>
        <v>40</v>
      </c>
      <c r="AV262" s="6"/>
      <c r="AW262" s="7">
        <f>ROUND(5,2)</f>
        <v>5</v>
      </c>
      <c r="AX262" s="6"/>
      <c r="AY262" s="7">
        <f>ROUND(5,2)</f>
        <v>5</v>
      </c>
      <c r="AZ262" s="6"/>
      <c r="BA262" s="6"/>
      <c r="BB262" s="7">
        <f>ROUND(10,2)</f>
        <v>10</v>
      </c>
      <c r="BC262" s="6"/>
      <c r="BD262" s="7">
        <f>ROUND(8,2)</f>
        <v>8</v>
      </c>
      <c r="BE262" s="7">
        <f>ROUND(2.01,2)</f>
        <v>2.0099999999999998</v>
      </c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7">
        <f>ROUND(10,2)</f>
        <v>10</v>
      </c>
      <c r="BT262" s="7">
        <f>ROUND(4.17,2)</f>
        <v>4.17</v>
      </c>
      <c r="BU262" s="6"/>
      <c r="BV262" s="6"/>
      <c r="BW262" s="6"/>
      <c r="BX262" s="6"/>
      <c r="BY262" s="6"/>
      <c r="BZ262" s="6"/>
      <c r="CA262" s="7">
        <f>ROUND(5,2)</f>
        <v>5</v>
      </c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7">
        <f>ROUND(10,2)</f>
        <v>10</v>
      </c>
      <c r="CQ262" s="7">
        <f>ROUND(1417.70999999999,2)</f>
        <v>1417.71</v>
      </c>
      <c r="CR262" s="6"/>
      <c r="CS262" s="6"/>
      <c r="CT262" s="6"/>
      <c r="CU262" s="6"/>
      <c r="CV262" s="7">
        <f>ROUND(37798.58,2)</f>
        <v>37798.58</v>
      </c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7">
        <f>ROUND(1158.65,2)</f>
        <v>1158.6500000000001</v>
      </c>
      <c r="EE262" s="6"/>
      <c r="EF262" s="7">
        <f>ROUND(148.75,2)</f>
        <v>148.75</v>
      </c>
      <c r="EG262" s="6"/>
      <c r="EH262" s="7">
        <f>ROUND(148.75,2)</f>
        <v>148.75</v>
      </c>
      <c r="EI262" s="6"/>
      <c r="EJ262" s="6"/>
      <c r="EK262" s="7">
        <f>ROUND(285.15,2)</f>
        <v>285.14999999999998</v>
      </c>
      <c r="EL262" s="6"/>
      <c r="EM262" s="6"/>
      <c r="EN262" s="7">
        <f>ROUND(218.24,2)</f>
        <v>218.24</v>
      </c>
      <c r="EO262" s="7">
        <f>ROUND(54.83,2)</f>
        <v>54.83</v>
      </c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7">
        <f>ROUND(725,2)</f>
        <v>725</v>
      </c>
      <c r="FK262" s="6"/>
      <c r="FL262" s="6"/>
      <c r="FM262" s="6"/>
      <c r="FN262" s="6"/>
      <c r="FO262" s="6"/>
      <c r="FP262" s="6"/>
      <c r="FQ262" s="6"/>
      <c r="FR262" s="6"/>
      <c r="FS262" s="6"/>
      <c r="FT262" s="7">
        <f>ROUND(1500,2)</f>
        <v>1500</v>
      </c>
      <c r="FU262" s="6"/>
      <c r="FV262" s="6"/>
      <c r="FW262" s="6"/>
      <c r="FX262" s="7">
        <f>ROUND(316.9,2)</f>
        <v>316.89999999999998</v>
      </c>
      <c r="FY262" s="7">
        <f>ROUND(42354.85,2)</f>
        <v>42354.85</v>
      </c>
    </row>
    <row r="263" spans="1:181" x14ac:dyDescent="0.3">
      <c r="A263" s="4" t="s">
        <v>729</v>
      </c>
      <c r="B263" s="5" t="s">
        <v>1029</v>
      </c>
      <c r="C263" s="5" t="s">
        <v>181</v>
      </c>
      <c r="D263" s="5" t="s">
        <v>196</v>
      </c>
      <c r="E263" s="5" t="s">
        <v>0</v>
      </c>
      <c r="F263" s="5" t="s">
        <v>0</v>
      </c>
      <c r="G263" s="5" t="s">
        <v>183</v>
      </c>
      <c r="H263" s="8">
        <v>33.380000000000003</v>
      </c>
      <c r="I263" s="7">
        <f>ROUND(92396.7399999999,2)</f>
        <v>92396.74</v>
      </c>
      <c r="J263" s="6"/>
      <c r="K263" s="6"/>
      <c r="L263" s="6"/>
      <c r="M263" s="6"/>
      <c r="N263" s="7">
        <f>ROUND(961.59,2)</f>
        <v>961.59</v>
      </c>
      <c r="O263" s="6"/>
      <c r="P263" s="6"/>
      <c r="Q263" s="7">
        <f>ROUND(256.5,2)</f>
        <v>256.5</v>
      </c>
      <c r="R263" s="6"/>
      <c r="S263" s="6"/>
      <c r="T263" s="6"/>
      <c r="U263" s="6"/>
      <c r="V263" s="7">
        <f>ROUND(9.16,2)</f>
        <v>9.16</v>
      </c>
      <c r="W263" s="7">
        <f>ROUND(8.08,2)</f>
        <v>8.08</v>
      </c>
      <c r="X263" s="7">
        <f>ROUND(3.89,2)</f>
        <v>3.89</v>
      </c>
      <c r="Y263" s="7">
        <f>ROUND(1.94,2)</f>
        <v>1.94</v>
      </c>
      <c r="Z263" s="6"/>
      <c r="AA263" s="6"/>
      <c r="AB263" s="6"/>
      <c r="AC263" s="6"/>
      <c r="AD263" s="6"/>
      <c r="AE263" s="7">
        <f>ROUND(363.64,2)</f>
        <v>363.64</v>
      </c>
      <c r="AF263" s="6"/>
      <c r="AG263" s="7">
        <f>ROUND(31.28,2)</f>
        <v>31.28</v>
      </c>
      <c r="AH263" s="6"/>
      <c r="AI263" s="6"/>
      <c r="AJ263" s="6"/>
      <c r="AK263" s="6"/>
      <c r="AL263" s="6"/>
      <c r="AM263" s="6"/>
      <c r="AN263" s="6"/>
      <c r="AO263" s="6"/>
      <c r="AP263" s="7">
        <f>ROUND(601.64,2)</f>
        <v>601.64</v>
      </c>
      <c r="AQ263" s="6"/>
      <c r="AR263" s="7">
        <f>ROUND(53.56,2)</f>
        <v>53.56</v>
      </c>
      <c r="AS263" s="6"/>
      <c r="AT263" s="6"/>
      <c r="AU263" s="7">
        <f>ROUND(74.75,2)</f>
        <v>74.75</v>
      </c>
      <c r="AV263" s="7">
        <f>ROUND(1.25,2)</f>
        <v>1.25</v>
      </c>
      <c r="AW263" s="7">
        <f>ROUND(6.85,2)</f>
        <v>6.85</v>
      </c>
      <c r="AX263" s="7">
        <f>ROUND(9.15,2)</f>
        <v>9.15</v>
      </c>
      <c r="AY263" s="7">
        <f>ROUND(40,2)</f>
        <v>40</v>
      </c>
      <c r="AZ263" s="6"/>
      <c r="BA263" s="6"/>
      <c r="BB263" s="7">
        <f>ROUND(16,2)</f>
        <v>16</v>
      </c>
      <c r="BC263" s="6"/>
      <c r="BD263" s="7">
        <f>ROUND(8,2)</f>
        <v>8</v>
      </c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7">
        <f>ROUND(35.17,2)</f>
        <v>35.17</v>
      </c>
      <c r="BP263" s="7">
        <f>ROUND(5,2)</f>
        <v>5</v>
      </c>
      <c r="BQ263" s="7">
        <f>ROUND(6.13,2)</f>
        <v>6.13</v>
      </c>
      <c r="BR263" s="7">
        <f>ROUND(3.87,2)</f>
        <v>3.87</v>
      </c>
      <c r="BS263" s="6"/>
      <c r="BT263" s="7">
        <f>ROUND(1.9,2)</f>
        <v>1.9</v>
      </c>
      <c r="BU263" s="6"/>
      <c r="BV263" s="6"/>
      <c r="BW263" s="6"/>
      <c r="BX263" s="6"/>
      <c r="BY263" s="6"/>
      <c r="BZ263" s="6"/>
      <c r="CA263" s="7">
        <f>ROUND(16,2)</f>
        <v>16</v>
      </c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7">
        <f>ROUND(24,2)</f>
        <v>24</v>
      </c>
      <c r="CQ263" s="7">
        <f>ROUND(2539.35,2)</f>
        <v>2539.35</v>
      </c>
      <c r="CR263" s="6"/>
      <c r="CS263" s="6"/>
      <c r="CT263" s="6"/>
      <c r="CU263" s="6"/>
      <c r="CV263" s="7">
        <f>ROUND(31405.61,2)</f>
        <v>31405.61</v>
      </c>
      <c r="CW263" s="6"/>
      <c r="CX263" s="6"/>
      <c r="CY263" s="7">
        <f>ROUND(12567.42,2)</f>
        <v>12567.42</v>
      </c>
      <c r="CZ263" s="6"/>
      <c r="DA263" s="6"/>
      <c r="DB263" s="6"/>
      <c r="DC263" s="6"/>
      <c r="DD263" s="7">
        <f>ROUND(297.44,2)</f>
        <v>297.44</v>
      </c>
      <c r="DE263" s="7">
        <f>ROUND(400.57,2)</f>
        <v>400.57</v>
      </c>
      <c r="DF263" s="7">
        <f>ROUND(126.38,2)</f>
        <v>126.38</v>
      </c>
      <c r="DG263" s="7">
        <f>ROUND(94.82,2)</f>
        <v>94.82</v>
      </c>
      <c r="DH263" s="6"/>
      <c r="DI263" s="6"/>
      <c r="DJ263" s="6"/>
      <c r="DK263" s="6"/>
      <c r="DL263" s="6"/>
      <c r="DM263" s="6"/>
      <c r="DN263" s="7">
        <f>ROUND(11878.4099999999,2)</f>
        <v>11878.41</v>
      </c>
      <c r="DO263" s="6"/>
      <c r="DP263" s="7">
        <f>ROUND(1521.1,2)</f>
        <v>1521.1</v>
      </c>
      <c r="DQ263" s="6"/>
      <c r="DR263" s="6"/>
      <c r="DS263" s="6"/>
      <c r="DT263" s="6"/>
      <c r="DU263" s="6"/>
      <c r="DV263" s="6"/>
      <c r="DW263" s="6"/>
      <c r="DX263" s="6"/>
      <c r="DY263" s="7">
        <f>ROUND(19610.11,2)</f>
        <v>19610.11</v>
      </c>
      <c r="DZ263" s="6"/>
      <c r="EA263" s="7">
        <f>ROUND(2626.53999999999,2)</f>
        <v>2626.54</v>
      </c>
      <c r="EB263" s="6"/>
      <c r="EC263" s="6"/>
      <c r="ED263" s="7">
        <f>ROUND(2435.39,2)</f>
        <v>2435.39</v>
      </c>
      <c r="EE263" s="7">
        <f>ROUND(61.98,2)</f>
        <v>61.98</v>
      </c>
      <c r="EF263" s="7">
        <f>ROUND(219.82,2)</f>
        <v>219.82</v>
      </c>
      <c r="EG263" s="7">
        <f>ROUND(440.439999999999,2)</f>
        <v>440.44</v>
      </c>
      <c r="EH263" s="7">
        <f>ROUND(1283.6,2)</f>
        <v>1283.5999999999999</v>
      </c>
      <c r="EI263" s="6"/>
      <c r="EJ263" s="6"/>
      <c r="EK263" s="7">
        <f>ROUND(521.12,2)</f>
        <v>521.12</v>
      </c>
      <c r="EL263" s="6"/>
      <c r="EM263" s="6"/>
      <c r="EN263" s="7">
        <f>ROUND(256.72,2)</f>
        <v>256.72000000000003</v>
      </c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7">
        <f>ROUND(1154.69,2)</f>
        <v>1154.69</v>
      </c>
      <c r="FC263" s="7">
        <f>ROUND(249,2)</f>
        <v>249</v>
      </c>
      <c r="FD263" s="7">
        <f>ROUND(202.6,2)</f>
        <v>202.6</v>
      </c>
      <c r="FE263" s="7">
        <f>ROUND(191.86,2)</f>
        <v>191.86</v>
      </c>
      <c r="FF263" s="6"/>
      <c r="FG263" s="6"/>
      <c r="FH263" s="6"/>
      <c r="FI263" s="6"/>
      <c r="FJ263" s="7">
        <f>ROUND(1050,2)</f>
        <v>1050</v>
      </c>
      <c r="FK263" s="6"/>
      <c r="FL263" s="6"/>
      <c r="FM263" s="6"/>
      <c r="FN263" s="6"/>
      <c r="FO263" s="6"/>
      <c r="FP263" s="6"/>
      <c r="FQ263" s="6"/>
      <c r="FR263" s="6"/>
      <c r="FS263" s="6"/>
      <c r="FT263" s="7">
        <f>ROUND(3000,2)</f>
        <v>3000</v>
      </c>
      <c r="FU263" s="6"/>
      <c r="FV263" s="6"/>
      <c r="FW263" s="6"/>
      <c r="FX263" s="7">
        <f>ROUND(801.12,2)</f>
        <v>801.12</v>
      </c>
      <c r="FY263" s="7">
        <f>ROUND(92396.74,2)</f>
        <v>92396.74</v>
      </c>
    </row>
    <row r="264" spans="1:181" x14ac:dyDescent="0.3">
      <c r="A264" s="4" t="s">
        <v>730</v>
      </c>
      <c r="B264" s="5"/>
      <c r="C264" s="5" t="s">
        <v>731</v>
      </c>
      <c r="D264" s="5" t="s">
        <v>461</v>
      </c>
      <c r="E264" s="5" t="s">
        <v>0</v>
      </c>
      <c r="F264" s="5" t="s">
        <v>0</v>
      </c>
      <c r="G264" s="5" t="s">
        <v>732</v>
      </c>
      <c r="H264" s="8">
        <f>ROUND(50,2)</f>
        <v>50</v>
      </c>
      <c r="I264" s="7">
        <f>ROUND(61862.5,2)</f>
        <v>61862.5</v>
      </c>
      <c r="J264" s="7">
        <f>ROUND(1199,2)</f>
        <v>1199</v>
      </c>
      <c r="K264" s="7">
        <f>ROUND(25.5,2)</f>
        <v>25.5</v>
      </c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7">
        <f>ROUND(1224.5,2)</f>
        <v>1224.5</v>
      </c>
      <c r="CR264" s="7">
        <f>ROUND(59950,2)</f>
        <v>59950</v>
      </c>
      <c r="CS264" s="7">
        <f>ROUND(1912.5,2)</f>
        <v>1912.5</v>
      </c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7">
        <f>ROUND(61862.5,2)</f>
        <v>61862.5</v>
      </c>
    </row>
    <row r="265" spans="1:181" x14ac:dyDescent="0.3">
      <c r="A265" s="4" t="s">
        <v>733</v>
      </c>
      <c r="B265" s="5" t="s">
        <v>1029</v>
      </c>
      <c r="C265" s="5" t="s">
        <v>181</v>
      </c>
      <c r="D265" s="5" t="s">
        <v>734</v>
      </c>
      <c r="E265" s="5" t="s">
        <v>735</v>
      </c>
      <c r="F265" s="5" t="s">
        <v>0</v>
      </c>
      <c r="G265" s="5" t="s">
        <v>183</v>
      </c>
      <c r="H265" s="8">
        <v>33.380000000000003</v>
      </c>
      <c r="I265" s="7">
        <f>ROUND(92575.43,2)</f>
        <v>92575.43</v>
      </c>
      <c r="J265" s="6"/>
      <c r="K265" s="6"/>
      <c r="L265" s="6"/>
      <c r="M265" s="6"/>
      <c r="N265" s="7">
        <f>ROUND(1748.54,2)</f>
        <v>1748.54</v>
      </c>
      <c r="O265" s="6"/>
      <c r="P265" s="6"/>
      <c r="Q265" s="7">
        <f>ROUND(372.159999999999,2)</f>
        <v>372.16</v>
      </c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7">
        <f>ROUND(62.55,2)</f>
        <v>62.55</v>
      </c>
      <c r="AV265" s="7">
        <f>ROUND(5.45,2)</f>
        <v>5.45</v>
      </c>
      <c r="AW265" s="7">
        <f>ROUND(33.85,2)</f>
        <v>33.85</v>
      </c>
      <c r="AX265" s="7">
        <f>ROUND(14.1499999999999,2)</f>
        <v>14.15</v>
      </c>
      <c r="AY265" s="7">
        <f>ROUND(242.929999999999,2)</f>
        <v>242.93</v>
      </c>
      <c r="AZ265" s="7">
        <f>ROUND(13.07,2)</f>
        <v>13.07</v>
      </c>
      <c r="BA265" s="6"/>
      <c r="BB265" s="7">
        <f>ROUND(16,2)</f>
        <v>16</v>
      </c>
      <c r="BC265" s="6"/>
      <c r="BD265" s="7">
        <f>ROUND(8,2)</f>
        <v>8</v>
      </c>
      <c r="BE265" s="7">
        <f>ROUND(0.82,2)</f>
        <v>0.82</v>
      </c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7">
        <f>ROUND(8,2)</f>
        <v>8</v>
      </c>
      <c r="BT265" s="7">
        <f>ROUND(3.75,2)</f>
        <v>3.75</v>
      </c>
      <c r="BU265" s="6"/>
      <c r="BV265" s="6"/>
      <c r="BW265" s="6"/>
      <c r="BX265" s="6"/>
      <c r="BY265" s="7">
        <f>ROUND(24,2)</f>
        <v>24</v>
      </c>
      <c r="BZ265" s="6"/>
      <c r="CA265" s="7">
        <f>ROUND(16,2)</f>
        <v>16</v>
      </c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7">
        <f>ROUND(2569.26999999999,2)</f>
        <v>2569.27</v>
      </c>
      <c r="CR265" s="6"/>
      <c r="CS265" s="6"/>
      <c r="CT265" s="6"/>
      <c r="CU265" s="6"/>
      <c r="CV265" s="7">
        <f>ROUND(57025.8799999999,2)</f>
        <v>57025.88</v>
      </c>
      <c r="CW265" s="6"/>
      <c r="CX265" s="6"/>
      <c r="CY265" s="7">
        <f>ROUND(18149.8499999999,2)</f>
        <v>18149.849999999999</v>
      </c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7">
        <f>ROUND(2040.64,2)</f>
        <v>2040.64</v>
      </c>
      <c r="EE265" s="7">
        <f>ROUND(270.21,2)</f>
        <v>270.20999999999998</v>
      </c>
      <c r="EF265" s="7">
        <f>ROUND(1114.5,2)</f>
        <v>1114.5</v>
      </c>
      <c r="EG265" s="7">
        <f>ROUND(697.05,2)</f>
        <v>697.05</v>
      </c>
      <c r="EH265" s="7">
        <f>ROUND(7865.45,2)</f>
        <v>7865.45</v>
      </c>
      <c r="EI265" s="7">
        <f>ROUND(639.59,2)</f>
        <v>639.59</v>
      </c>
      <c r="EJ265" s="6"/>
      <c r="EK265" s="7">
        <f>ROUND(513.44,2)</f>
        <v>513.44000000000005</v>
      </c>
      <c r="EL265" s="6"/>
      <c r="EM265" s="6"/>
      <c r="EN265" s="7">
        <f>ROUND(256.72,2)</f>
        <v>256.72000000000003</v>
      </c>
      <c r="EO265" s="7">
        <f>ROUND(27.1,2)</f>
        <v>27.1</v>
      </c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7">
        <f>ROUND(975,2)</f>
        <v>975</v>
      </c>
      <c r="FK265" s="6"/>
      <c r="FL265" s="6"/>
      <c r="FM265" s="6"/>
      <c r="FN265" s="6"/>
      <c r="FO265" s="6"/>
      <c r="FP265" s="6"/>
      <c r="FQ265" s="6"/>
      <c r="FR265" s="6"/>
      <c r="FS265" s="6"/>
      <c r="FT265" s="7">
        <f>ROUND(3000,2)</f>
        <v>3000</v>
      </c>
      <c r="FU265" s="6"/>
      <c r="FV265" s="6"/>
      <c r="FW265" s="6"/>
      <c r="FX265" s="6"/>
      <c r="FY265" s="7">
        <f>ROUND(92575.43,2)</f>
        <v>92575.43</v>
      </c>
    </row>
    <row r="266" spans="1:181" ht="26.4" x14ac:dyDescent="0.3">
      <c r="A266" s="4" t="s">
        <v>736</v>
      </c>
      <c r="B266" s="5"/>
      <c r="C266" s="5" t="s">
        <v>244</v>
      </c>
      <c r="D266" s="5" t="s">
        <v>737</v>
      </c>
      <c r="E266" s="5" t="s">
        <v>0</v>
      </c>
      <c r="F266" s="5" t="s">
        <v>0</v>
      </c>
      <c r="G266" s="5" t="s">
        <v>247</v>
      </c>
      <c r="H266" s="8">
        <f>ROUND(20.2601,2)</f>
        <v>20.260000000000002</v>
      </c>
      <c r="I266" s="7">
        <f>ROUND(44929.09,2)</f>
        <v>44929.09</v>
      </c>
      <c r="J266" s="7">
        <f>ROUND(1853.5,2)</f>
        <v>1853.5</v>
      </c>
      <c r="K266" s="7">
        <f>ROUND(4.75,2)</f>
        <v>4.75</v>
      </c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7">
        <f>ROUND(24,2)</f>
        <v>24</v>
      </c>
      <c r="BX266" s="6"/>
      <c r="BY266" s="6"/>
      <c r="BZ266" s="6"/>
      <c r="CA266" s="6"/>
      <c r="CB266" s="6"/>
      <c r="CC266" s="6"/>
      <c r="CD266" s="6"/>
      <c r="CE266" s="6"/>
      <c r="CF266" s="6"/>
      <c r="CG266" s="7">
        <f>ROUND(49,2)</f>
        <v>49</v>
      </c>
      <c r="CH266" s="7">
        <f>ROUND(36,2)</f>
        <v>36</v>
      </c>
      <c r="CI266" s="7">
        <f>ROUND(32,2)</f>
        <v>32</v>
      </c>
      <c r="CJ266" s="7">
        <f>ROUND(12,2)</f>
        <v>12</v>
      </c>
      <c r="CK266" s="6"/>
      <c r="CL266" s="7">
        <f>ROUND(23,2)</f>
        <v>23</v>
      </c>
      <c r="CM266" s="6"/>
      <c r="CN266" s="7">
        <f>ROUND(79,2)</f>
        <v>79</v>
      </c>
      <c r="CO266" s="6"/>
      <c r="CP266" s="6"/>
      <c r="CQ266" s="7">
        <f>ROUND(2113.25,2)</f>
        <v>2113.25</v>
      </c>
      <c r="CR266" s="7">
        <f>ROUND(37551.91,2)</f>
        <v>37551.910000000003</v>
      </c>
      <c r="CS266" s="7">
        <f>ROUND(144.359999999999,2)</f>
        <v>144.36000000000001</v>
      </c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7">
        <f>ROUND(486.24,2)</f>
        <v>486.24</v>
      </c>
      <c r="FH266" s="6"/>
      <c r="FI266" s="6"/>
      <c r="FJ266" s="7">
        <f>ROUND(1944.96,2)</f>
        <v>1944.96</v>
      </c>
      <c r="FK266" s="6"/>
      <c r="FL266" s="6"/>
      <c r="FM266" s="7">
        <f>ROUND(992.739999999999,2)</f>
        <v>992.74</v>
      </c>
      <c r="FN266" s="7">
        <f>ROUND(729.36,2)</f>
        <v>729.36</v>
      </c>
      <c r="FO266" s="7">
        <f>ROUND(648.319999999999,2)</f>
        <v>648.32000000000005</v>
      </c>
      <c r="FP266" s="7">
        <f>ROUND(364.68,2)</f>
        <v>364.68</v>
      </c>
      <c r="FQ266" s="6"/>
      <c r="FR266" s="6"/>
      <c r="FS266" s="7">
        <f>ROUND(465.98,2)</f>
        <v>465.98</v>
      </c>
      <c r="FT266" s="6"/>
      <c r="FU266" s="6"/>
      <c r="FV266" s="7">
        <f>ROUND(1600.54,2)</f>
        <v>1600.54</v>
      </c>
      <c r="FW266" s="6"/>
      <c r="FX266" s="6"/>
      <c r="FY266" s="7">
        <f>ROUND(44929.09,2)</f>
        <v>44929.09</v>
      </c>
    </row>
    <row r="267" spans="1:181" x14ac:dyDescent="0.3">
      <c r="A267" s="4" t="s">
        <v>738</v>
      </c>
      <c r="B267" s="5" t="s">
        <v>1029</v>
      </c>
      <c r="C267" s="5" t="s">
        <v>181</v>
      </c>
      <c r="D267" s="5" t="s">
        <v>739</v>
      </c>
      <c r="E267" s="5" t="s">
        <v>0</v>
      </c>
      <c r="F267" s="5" t="s">
        <v>0</v>
      </c>
      <c r="G267" s="5" t="s">
        <v>183</v>
      </c>
      <c r="H267" s="8">
        <v>33.380000000000003</v>
      </c>
      <c r="I267" s="7">
        <f>ROUND(87377.0999999999,2)</f>
        <v>87377.1</v>
      </c>
      <c r="J267" s="6"/>
      <c r="K267" s="6"/>
      <c r="L267" s="6"/>
      <c r="M267" s="6"/>
      <c r="N267" s="7">
        <f>ROUND(1546.69999999999,2)</f>
        <v>1546.7</v>
      </c>
      <c r="O267" s="6"/>
      <c r="P267" s="6"/>
      <c r="Q267" s="7">
        <f>ROUND(302.039999999999,2)</f>
        <v>302.04000000000002</v>
      </c>
      <c r="R267" s="6"/>
      <c r="S267" s="6"/>
      <c r="T267" s="6"/>
      <c r="U267" s="6"/>
      <c r="V267" s="7">
        <f>ROUND(5.23,2)</f>
        <v>5.23</v>
      </c>
      <c r="W267" s="7">
        <f>ROUND(6.27,2)</f>
        <v>6.27</v>
      </c>
      <c r="X267" s="7">
        <f>ROUND(0.56,2)</f>
        <v>0.56000000000000005</v>
      </c>
      <c r="Y267" s="7">
        <f>ROUND(0.08,2)</f>
        <v>0.08</v>
      </c>
      <c r="Z267" s="6"/>
      <c r="AA267" s="6"/>
      <c r="AB267" s="6"/>
      <c r="AC267" s="6"/>
      <c r="AD267" s="6"/>
      <c r="AE267" s="7">
        <f>ROUND(53.82,2)</f>
        <v>53.82</v>
      </c>
      <c r="AF267" s="6"/>
      <c r="AG267" s="7">
        <f>ROUND(10.58,2)</f>
        <v>10.58</v>
      </c>
      <c r="AH267" s="6"/>
      <c r="AI267" s="6"/>
      <c r="AJ267" s="6"/>
      <c r="AK267" s="6"/>
      <c r="AL267" s="6"/>
      <c r="AM267" s="6"/>
      <c r="AN267" s="6"/>
      <c r="AO267" s="6"/>
      <c r="AP267" s="7">
        <f>ROUND(135.44,2)</f>
        <v>135.44</v>
      </c>
      <c r="AQ267" s="6"/>
      <c r="AR267" s="7">
        <f>ROUND(26.5,2)</f>
        <v>26.5</v>
      </c>
      <c r="AS267" s="6"/>
      <c r="AT267" s="6"/>
      <c r="AU267" s="7">
        <f>ROUND(66,2)</f>
        <v>66</v>
      </c>
      <c r="AV267" s="6"/>
      <c r="AW267" s="7">
        <f>ROUND(20.75,2)</f>
        <v>20.75</v>
      </c>
      <c r="AX267" s="7">
        <f>ROUND(11.25,2)</f>
        <v>11.25</v>
      </c>
      <c r="AY267" s="7">
        <f>ROUND(46,2)</f>
        <v>46</v>
      </c>
      <c r="AZ267" s="6"/>
      <c r="BA267" s="6"/>
      <c r="BB267" s="7">
        <f>ROUND(48,2)</f>
        <v>48</v>
      </c>
      <c r="BC267" s="6"/>
      <c r="BD267" s="7">
        <f>ROUND(8,2)</f>
        <v>8</v>
      </c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7">
        <f>ROUND(5,2)</f>
        <v>5</v>
      </c>
      <c r="BP267" s="6"/>
      <c r="BQ267" s="7">
        <f>ROUND(56.2699999999999,2)</f>
        <v>56.27</v>
      </c>
      <c r="BR267" s="7">
        <f>ROUND(24.73,2)</f>
        <v>24.73</v>
      </c>
      <c r="BS267" s="6"/>
      <c r="BT267" s="7">
        <f>ROUND(12.35,2)</f>
        <v>12.35</v>
      </c>
      <c r="BU267" s="7">
        <f>ROUND(27.83,2)</f>
        <v>27.83</v>
      </c>
      <c r="BV267" s="6"/>
      <c r="BW267" s="7">
        <f>ROUND(8,2)</f>
        <v>8</v>
      </c>
      <c r="BX267" s="6"/>
      <c r="BY267" s="6"/>
      <c r="BZ267" s="7">
        <f>ROUND(136,2)</f>
        <v>136</v>
      </c>
      <c r="CA267" s="7">
        <f>ROUND(29.78,2)</f>
        <v>29.78</v>
      </c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7">
        <f>ROUND(2587.18,2)</f>
        <v>2587.1799999999998</v>
      </c>
      <c r="CR267" s="6"/>
      <c r="CS267" s="6"/>
      <c r="CT267" s="6"/>
      <c r="CU267" s="6"/>
      <c r="CV267" s="7">
        <f>ROUND(50291.8899999999,2)</f>
        <v>50291.89</v>
      </c>
      <c r="CW267" s="6"/>
      <c r="CX267" s="6"/>
      <c r="CY267" s="7">
        <f>ROUND(14764.4299999999,2)</f>
        <v>14764.43</v>
      </c>
      <c r="CZ267" s="6"/>
      <c r="DA267" s="6"/>
      <c r="DB267" s="6"/>
      <c r="DC267" s="6"/>
      <c r="DD267" s="7">
        <f>ROUND(173.64,2)</f>
        <v>173.64</v>
      </c>
      <c r="DE267" s="7">
        <f>ROUND(303.93,2)</f>
        <v>303.93</v>
      </c>
      <c r="DF267" s="7">
        <f>ROUND(18.46,2)</f>
        <v>18.46</v>
      </c>
      <c r="DG267" s="7">
        <f>ROUND(3.97,2)</f>
        <v>3.97</v>
      </c>
      <c r="DH267" s="6"/>
      <c r="DI267" s="6"/>
      <c r="DJ267" s="6"/>
      <c r="DK267" s="6"/>
      <c r="DL267" s="6"/>
      <c r="DM267" s="6"/>
      <c r="DN267" s="7">
        <f>ROUND(1743.57,2)</f>
        <v>1743.57</v>
      </c>
      <c r="DO267" s="6"/>
      <c r="DP267" s="7">
        <f>ROUND(528.88,2)</f>
        <v>528.88</v>
      </c>
      <c r="DQ267" s="6"/>
      <c r="DR267" s="6"/>
      <c r="DS267" s="6"/>
      <c r="DT267" s="6"/>
      <c r="DU267" s="6"/>
      <c r="DV267" s="6"/>
      <c r="DW267" s="6"/>
      <c r="DX267" s="6"/>
      <c r="DY267" s="7">
        <f>ROUND(4422.94,2)</f>
        <v>4422.9399999999996</v>
      </c>
      <c r="DZ267" s="6"/>
      <c r="EA267" s="7">
        <f>ROUND(1281.88,2)</f>
        <v>1281.8800000000001</v>
      </c>
      <c r="EB267" s="6"/>
      <c r="EC267" s="6"/>
      <c r="ED267" s="7">
        <f>ROUND(2140.98,2)</f>
        <v>2140.98</v>
      </c>
      <c r="EE267" s="6"/>
      <c r="EF267" s="7">
        <f>ROUND(665.87,2)</f>
        <v>665.87</v>
      </c>
      <c r="EG267" s="7">
        <f>ROUND(541.53,2)</f>
        <v>541.53</v>
      </c>
      <c r="EH267" s="7">
        <f>ROUND(1504.94,2)</f>
        <v>1504.94</v>
      </c>
      <c r="EI267" s="6"/>
      <c r="EJ267" s="6"/>
      <c r="EK267" s="7">
        <f>ROUND(1540.32,2)</f>
        <v>1540.32</v>
      </c>
      <c r="EL267" s="6"/>
      <c r="EM267" s="6"/>
      <c r="EN267" s="7">
        <f>ROUND(256.72,2)</f>
        <v>256.72000000000003</v>
      </c>
      <c r="EO267" s="6"/>
      <c r="EP267" s="6"/>
      <c r="EQ267" s="6"/>
      <c r="ER267" s="7">
        <f>ROUND(344,2)</f>
        <v>344</v>
      </c>
      <c r="ES267" s="6"/>
      <c r="ET267" s="6"/>
      <c r="EU267" s="6"/>
      <c r="EV267" s="6"/>
      <c r="EW267" s="6"/>
      <c r="EX267" s="6"/>
      <c r="EY267" s="6"/>
      <c r="EZ267" s="6"/>
      <c r="FA267" s="6"/>
      <c r="FB267" s="7">
        <f>ROUND(160.45,2)</f>
        <v>160.44999999999999</v>
      </c>
      <c r="FC267" s="6"/>
      <c r="FD267" s="7">
        <f>ROUND(1862.7,2)</f>
        <v>1862.7</v>
      </c>
      <c r="FE267" s="7">
        <f>ROUND(1226,2)</f>
        <v>1226</v>
      </c>
      <c r="FF267" s="6"/>
      <c r="FG267" s="6"/>
      <c r="FH267" s="6"/>
      <c r="FI267" s="6"/>
      <c r="FJ267" s="7">
        <f>ROUND(600,2)</f>
        <v>600</v>
      </c>
      <c r="FK267" s="6"/>
      <c r="FL267" s="6"/>
      <c r="FM267" s="6"/>
      <c r="FN267" s="6"/>
      <c r="FO267" s="6"/>
      <c r="FP267" s="6"/>
      <c r="FQ267" s="6"/>
      <c r="FR267" s="6"/>
      <c r="FS267" s="6"/>
      <c r="FT267" s="7">
        <f>ROUND(3000,2)</f>
        <v>3000</v>
      </c>
      <c r="FU267" s="6"/>
      <c r="FV267" s="6"/>
      <c r="FW267" s="6"/>
      <c r="FX267" s="6"/>
      <c r="FY267" s="7">
        <f>ROUND(87377.0999999999,2)</f>
        <v>87377.1</v>
      </c>
    </row>
    <row r="268" spans="1:181" x14ac:dyDescent="0.3">
      <c r="A268" s="4" t="s">
        <v>740</v>
      </c>
      <c r="B268" s="5"/>
      <c r="C268" s="5" t="s">
        <v>244</v>
      </c>
      <c r="D268" s="5" t="s">
        <v>741</v>
      </c>
      <c r="E268" s="5" t="s">
        <v>0</v>
      </c>
      <c r="F268" s="5" t="s">
        <v>0</v>
      </c>
      <c r="G268" s="5" t="s">
        <v>742</v>
      </c>
      <c r="H268" s="8">
        <f>ROUND(20.2601,2)</f>
        <v>20.260000000000002</v>
      </c>
      <c r="I268" s="7">
        <f>ROUND(45007.6,2)</f>
        <v>45007.6</v>
      </c>
      <c r="J268" s="7">
        <f>ROUND(1964,2)</f>
        <v>1964</v>
      </c>
      <c r="K268" s="7">
        <f>ROUND(1,2)</f>
        <v>1</v>
      </c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7">
        <f>ROUND(32,2)</f>
        <v>32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7">
        <f>ROUND(38,2)</f>
        <v>38</v>
      </c>
      <c r="CI268" s="7">
        <f>ROUND(32,2)</f>
        <v>32</v>
      </c>
      <c r="CJ268" s="7">
        <f>ROUND(8,2)</f>
        <v>8</v>
      </c>
      <c r="CK268" s="6"/>
      <c r="CL268" s="7">
        <f>ROUND(30,2)</f>
        <v>30</v>
      </c>
      <c r="CM268" s="6"/>
      <c r="CN268" s="7">
        <f>ROUND(16,2)</f>
        <v>16</v>
      </c>
      <c r="CO268" s="6"/>
      <c r="CP268" s="6"/>
      <c r="CQ268" s="7">
        <f>ROUND(2121,2)</f>
        <v>2121</v>
      </c>
      <c r="CR268" s="7">
        <f>ROUND(39790.64,2)</f>
        <v>39790.639999999999</v>
      </c>
      <c r="CS268" s="7">
        <f>ROUND(30.4,2)</f>
        <v>30.4</v>
      </c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7">
        <f>ROUND(648.32,2)</f>
        <v>648.32000000000005</v>
      </c>
      <c r="FH268" s="6"/>
      <c r="FI268" s="6"/>
      <c r="FJ268" s="7">
        <f>ROUND(1944.96,2)</f>
        <v>1944.96</v>
      </c>
      <c r="FK268" s="6"/>
      <c r="FL268" s="6"/>
      <c r="FM268" s="6"/>
      <c r="FN268" s="7">
        <f>ROUND(769.88,2)</f>
        <v>769.88</v>
      </c>
      <c r="FO268" s="7">
        <f>ROUND(648.32,2)</f>
        <v>648.32000000000005</v>
      </c>
      <c r="FP268" s="7">
        <f>ROUND(243.12,2)</f>
        <v>243.12</v>
      </c>
      <c r="FQ268" s="6"/>
      <c r="FR268" s="6"/>
      <c r="FS268" s="7">
        <f>ROUND(607.8,2)</f>
        <v>607.79999999999995</v>
      </c>
      <c r="FT268" s="6"/>
      <c r="FU268" s="6"/>
      <c r="FV268" s="7">
        <f>ROUND(324.16,2)</f>
        <v>324.16000000000003</v>
      </c>
      <c r="FW268" s="6"/>
      <c r="FX268" s="6"/>
      <c r="FY268" s="7">
        <f>ROUND(45007.6,2)</f>
        <v>45007.6</v>
      </c>
    </row>
    <row r="269" spans="1:181" ht="26.4" x14ac:dyDescent="0.3">
      <c r="A269" s="4" t="s">
        <v>743</v>
      </c>
      <c r="B269" s="5"/>
      <c r="C269" s="5" t="s">
        <v>244</v>
      </c>
      <c r="D269" s="5" t="s">
        <v>744</v>
      </c>
      <c r="E269" s="5" t="s">
        <v>0</v>
      </c>
      <c r="F269" s="5" t="s">
        <v>0</v>
      </c>
      <c r="G269" s="5" t="s">
        <v>247</v>
      </c>
      <c r="H269" s="8">
        <f>ROUND(20.2601,2)</f>
        <v>20.260000000000002</v>
      </c>
      <c r="I269" s="7">
        <f>ROUND(44962.02,2)</f>
        <v>44962.02</v>
      </c>
      <c r="J269" s="7">
        <f>ROUND(1834.5,2)</f>
        <v>1834.5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7">
        <f>ROUND(24,2)</f>
        <v>24</v>
      </c>
      <c r="BX269" s="6"/>
      <c r="BY269" s="6"/>
      <c r="BZ269" s="6"/>
      <c r="CA269" s="6"/>
      <c r="CB269" s="6"/>
      <c r="CC269" s="6"/>
      <c r="CD269" s="6"/>
      <c r="CE269" s="6"/>
      <c r="CF269" s="6"/>
      <c r="CG269" s="7">
        <f>ROUND(39.25,2)</f>
        <v>39.25</v>
      </c>
      <c r="CH269" s="7">
        <f>ROUND(40,2)</f>
        <v>40</v>
      </c>
      <c r="CI269" s="7">
        <f>ROUND(32,2)</f>
        <v>32</v>
      </c>
      <c r="CJ269" s="7">
        <f>ROUND(8,2)</f>
        <v>8</v>
      </c>
      <c r="CK269" s="6"/>
      <c r="CL269" s="7">
        <f>ROUND(21.5,2)</f>
        <v>21.5</v>
      </c>
      <c r="CM269" s="7">
        <f>ROUND(1,2)</f>
        <v>1</v>
      </c>
      <c r="CN269" s="7">
        <f>ROUND(119,2)</f>
        <v>119</v>
      </c>
      <c r="CO269" s="6"/>
      <c r="CP269" s="6"/>
      <c r="CQ269" s="7">
        <f>ROUND(2119.25,2)</f>
        <v>2119.25</v>
      </c>
      <c r="CR269" s="7">
        <f>ROUND(37166.98,2)</f>
        <v>37166.980000000003</v>
      </c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7">
        <f>ROUND(486.24,2)</f>
        <v>486.24</v>
      </c>
      <c r="FH269" s="6"/>
      <c r="FI269" s="6"/>
      <c r="FJ269" s="7">
        <f>ROUND(1944.96,2)</f>
        <v>1944.96</v>
      </c>
      <c r="FK269" s="6"/>
      <c r="FL269" s="6"/>
      <c r="FM269" s="7">
        <f>ROUND(795.21,2)</f>
        <v>795.21</v>
      </c>
      <c r="FN269" s="7">
        <f>ROUND(810.4,2)</f>
        <v>810.4</v>
      </c>
      <c r="FO269" s="7">
        <f>ROUND(648.32,2)</f>
        <v>648.32000000000005</v>
      </c>
      <c r="FP269" s="7">
        <f>ROUND(243.12,2)</f>
        <v>243.12</v>
      </c>
      <c r="FQ269" s="6"/>
      <c r="FR269" s="6"/>
      <c r="FS269" s="7">
        <f>ROUND(435.59,2)</f>
        <v>435.59</v>
      </c>
      <c r="FT269" s="6"/>
      <c r="FU269" s="7">
        <f>ROUND(20.26,2)</f>
        <v>20.260000000000002</v>
      </c>
      <c r="FV269" s="7">
        <f>ROUND(2410.94,2)</f>
        <v>2410.94</v>
      </c>
      <c r="FW269" s="6"/>
      <c r="FX269" s="6"/>
      <c r="FY269" s="7">
        <f>ROUND(44962.02,2)</f>
        <v>44962.02</v>
      </c>
    </row>
    <row r="270" spans="1:181" x14ac:dyDescent="0.3">
      <c r="A270" s="4" t="s">
        <v>745</v>
      </c>
      <c r="B270" s="5" t="s">
        <v>1029</v>
      </c>
      <c r="C270" s="5" t="s">
        <v>181</v>
      </c>
      <c r="D270" s="5" t="s">
        <v>194</v>
      </c>
      <c r="E270" s="5" t="s">
        <v>746</v>
      </c>
      <c r="F270" s="5" t="s">
        <v>0</v>
      </c>
      <c r="G270" s="5" t="s">
        <v>183</v>
      </c>
      <c r="H270" s="8">
        <v>33.380000000000003</v>
      </c>
      <c r="I270" s="7">
        <f>ROUND(89930.4399999999,2)</f>
        <v>89930.44</v>
      </c>
      <c r="J270" s="6"/>
      <c r="K270" s="6"/>
      <c r="L270" s="6"/>
      <c r="M270" s="6"/>
      <c r="N270" s="7">
        <f>ROUND(1552.53,2)</f>
        <v>1552.53</v>
      </c>
      <c r="O270" s="6"/>
      <c r="P270" s="6"/>
      <c r="Q270" s="7">
        <f>ROUND(133.35,2)</f>
        <v>133.35</v>
      </c>
      <c r="R270" s="6"/>
      <c r="S270" s="6"/>
      <c r="T270" s="6"/>
      <c r="U270" s="6"/>
      <c r="V270" s="7">
        <f>ROUND(4.2,2)</f>
        <v>4.2</v>
      </c>
      <c r="W270" s="7">
        <f>ROUND(7.6,2)</f>
        <v>7.6</v>
      </c>
      <c r="X270" s="7">
        <f>ROUND(1.79,2)</f>
        <v>1.79</v>
      </c>
      <c r="Y270" s="6"/>
      <c r="Z270" s="6"/>
      <c r="AA270" s="6"/>
      <c r="AB270" s="6"/>
      <c r="AC270" s="6"/>
      <c r="AD270" s="6"/>
      <c r="AE270" s="7">
        <f>ROUND(173.049999999999,2)</f>
        <v>173.05</v>
      </c>
      <c r="AF270" s="6"/>
      <c r="AG270" s="7">
        <f>ROUND(210.45,2)</f>
        <v>210.45</v>
      </c>
      <c r="AH270" s="6"/>
      <c r="AI270" s="6"/>
      <c r="AJ270" s="6"/>
      <c r="AK270" s="6"/>
      <c r="AL270" s="6"/>
      <c r="AM270" s="6"/>
      <c r="AN270" s="6"/>
      <c r="AO270" s="6"/>
      <c r="AP270" s="7">
        <f>ROUND(57.63,2)</f>
        <v>57.63</v>
      </c>
      <c r="AQ270" s="6"/>
      <c r="AR270" s="7">
        <f>ROUND(62.2499999999999,2)</f>
        <v>62.25</v>
      </c>
      <c r="AS270" s="6"/>
      <c r="AT270" s="6"/>
      <c r="AU270" s="7">
        <f>ROUND(66.2,2)</f>
        <v>66.2</v>
      </c>
      <c r="AV270" s="7">
        <f>ROUND(3.8,2)</f>
        <v>3.8</v>
      </c>
      <c r="AW270" s="7">
        <f>ROUND(14.28,2)</f>
        <v>14.28</v>
      </c>
      <c r="AX270" s="7">
        <f>ROUND(9.71999999999999,2)</f>
        <v>9.7200000000000006</v>
      </c>
      <c r="AY270" s="7">
        <f>ROUND(52.6299999999999,2)</f>
        <v>52.63</v>
      </c>
      <c r="AZ270" s="7">
        <f>ROUND(11.37,2)</f>
        <v>11.37</v>
      </c>
      <c r="BA270" s="6"/>
      <c r="BB270" s="6"/>
      <c r="BC270" s="6"/>
      <c r="BD270" s="7">
        <f>ROUND(17,2)</f>
        <v>17</v>
      </c>
      <c r="BE270" s="7">
        <f>ROUND(0.67,2)</f>
        <v>0.67</v>
      </c>
      <c r="BF270" s="6"/>
      <c r="BG270" s="6"/>
      <c r="BH270" s="6"/>
      <c r="BI270" s="6"/>
      <c r="BJ270" s="6"/>
      <c r="BK270" s="6"/>
      <c r="BL270" s="6"/>
      <c r="BM270" s="6"/>
      <c r="BN270" s="6"/>
      <c r="BO270" s="7">
        <f>ROUND(5,2)</f>
        <v>5</v>
      </c>
      <c r="BP270" s="6"/>
      <c r="BQ270" s="7">
        <f>ROUND(12.45,2)</f>
        <v>12.45</v>
      </c>
      <c r="BR270" s="6"/>
      <c r="BS270" s="7">
        <f>ROUND(56,2)</f>
        <v>56</v>
      </c>
      <c r="BT270" s="7">
        <f>ROUND(9.08,2)</f>
        <v>9.08</v>
      </c>
      <c r="BU270" s="7">
        <f>ROUND(128,2)</f>
        <v>128</v>
      </c>
      <c r="BV270" s="6"/>
      <c r="BW270" s="6"/>
      <c r="BX270" s="6"/>
      <c r="BY270" s="7">
        <f>ROUND(24,2)</f>
        <v>24</v>
      </c>
      <c r="BZ270" s="6"/>
      <c r="CA270" s="7">
        <f>ROUND(35.83,2)</f>
        <v>35.83</v>
      </c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7">
        <f>ROUND(2648.88,2)</f>
        <v>2648.88</v>
      </c>
      <c r="CR270" s="6"/>
      <c r="CS270" s="6"/>
      <c r="CT270" s="6"/>
      <c r="CU270" s="6"/>
      <c r="CV270" s="7">
        <f>ROUND(50905.5699999999,2)</f>
        <v>50905.57</v>
      </c>
      <c r="CW270" s="6"/>
      <c r="CX270" s="6"/>
      <c r="CY270" s="7">
        <f>ROUND(6550.84,2)</f>
        <v>6550.84</v>
      </c>
      <c r="CZ270" s="6"/>
      <c r="DA270" s="6"/>
      <c r="DB270" s="6"/>
      <c r="DC270" s="6"/>
      <c r="DD270" s="7">
        <f>ROUND(135.41,2)</f>
        <v>135.41</v>
      </c>
      <c r="DE270" s="7">
        <f>ROUND(366.13,2)</f>
        <v>366.13</v>
      </c>
      <c r="DF270" s="7">
        <f>ROUND(57.77,2)</f>
        <v>57.77</v>
      </c>
      <c r="DG270" s="6"/>
      <c r="DH270" s="6"/>
      <c r="DI270" s="6"/>
      <c r="DJ270" s="6"/>
      <c r="DK270" s="6"/>
      <c r="DL270" s="6"/>
      <c r="DM270" s="6"/>
      <c r="DN270" s="7">
        <f>ROUND(5664.58,2)</f>
        <v>5664.58</v>
      </c>
      <c r="DO270" s="6"/>
      <c r="DP270" s="7">
        <f>ROUND(10310.2899999999,2)</f>
        <v>10310.290000000001</v>
      </c>
      <c r="DQ270" s="6"/>
      <c r="DR270" s="6"/>
      <c r="DS270" s="6"/>
      <c r="DT270" s="6"/>
      <c r="DU270" s="6"/>
      <c r="DV270" s="6"/>
      <c r="DW270" s="6"/>
      <c r="DX270" s="6"/>
      <c r="DY270" s="7">
        <f>ROUND(1901.41999999999,2)</f>
        <v>1901.42</v>
      </c>
      <c r="DZ270" s="6"/>
      <c r="EA270" s="7">
        <f>ROUND(3065.45,2)</f>
        <v>3065.45</v>
      </c>
      <c r="EB270" s="6"/>
      <c r="EC270" s="6"/>
      <c r="ED270" s="7">
        <f>ROUND(2156.65,2)</f>
        <v>2156.65</v>
      </c>
      <c r="EE270" s="7">
        <f>ROUND(188.4,2)</f>
        <v>188.4</v>
      </c>
      <c r="EF270" s="7">
        <f>ROUND(465.929999999999,2)</f>
        <v>465.93</v>
      </c>
      <c r="EG270" s="7">
        <f>ROUND(467.87,2)</f>
        <v>467.87</v>
      </c>
      <c r="EH270" s="7">
        <f>ROUND(1709.82,2)</f>
        <v>1709.82</v>
      </c>
      <c r="EI270" s="7">
        <f>ROUND(561.98,2)</f>
        <v>561.98</v>
      </c>
      <c r="EJ270" s="6"/>
      <c r="EK270" s="6"/>
      <c r="EL270" s="6"/>
      <c r="EM270" s="6"/>
      <c r="EN270" s="7">
        <f>ROUND(554.17,2)</f>
        <v>554.16999999999996</v>
      </c>
      <c r="EO270" s="7">
        <f>ROUND(22.24,2)</f>
        <v>22.24</v>
      </c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7">
        <f>ROUND(166.9,2)</f>
        <v>166.9</v>
      </c>
      <c r="FC270" s="6"/>
      <c r="FD270" s="7">
        <f>ROUND(415.58,2)</f>
        <v>415.58</v>
      </c>
      <c r="FE270" s="6"/>
      <c r="FF270" s="7">
        <f>ROUND(513.44,2)</f>
        <v>513.44000000000005</v>
      </c>
      <c r="FG270" s="6"/>
      <c r="FH270" s="6"/>
      <c r="FI270" s="6"/>
      <c r="FJ270" s="7">
        <f>ROUND(750,2)</f>
        <v>750</v>
      </c>
      <c r="FK270" s="6"/>
      <c r="FL270" s="6"/>
      <c r="FM270" s="6"/>
      <c r="FN270" s="6"/>
      <c r="FO270" s="6"/>
      <c r="FP270" s="6"/>
      <c r="FQ270" s="6"/>
      <c r="FR270" s="6"/>
      <c r="FS270" s="6"/>
      <c r="FT270" s="7">
        <f>ROUND(3000,2)</f>
        <v>3000</v>
      </c>
      <c r="FU270" s="6"/>
      <c r="FV270" s="6"/>
      <c r="FW270" s="6"/>
      <c r="FX270" s="6"/>
      <c r="FY270" s="7">
        <f>ROUND(89930.4399999999,2)</f>
        <v>89930.44</v>
      </c>
    </row>
    <row r="271" spans="1:181" x14ac:dyDescent="0.3">
      <c r="A271" s="4" t="s">
        <v>747</v>
      </c>
      <c r="B271" s="5" t="s">
        <v>1029</v>
      </c>
      <c r="C271" s="5" t="s">
        <v>236</v>
      </c>
      <c r="D271" s="5" t="s">
        <v>441</v>
      </c>
      <c r="E271" s="5" t="s">
        <v>0</v>
      </c>
      <c r="F271" s="5" t="s">
        <v>0</v>
      </c>
      <c r="G271" s="5" t="s">
        <v>649</v>
      </c>
      <c r="H271" s="9">
        <v>28.28</v>
      </c>
      <c r="I271" s="7">
        <f>ROUND(72917.51,2)</f>
        <v>72917.509999999995</v>
      </c>
      <c r="J271" s="6"/>
      <c r="K271" s="6"/>
      <c r="L271" s="6"/>
      <c r="M271" s="6"/>
      <c r="N271" s="6"/>
      <c r="O271" s="6"/>
      <c r="P271" s="6"/>
      <c r="Q271" s="6"/>
      <c r="R271" s="7">
        <f>ROUND(1992,2)</f>
        <v>1992</v>
      </c>
      <c r="S271" s="7">
        <f>ROUND(275,2)</f>
        <v>275</v>
      </c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7">
        <f>ROUND(56,2)</f>
        <v>56</v>
      </c>
      <c r="AV271" s="6"/>
      <c r="AW271" s="7">
        <f>ROUND(48,2)</f>
        <v>48</v>
      </c>
      <c r="AX271" s="6"/>
      <c r="AY271" s="7">
        <f>ROUND(32,2)</f>
        <v>32</v>
      </c>
      <c r="AZ271" s="7">
        <f>ROUND(8,2)</f>
        <v>8</v>
      </c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7">
        <f>ROUND(2411,2)</f>
        <v>2411</v>
      </c>
      <c r="CR271" s="6"/>
      <c r="CS271" s="6"/>
      <c r="CT271" s="6"/>
      <c r="CU271" s="6"/>
      <c r="CV271" s="6"/>
      <c r="CW271" s="6"/>
      <c r="CX271" s="6"/>
      <c r="CY271" s="6"/>
      <c r="CZ271" s="7">
        <f>ROUND(53064.35,2)</f>
        <v>53064.35</v>
      </c>
      <c r="DA271" s="7">
        <f>ROUND(10872.6799999999,2)</f>
        <v>10872.68</v>
      </c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7">
        <f>ROUND(1503.04,2)</f>
        <v>1503.04</v>
      </c>
      <c r="EE271" s="6"/>
      <c r="EF271" s="7">
        <f>ROUND(1323.84,2)</f>
        <v>1323.84</v>
      </c>
      <c r="EG271" s="6"/>
      <c r="EH271" s="7">
        <f>ROUND(851.2,2)</f>
        <v>851.2</v>
      </c>
      <c r="EI271" s="7">
        <f>ROUND(302.4,2)</f>
        <v>302.39999999999998</v>
      </c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7">
        <f>ROUND(2000,2)</f>
        <v>2000</v>
      </c>
      <c r="FK271" s="6"/>
      <c r="FL271" s="6"/>
      <c r="FM271" s="6"/>
      <c r="FN271" s="6"/>
      <c r="FO271" s="6"/>
      <c r="FP271" s="6"/>
      <c r="FQ271" s="6"/>
      <c r="FR271" s="6"/>
      <c r="FS271" s="6"/>
      <c r="FT271" s="7">
        <f>ROUND(3000,2)</f>
        <v>3000</v>
      </c>
      <c r="FU271" s="6"/>
      <c r="FV271" s="6"/>
      <c r="FW271" s="6"/>
      <c r="FX271" s="6"/>
      <c r="FY271" s="7">
        <f>ROUND(72917.51,2)</f>
        <v>72917.509999999995</v>
      </c>
    </row>
    <row r="272" spans="1:181" x14ac:dyDescent="0.3">
      <c r="A272" s="4" t="s">
        <v>748</v>
      </c>
      <c r="B272" s="5" t="s">
        <v>1029</v>
      </c>
      <c r="C272" s="5" t="s">
        <v>181</v>
      </c>
      <c r="D272" s="5" t="s">
        <v>658</v>
      </c>
      <c r="E272" s="5" t="s">
        <v>0</v>
      </c>
      <c r="F272" s="5" t="s">
        <v>0</v>
      </c>
      <c r="G272" s="5" t="s">
        <v>183</v>
      </c>
      <c r="H272" s="8">
        <v>33.880000000000003</v>
      </c>
      <c r="I272" s="7">
        <f>ROUND(50853.9,2)</f>
        <v>50853.9</v>
      </c>
      <c r="J272" s="6"/>
      <c r="K272" s="6"/>
      <c r="L272" s="6"/>
      <c r="M272" s="6"/>
      <c r="N272" s="7">
        <f>ROUND(1377.68,2)</f>
        <v>1377.68</v>
      </c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7">
        <f>ROUND(40,2)</f>
        <v>40</v>
      </c>
      <c r="AV272" s="6"/>
      <c r="AW272" s="7">
        <f>ROUND(5,2)</f>
        <v>5</v>
      </c>
      <c r="AX272" s="6"/>
      <c r="AY272" s="7">
        <f>ROUND(45,2)</f>
        <v>45</v>
      </c>
      <c r="AZ272" s="6"/>
      <c r="BA272" s="6"/>
      <c r="BB272" s="6"/>
      <c r="BC272" s="6"/>
      <c r="BD272" s="7">
        <f>ROUND(8,2)</f>
        <v>8</v>
      </c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7">
        <f>ROUND(20,2)</f>
        <v>20</v>
      </c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7">
        <f>ROUND(15,2)</f>
        <v>15</v>
      </c>
      <c r="CQ272" s="7">
        <f>ROUND(1510.68,2)</f>
        <v>1510.68</v>
      </c>
      <c r="CR272" s="6"/>
      <c r="CS272" s="6"/>
      <c r="CT272" s="6"/>
      <c r="CU272" s="6"/>
      <c r="CV272" s="7">
        <f>ROUND(44888.53,2)</f>
        <v>44888.53</v>
      </c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7">
        <f>ROUND(1304.45,2)</f>
        <v>1304.45</v>
      </c>
      <c r="EE272" s="6"/>
      <c r="EF272" s="7">
        <f>ROUND(160.45,2)</f>
        <v>160.44999999999999</v>
      </c>
      <c r="EG272" s="6"/>
      <c r="EH272" s="7">
        <f>ROUND(1468.05,2)</f>
        <v>1468.05</v>
      </c>
      <c r="EI272" s="6"/>
      <c r="EJ272" s="6"/>
      <c r="EK272" s="6"/>
      <c r="EL272" s="6"/>
      <c r="EM272" s="6"/>
      <c r="EN272" s="7">
        <f>ROUND(256.72,2)</f>
        <v>256.72000000000003</v>
      </c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7">
        <f>ROUND(775,2)</f>
        <v>775</v>
      </c>
      <c r="FK272" s="6"/>
      <c r="FL272" s="6"/>
      <c r="FM272" s="6"/>
      <c r="FN272" s="6"/>
      <c r="FO272" s="6"/>
      <c r="FP272" s="6"/>
      <c r="FQ272" s="6"/>
      <c r="FR272" s="6"/>
      <c r="FS272" s="6"/>
      <c r="FT272" s="7">
        <f>ROUND(1500,2)</f>
        <v>1500</v>
      </c>
      <c r="FU272" s="6"/>
      <c r="FV272" s="6"/>
      <c r="FW272" s="6"/>
      <c r="FX272" s="7">
        <f>ROUND(500.7,2)</f>
        <v>500.7</v>
      </c>
      <c r="FY272" s="7">
        <f>ROUND(50853.9,2)</f>
        <v>50853.9</v>
      </c>
    </row>
    <row r="273" spans="1:181" x14ac:dyDescent="0.3">
      <c r="A273" s="4" t="s">
        <v>749</v>
      </c>
      <c r="B273" s="5" t="s">
        <v>1029</v>
      </c>
      <c r="C273" s="5" t="s">
        <v>181</v>
      </c>
      <c r="D273" s="5" t="s">
        <v>390</v>
      </c>
      <c r="E273" s="5" t="s">
        <v>0</v>
      </c>
      <c r="F273" s="5" t="s">
        <v>0</v>
      </c>
      <c r="G273" s="5" t="s">
        <v>183</v>
      </c>
      <c r="H273" s="6">
        <v>33.380000000000003</v>
      </c>
      <c r="I273" s="7">
        <f>ROUND(49061.35,2)</f>
        <v>49061.35</v>
      </c>
      <c r="J273" s="6"/>
      <c r="K273" s="6"/>
      <c r="L273" s="6"/>
      <c r="M273" s="6"/>
      <c r="N273" s="7">
        <f>ROUND(1355.91,2)</f>
        <v>1355.91</v>
      </c>
      <c r="O273" s="6"/>
      <c r="P273" s="6"/>
      <c r="Q273" s="6"/>
      <c r="R273" s="6"/>
      <c r="S273" s="6"/>
      <c r="T273" s="6"/>
      <c r="U273" s="6"/>
      <c r="V273" s="6"/>
      <c r="W273" s="6"/>
      <c r="X273" s="7">
        <f>ROUND(0.57,2)</f>
        <v>0.56999999999999995</v>
      </c>
      <c r="Y273" s="6"/>
      <c r="Z273" s="6"/>
      <c r="AA273" s="6"/>
      <c r="AB273" s="6"/>
      <c r="AC273" s="6"/>
      <c r="AD273" s="6"/>
      <c r="AE273" s="7">
        <f>ROUND(6,2)</f>
        <v>6</v>
      </c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7">
        <f>ROUND(24,2)</f>
        <v>24</v>
      </c>
      <c r="AQ273" s="6"/>
      <c r="AR273" s="6"/>
      <c r="AS273" s="6"/>
      <c r="AT273" s="6"/>
      <c r="AU273" s="7">
        <f>ROUND(40,2)</f>
        <v>40</v>
      </c>
      <c r="AV273" s="6"/>
      <c r="AW273" s="7">
        <f>ROUND(5,2)</f>
        <v>5</v>
      </c>
      <c r="AX273" s="6"/>
      <c r="AY273" s="7">
        <f>ROUND(15,2)</f>
        <v>15</v>
      </c>
      <c r="AZ273" s="6"/>
      <c r="BA273" s="6"/>
      <c r="BB273" s="7">
        <f>ROUND(10,2)</f>
        <v>10</v>
      </c>
      <c r="BC273" s="6"/>
      <c r="BD273" s="7">
        <f>ROUND(8,2)</f>
        <v>8</v>
      </c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7">
        <f>ROUND(15,2)</f>
        <v>15</v>
      </c>
      <c r="BP273" s="6"/>
      <c r="BQ273" s="6"/>
      <c r="BR273" s="6"/>
      <c r="BS273" s="6"/>
      <c r="BT273" s="7">
        <f>ROUND(0.08,2)</f>
        <v>0.08</v>
      </c>
      <c r="BU273" s="6"/>
      <c r="BV273" s="6"/>
      <c r="BW273" s="6"/>
      <c r="BX273" s="6"/>
      <c r="BY273" s="7">
        <f>ROUND(10,2)</f>
        <v>10</v>
      </c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7">
        <f>ROUND(1489.56,2)</f>
        <v>1489.56</v>
      </c>
      <c r="CR273" s="6"/>
      <c r="CS273" s="6"/>
      <c r="CT273" s="6"/>
      <c r="CU273" s="6"/>
      <c r="CV273" s="7">
        <f>ROUND(42991.54,2)</f>
        <v>42991.54</v>
      </c>
      <c r="CW273" s="6"/>
      <c r="CX273" s="6"/>
      <c r="CY273" s="6"/>
      <c r="CZ273" s="6"/>
      <c r="DA273" s="6"/>
      <c r="DB273" s="6"/>
      <c r="DC273" s="6"/>
      <c r="DD273" s="6"/>
      <c r="DE273" s="6"/>
      <c r="DF273" s="7">
        <f>ROUND(17.38,2)</f>
        <v>17.38</v>
      </c>
      <c r="DG273" s="6"/>
      <c r="DH273" s="6"/>
      <c r="DI273" s="6"/>
      <c r="DJ273" s="6"/>
      <c r="DK273" s="6"/>
      <c r="DL273" s="6"/>
      <c r="DM273" s="6"/>
      <c r="DN273" s="7">
        <f>ROUND(200.28,2)</f>
        <v>200.28</v>
      </c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7">
        <f>ROUND(762.48,2)</f>
        <v>762.48</v>
      </c>
      <c r="DZ273" s="6"/>
      <c r="EA273" s="6"/>
      <c r="EB273" s="6"/>
      <c r="EC273" s="6"/>
      <c r="ED273" s="7">
        <f>ROUND(1248.1,2)</f>
        <v>1248.0999999999999</v>
      </c>
      <c r="EE273" s="6"/>
      <c r="EF273" s="7">
        <f>ROUND(152.45,2)</f>
        <v>152.44999999999999</v>
      </c>
      <c r="EG273" s="6"/>
      <c r="EH273" s="7">
        <f>ROUND(470.15,2)</f>
        <v>470.15</v>
      </c>
      <c r="EI273" s="6"/>
      <c r="EJ273" s="6"/>
      <c r="EK273" s="7">
        <f>ROUND(304.9,2)</f>
        <v>304.89999999999998</v>
      </c>
      <c r="EL273" s="6"/>
      <c r="EM273" s="6"/>
      <c r="EN273" s="7">
        <f>ROUND(243.92,2)</f>
        <v>243.92</v>
      </c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7">
        <f>ROUND(470.15,2)</f>
        <v>470.15</v>
      </c>
      <c r="FC273" s="6"/>
      <c r="FD273" s="6"/>
      <c r="FE273" s="6"/>
      <c r="FF273" s="6"/>
      <c r="FG273" s="6"/>
      <c r="FH273" s="6"/>
      <c r="FI273" s="6"/>
      <c r="FJ273" s="7">
        <f>ROUND(700,2)</f>
        <v>700</v>
      </c>
      <c r="FK273" s="6"/>
      <c r="FL273" s="6"/>
      <c r="FM273" s="6"/>
      <c r="FN273" s="6"/>
      <c r="FO273" s="6"/>
      <c r="FP273" s="6"/>
      <c r="FQ273" s="6"/>
      <c r="FR273" s="6"/>
      <c r="FS273" s="6"/>
      <c r="FT273" s="7">
        <f>ROUND(1500,2)</f>
        <v>1500</v>
      </c>
      <c r="FU273" s="6"/>
      <c r="FV273" s="6"/>
      <c r="FW273" s="6"/>
      <c r="FX273" s="6"/>
      <c r="FY273" s="7">
        <f>ROUND(49061.35,2)</f>
        <v>49061.35</v>
      </c>
    </row>
    <row r="274" spans="1:181" x14ac:dyDescent="0.3">
      <c r="A274" s="4" t="s">
        <v>750</v>
      </c>
      <c r="B274" s="5" t="s">
        <v>1029</v>
      </c>
      <c r="C274" s="5" t="s">
        <v>181</v>
      </c>
      <c r="D274" s="5" t="s">
        <v>217</v>
      </c>
      <c r="E274" s="5" t="s">
        <v>751</v>
      </c>
      <c r="F274" s="5" t="s">
        <v>0</v>
      </c>
      <c r="G274" s="5" t="s">
        <v>183</v>
      </c>
      <c r="H274" s="8">
        <v>33.380000000000003</v>
      </c>
      <c r="I274" s="7">
        <f>ROUND(53650.6899999999,2)</f>
        <v>53650.69</v>
      </c>
      <c r="J274" s="6"/>
      <c r="K274" s="6"/>
      <c r="L274" s="6"/>
      <c r="M274" s="6"/>
      <c r="N274" s="7">
        <f>ROUND(6,2)</f>
        <v>6</v>
      </c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7">
        <f>ROUND(932.58,2)</f>
        <v>932.58</v>
      </c>
      <c r="AF274" s="6"/>
      <c r="AG274" s="7">
        <f>ROUND(81.49,2)</f>
        <v>81.489999999999995</v>
      </c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7">
        <f>ROUND(38,2)</f>
        <v>38</v>
      </c>
      <c r="AV274" s="6"/>
      <c r="AW274" s="7">
        <f>ROUND(32,2)</f>
        <v>32</v>
      </c>
      <c r="AX274" s="6"/>
      <c r="AY274" s="7">
        <f>ROUND(42.42,2)</f>
        <v>42.42</v>
      </c>
      <c r="AZ274" s="7">
        <f>ROUND(7.58,2)</f>
        <v>7.58</v>
      </c>
      <c r="BA274" s="6"/>
      <c r="BB274" s="7">
        <f>ROUND(32,2)</f>
        <v>32</v>
      </c>
      <c r="BC274" s="6"/>
      <c r="BD274" s="7">
        <f>ROUND(8,2)</f>
        <v>8</v>
      </c>
      <c r="BE274" s="7">
        <f>ROUND(2.75,2)</f>
        <v>2.75</v>
      </c>
      <c r="BF274" s="6"/>
      <c r="BG274" s="7">
        <f>ROUND(51.67,2)</f>
        <v>51.67</v>
      </c>
      <c r="BH274" s="6"/>
      <c r="BI274" s="6"/>
      <c r="BJ274" s="6"/>
      <c r="BK274" s="6"/>
      <c r="BL274" s="6"/>
      <c r="BM274" s="6"/>
      <c r="BN274" s="6"/>
      <c r="BO274" s="6"/>
      <c r="BP274" s="6"/>
      <c r="BQ274" s="7">
        <f>ROUND(240,2)</f>
        <v>240</v>
      </c>
      <c r="BR274" s="6"/>
      <c r="BS274" s="7">
        <f>ROUND(264,2)</f>
        <v>264</v>
      </c>
      <c r="BT274" s="6"/>
      <c r="BU274" s="6"/>
      <c r="BV274" s="6"/>
      <c r="BW274" s="7">
        <f>ROUND(32,2)</f>
        <v>32</v>
      </c>
      <c r="BX274" s="6"/>
      <c r="BY274" s="7">
        <f>ROUND(8,2)</f>
        <v>8</v>
      </c>
      <c r="BZ274" s="6"/>
      <c r="CA274" s="7">
        <f>ROUND(238,2)</f>
        <v>238</v>
      </c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7">
        <f>ROUND(40,2)</f>
        <v>40</v>
      </c>
      <c r="CQ274" s="7">
        <f>ROUND(2056.49,2)</f>
        <v>2056.4899999999998</v>
      </c>
      <c r="CR274" s="6"/>
      <c r="CS274" s="6"/>
      <c r="CT274" s="6"/>
      <c r="CU274" s="6"/>
      <c r="CV274" s="7">
        <f>ROUND(192.54,2)</f>
        <v>192.54</v>
      </c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7">
        <f>ROUND(30173.69,2)</f>
        <v>30173.69</v>
      </c>
      <c r="DO274" s="6"/>
      <c r="DP274" s="7">
        <f>ROUND(3938.14,2)</f>
        <v>3938.14</v>
      </c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7">
        <f>ROUND(1236.7,2)</f>
        <v>1236.7</v>
      </c>
      <c r="EE274" s="6"/>
      <c r="EF274" s="7">
        <f>ROUND(1026.88,2)</f>
        <v>1026.8800000000001</v>
      </c>
      <c r="EG274" s="6"/>
      <c r="EH274" s="7">
        <f>ROUND(1376.62,2)</f>
        <v>1376.62</v>
      </c>
      <c r="EI274" s="7">
        <f>ROUND(364.86,2)</f>
        <v>364.86</v>
      </c>
      <c r="EJ274" s="6"/>
      <c r="EK274" s="7">
        <f>ROUND(1026.88,2)</f>
        <v>1026.8800000000001</v>
      </c>
      <c r="EL274" s="6"/>
      <c r="EM274" s="6"/>
      <c r="EN274" s="7">
        <f>ROUND(256.72,2)</f>
        <v>256.72000000000003</v>
      </c>
      <c r="EO274" s="7">
        <f>ROUND(132.37,2)</f>
        <v>132.37</v>
      </c>
      <c r="EP274" s="6"/>
      <c r="EQ274" s="7">
        <f>ROUND(1658.09,2)</f>
        <v>1658.09</v>
      </c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7">
        <f>ROUND(7932,2)</f>
        <v>7932</v>
      </c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7">
        <f>ROUND(3000,2)</f>
        <v>3000</v>
      </c>
      <c r="FU274" s="6"/>
      <c r="FV274" s="6"/>
      <c r="FW274" s="6"/>
      <c r="FX274" s="7">
        <f>ROUND(1335.2,2)</f>
        <v>1335.2</v>
      </c>
      <c r="FY274" s="7">
        <f>ROUND(53650.6899999999,2)</f>
        <v>53650.69</v>
      </c>
    </row>
    <row r="275" spans="1:181" ht="26.4" x14ac:dyDescent="0.3">
      <c r="A275" s="4" t="s">
        <v>752</v>
      </c>
      <c r="B275" s="5"/>
      <c r="C275" s="5" t="s">
        <v>223</v>
      </c>
      <c r="D275" s="5" t="s">
        <v>753</v>
      </c>
      <c r="E275" s="5" t="s">
        <v>0</v>
      </c>
      <c r="F275" s="5" t="s">
        <v>0</v>
      </c>
      <c r="G275" s="5" t="s">
        <v>754</v>
      </c>
      <c r="H275" s="8">
        <f>ROUND(1538.46,2)</f>
        <v>1538.46</v>
      </c>
      <c r="I275" s="7">
        <f>ROUND(84615.3,2)</f>
        <v>84615.3</v>
      </c>
      <c r="J275" s="7">
        <f>ROUND(1656,2)</f>
        <v>1656</v>
      </c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7">
        <f>ROUND(-24,2)</f>
        <v>-24</v>
      </c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7">
        <f>ROUND(8,2)</f>
        <v>8</v>
      </c>
      <c r="BX275" s="6"/>
      <c r="BY275" s="6"/>
      <c r="BZ275" s="6"/>
      <c r="CA275" s="6"/>
      <c r="CB275" s="6"/>
      <c r="CC275" s="6"/>
      <c r="CD275" s="6"/>
      <c r="CE275" s="6"/>
      <c r="CF275" s="7">
        <f>ROUND(24,2)</f>
        <v>24</v>
      </c>
      <c r="CG275" s="7">
        <f>ROUND(16,2)</f>
        <v>16</v>
      </c>
      <c r="CH275" s="7">
        <f>ROUND(56,2)</f>
        <v>56</v>
      </c>
      <c r="CI275" s="7">
        <f>ROUND(32,2)</f>
        <v>32</v>
      </c>
      <c r="CJ275" s="6"/>
      <c r="CK275" s="6"/>
      <c r="CL275" s="6"/>
      <c r="CM275" s="6"/>
      <c r="CN275" s="7">
        <f>ROUND(80,2)</f>
        <v>80</v>
      </c>
      <c r="CO275" s="6"/>
      <c r="CP275" s="6"/>
      <c r="CQ275" s="7">
        <f>ROUND(1848,2)</f>
        <v>1848</v>
      </c>
      <c r="CR275" s="7">
        <f>ROUND(77538.4,2)</f>
        <v>77538.399999999994</v>
      </c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7">
        <f>ROUND(-923.069999999999,2)</f>
        <v>-923.07</v>
      </c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7">
        <f>ROUND(307.69,2)</f>
        <v>307.69</v>
      </c>
      <c r="FH275" s="6"/>
      <c r="FI275" s="6"/>
      <c r="FJ275" s="7">
        <f>ROUND(3076.92,2)</f>
        <v>3076.92</v>
      </c>
      <c r="FK275" s="6"/>
      <c r="FL275" s="7">
        <f>ROUND(923.069999999999,2)</f>
        <v>923.07</v>
      </c>
      <c r="FM275" s="7">
        <f>ROUND(307.69,2)</f>
        <v>307.69</v>
      </c>
      <c r="FN275" s="7">
        <f>ROUND(923.069999999999,2)</f>
        <v>923.07</v>
      </c>
      <c r="FO275" s="7">
        <f>ROUND(1230.77,2)</f>
        <v>1230.77</v>
      </c>
      <c r="FP275" s="6"/>
      <c r="FQ275" s="6"/>
      <c r="FR275" s="6"/>
      <c r="FS275" s="6"/>
      <c r="FT275" s="6"/>
      <c r="FU275" s="6"/>
      <c r="FV275" s="7">
        <f>ROUND(1230.76,2)</f>
        <v>1230.76</v>
      </c>
      <c r="FW275" s="6"/>
      <c r="FX275" s="6"/>
      <c r="FY275" s="7">
        <f>ROUND(84615.3,2)</f>
        <v>84615.3</v>
      </c>
    </row>
    <row r="276" spans="1:181" x14ac:dyDescent="0.3">
      <c r="A276" s="4" t="s">
        <v>755</v>
      </c>
      <c r="B276" s="5"/>
      <c r="C276" s="5" t="s">
        <v>575</v>
      </c>
      <c r="D276" s="5" t="s">
        <v>756</v>
      </c>
      <c r="E276" s="5" t="s">
        <v>0</v>
      </c>
      <c r="F276" s="5" t="s">
        <v>0</v>
      </c>
      <c r="G276" s="5" t="s">
        <v>757</v>
      </c>
      <c r="H276" s="8">
        <f>ROUND(29.274,2)</f>
        <v>29.27</v>
      </c>
      <c r="I276" s="7">
        <f>ROUND(63776.6799999999,2)</f>
        <v>63776.68</v>
      </c>
      <c r="J276" s="7">
        <f>ROUND(1808,2)</f>
        <v>1808</v>
      </c>
      <c r="K276" s="7">
        <f>ROUND(1.75,2)</f>
        <v>1.75</v>
      </c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7">
        <f>ROUND(8,2)</f>
        <v>8</v>
      </c>
      <c r="BX276" s="6"/>
      <c r="BY276" s="6"/>
      <c r="BZ276" s="6"/>
      <c r="CA276" s="6"/>
      <c r="CB276" s="6"/>
      <c r="CC276" s="6"/>
      <c r="CD276" s="6"/>
      <c r="CE276" s="6"/>
      <c r="CF276" s="6"/>
      <c r="CG276" s="7">
        <f>ROUND(32,2)</f>
        <v>32</v>
      </c>
      <c r="CH276" s="7">
        <f>ROUND(48,2)</f>
        <v>48</v>
      </c>
      <c r="CI276" s="7">
        <f>ROUND(32,2)</f>
        <v>32</v>
      </c>
      <c r="CJ276" s="6"/>
      <c r="CK276" s="6"/>
      <c r="CL276" s="7">
        <f>ROUND(16,2)</f>
        <v>16</v>
      </c>
      <c r="CM276" s="6"/>
      <c r="CN276" s="7">
        <f>ROUND(136,2)</f>
        <v>136</v>
      </c>
      <c r="CO276" s="6"/>
      <c r="CP276" s="6"/>
      <c r="CQ276" s="7">
        <f>ROUND(2081.75,2)</f>
        <v>2081.75</v>
      </c>
      <c r="CR276" s="7">
        <f>ROUND(52927.4099999999,2)</f>
        <v>52927.41</v>
      </c>
      <c r="CS276" s="7">
        <f>ROUND(76.84,2)</f>
        <v>76.84</v>
      </c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7">
        <f>ROUND(234.19,2)</f>
        <v>234.19</v>
      </c>
      <c r="FH276" s="6"/>
      <c r="FI276" s="6"/>
      <c r="FJ276" s="7">
        <f>ROUND(2809.92,2)</f>
        <v>2809.92</v>
      </c>
      <c r="FK276" s="6"/>
      <c r="FL276" s="6"/>
      <c r="FM276" s="7">
        <f>ROUND(936.77,2)</f>
        <v>936.77</v>
      </c>
      <c r="FN276" s="7">
        <f>ROUND(1405.14,2)</f>
        <v>1405.14</v>
      </c>
      <c r="FO276" s="7">
        <f>ROUND(936.77,2)</f>
        <v>936.77</v>
      </c>
      <c r="FP276" s="6"/>
      <c r="FQ276" s="6"/>
      <c r="FR276" s="6"/>
      <c r="FS276" s="7">
        <f>ROUND(468.39,2)</f>
        <v>468.39</v>
      </c>
      <c r="FT276" s="6"/>
      <c r="FU276" s="6"/>
      <c r="FV276" s="7">
        <f>ROUND(3981.25,2)</f>
        <v>3981.25</v>
      </c>
      <c r="FW276" s="6"/>
      <c r="FX276" s="6"/>
      <c r="FY276" s="7">
        <f>ROUND(63776.6799999999,2)</f>
        <v>63776.68</v>
      </c>
    </row>
    <row r="277" spans="1:181" x14ac:dyDescent="0.3">
      <c r="A277" s="4" t="s">
        <v>758</v>
      </c>
      <c r="B277" s="5" t="s">
        <v>1029</v>
      </c>
      <c r="C277" s="5" t="s">
        <v>181</v>
      </c>
      <c r="D277" s="5" t="s">
        <v>499</v>
      </c>
      <c r="E277" s="5" t="s">
        <v>0</v>
      </c>
      <c r="F277" s="5" t="s">
        <v>0</v>
      </c>
      <c r="G277" s="5" t="s">
        <v>183</v>
      </c>
      <c r="H277" s="8">
        <v>33.880000000000003</v>
      </c>
      <c r="I277" s="7">
        <f>ROUND(75187.79,2)</f>
        <v>75187.789999999994</v>
      </c>
      <c r="J277" s="6"/>
      <c r="K277" s="6"/>
      <c r="L277" s="6"/>
      <c r="M277" s="6"/>
      <c r="N277" s="7">
        <f>ROUND(1302.7,2)</f>
        <v>1302.7</v>
      </c>
      <c r="O277" s="6"/>
      <c r="P277" s="6"/>
      <c r="Q277" s="7">
        <f>ROUND(216.87,2)</f>
        <v>216.87</v>
      </c>
      <c r="R277" s="6"/>
      <c r="S277" s="6"/>
      <c r="T277" s="6"/>
      <c r="U277" s="6"/>
      <c r="V277" s="7">
        <f>ROUND(8,2)</f>
        <v>8</v>
      </c>
      <c r="W277" s="7">
        <f>ROUND(21.9399999999999,2)</f>
        <v>21.94</v>
      </c>
      <c r="X277" s="7">
        <f>ROUND(0.98,2)</f>
        <v>0.98</v>
      </c>
      <c r="Y277" s="6"/>
      <c r="Z277" s="6"/>
      <c r="AA277" s="6"/>
      <c r="AB277" s="6"/>
      <c r="AC277" s="6"/>
      <c r="AD277" s="6"/>
      <c r="AE277" s="7">
        <f>ROUND(150.329999999999,2)</f>
        <v>150.33000000000001</v>
      </c>
      <c r="AF277" s="6"/>
      <c r="AG277" s="7">
        <f>ROUND(28.7499999999999,2)</f>
        <v>28.75</v>
      </c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7">
        <f>ROUND(12,2)</f>
        <v>12</v>
      </c>
      <c r="AS277" s="6"/>
      <c r="AT277" s="6"/>
      <c r="AU277" s="7">
        <f>ROUND(52,2)</f>
        <v>52</v>
      </c>
      <c r="AV277" s="6"/>
      <c r="AW277" s="7">
        <f>ROUND(24,2)</f>
        <v>24</v>
      </c>
      <c r="AX277" s="6"/>
      <c r="AY277" s="7">
        <f>ROUND(49.6,2)</f>
        <v>49.6</v>
      </c>
      <c r="AZ277" s="7">
        <f>ROUND(6.4,2)</f>
        <v>6.4</v>
      </c>
      <c r="BA277" s="6"/>
      <c r="BB277" s="7">
        <f>ROUND(40,2)</f>
        <v>40</v>
      </c>
      <c r="BC277" s="6"/>
      <c r="BD277" s="7">
        <f>ROUND(8,2)</f>
        <v>8</v>
      </c>
      <c r="BE277" s="7">
        <f>ROUND(1.78,2)</f>
        <v>1.78</v>
      </c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7">
        <f>ROUND(360,2)</f>
        <v>360</v>
      </c>
      <c r="BT277" s="6"/>
      <c r="BU277" s="6"/>
      <c r="BV277" s="6"/>
      <c r="BW277" s="7">
        <f>ROUND(16,2)</f>
        <v>16</v>
      </c>
      <c r="BX277" s="6"/>
      <c r="BY277" s="6"/>
      <c r="BZ277" s="6"/>
      <c r="CA277" s="7">
        <f>ROUND(24,2)</f>
        <v>24</v>
      </c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7">
        <f>ROUND(120,2)</f>
        <v>120</v>
      </c>
      <c r="CQ277" s="7">
        <f>ROUND(2443.34999999999,2)</f>
        <v>2443.35</v>
      </c>
      <c r="CR277" s="6"/>
      <c r="CS277" s="6"/>
      <c r="CT277" s="6"/>
      <c r="CU277" s="6"/>
      <c r="CV277" s="7">
        <f>ROUND(42272.0799999999,2)</f>
        <v>42272.08</v>
      </c>
      <c r="CW277" s="6"/>
      <c r="CX277" s="6"/>
      <c r="CY277" s="7">
        <f>ROUND(10573.7699999999,2)</f>
        <v>10573.77</v>
      </c>
      <c r="CZ277" s="6"/>
      <c r="DA277" s="6"/>
      <c r="DB277" s="6"/>
      <c r="DC277" s="6"/>
      <c r="DD277" s="7">
        <f>ROUND(265,2)</f>
        <v>265</v>
      </c>
      <c r="DE277" s="7">
        <f>ROUND(1090.62,2)</f>
        <v>1090.6199999999999</v>
      </c>
      <c r="DF277" s="7">
        <f>ROUND(31.83,2)</f>
        <v>31.83</v>
      </c>
      <c r="DG277" s="6"/>
      <c r="DH277" s="6"/>
      <c r="DI277" s="6"/>
      <c r="DJ277" s="6"/>
      <c r="DK277" s="6"/>
      <c r="DL277" s="6"/>
      <c r="DM277" s="6"/>
      <c r="DN277" s="7">
        <f>ROUND(4968.41,2)</f>
        <v>4968.41</v>
      </c>
      <c r="DO277" s="6"/>
      <c r="DP277" s="7">
        <f>ROUND(1425.28,2)</f>
        <v>1425.28</v>
      </c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7">
        <f>ROUND(577.62,2)</f>
        <v>577.62</v>
      </c>
      <c r="EB277" s="6"/>
      <c r="EC277" s="6"/>
      <c r="ED277" s="7">
        <f>ROUND(1690.67999999999,2)</f>
        <v>1690.68</v>
      </c>
      <c r="EE277" s="6"/>
      <c r="EF277" s="7">
        <f>ROUND(777.84,2)</f>
        <v>777.84</v>
      </c>
      <c r="EG277" s="6"/>
      <c r="EH277" s="7">
        <f>ROUND(1598.82,2)</f>
        <v>1598.82</v>
      </c>
      <c r="EI277" s="7">
        <f>ROUND(318.8,2)</f>
        <v>318.8</v>
      </c>
      <c r="EJ277" s="6"/>
      <c r="EK277" s="7">
        <f>ROUND(1283.6,2)</f>
        <v>1283.5999999999999</v>
      </c>
      <c r="EL277" s="6"/>
      <c r="EM277" s="6"/>
      <c r="EN277" s="7">
        <f>ROUND(256.72,2)</f>
        <v>256.72000000000003</v>
      </c>
      <c r="EO277" s="7">
        <f>ROUND(57.12,2)</f>
        <v>57.12</v>
      </c>
      <c r="EP277" s="6"/>
      <c r="EQ277" s="6"/>
      <c r="ER277" s="7">
        <f>ROUND(159,2)</f>
        <v>159</v>
      </c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7">
        <f>ROUND(775,2)</f>
        <v>775</v>
      </c>
      <c r="FK277" s="6"/>
      <c r="FL277" s="6"/>
      <c r="FM277" s="6"/>
      <c r="FN277" s="6"/>
      <c r="FO277" s="6"/>
      <c r="FP277" s="6"/>
      <c r="FQ277" s="6"/>
      <c r="FR277" s="6"/>
      <c r="FS277" s="6"/>
      <c r="FT277" s="7">
        <f>ROUND(3000,2)</f>
        <v>3000</v>
      </c>
      <c r="FU277" s="6"/>
      <c r="FV277" s="6"/>
      <c r="FW277" s="6"/>
      <c r="FX277" s="7">
        <f>ROUND(4065.6,2)</f>
        <v>4065.6</v>
      </c>
      <c r="FY277" s="7">
        <f>ROUND(75187.79,2)</f>
        <v>75187.789999999994</v>
      </c>
    </row>
    <row r="278" spans="1:181" x14ac:dyDescent="0.3">
      <c r="A278" s="4" t="s">
        <v>759</v>
      </c>
      <c r="B278" s="5" t="s">
        <v>1029</v>
      </c>
      <c r="C278" s="5" t="s">
        <v>181</v>
      </c>
      <c r="D278" s="5" t="s">
        <v>276</v>
      </c>
      <c r="E278" s="5" t="s">
        <v>0</v>
      </c>
      <c r="F278" s="5" t="s">
        <v>0</v>
      </c>
      <c r="G278" s="5" t="s">
        <v>183</v>
      </c>
      <c r="H278" s="8">
        <v>33.380000000000003</v>
      </c>
      <c r="I278" s="7">
        <f>ROUND(78781.3999999999,2)</f>
        <v>78781.399999999994</v>
      </c>
      <c r="J278" s="6"/>
      <c r="K278" s="6"/>
      <c r="L278" s="6"/>
      <c r="M278" s="6"/>
      <c r="N278" s="7">
        <f>ROUND(1433.52,2)</f>
        <v>1433.52</v>
      </c>
      <c r="O278" s="6"/>
      <c r="P278" s="6"/>
      <c r="Q278" s="7">
        <f>ROUND(153.049999999999,2)</f>
        <v>153.05000000000001</v>
      </c>
      <c r="R278" s="6"/>
      <c r="S278" s="6"/>
      <c r="T278" s="6"/>
      <c r="U278" s="6"/>
      <c r="V278" s="7">
        <f>ROUND(17.03,2)</f>
        <v>17.03</v>
      </c>
      <c r="W278" s="6"/>
      <c r="X278" s="6"/>
      <c r="Y278" s="6"/>
      <c r="Z278" s="7">
        <f>ROUND(0.25,2)</f>
        <v>0.25</v>
      </c>
      <c r="AA278" s="6"/>
      <c r="AB278" s="6"/>
      <c r="AC278" s="6"/>
      <c r="AD278" s="6"/>
      <c r="AE278" s="7">
        <f>ROUND(115.51,2)</f>
        <v>115.51</v>
      </c>
      <c r="AF278" s="6"/>
      <c r="AG278" s="7">
        <f>ROUND(2.58,2)</f>
        <v>2.58</v>
      </c>
      <c r="AH278" s="6"/>
      <c r="AI278" s="6"/>
      <c r="AJ278" s="6"/>
      <c r="AK278" s="6"/>
      <c r="AL278" s="6"/>
      <c r="AM278" s="6"/>
      <c r="AN278" s="6"/>
      <c r="AO278" s="6"/>
      <c r="AP278" s="7">
        <f>ROUND(250.899999999999,2)</f>
        <v>250.9</v>
      </c>
      <c r="AQ278" s="6"/>
      <c r="AR278" s="7">
        <f>ROUND(7.6,2)</f>
        <v>7.6</v>
      </c>
      <c r="AS278" s="6"/>
      <c r="AT278" s="6"/>
      <c r="AU278" s="7">
        <f>ROUND(70,2)</f>
        <v>70</v>
      </c>
      <c r="AV278" s="6"/>
      <c r="AW278" s="7">
        <f>ROUND(42,2)</f>
        <v>42</v>
      </c>
      <c r="AX278" s="6"/>
      <c r="AY278" s="7">
        <f>ROUND(48,2)</f>
        <v>48</v>
      </c>
      <c r="AZ278" s="6"/>
      <c r="BA278" s="6"/>
      <c r="BB278" s="7">
        <f>ROUND(40,2)</f>
        <v>40</v>
      </c>
      <c r="BC278" s="6"/>
      <c r="BD278" s="7">
        <f>ROUND(8,2)</f>
        <v>8</v>
      </c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7">
        <f>ROUND(13.77,2)</f>
        <v>13.77</v>
      </c>
      <c r="BP278" s="7">
        <f>ROUND(4.23,2)</f>
        <v>4.2300000000000004</v>
      </c>
      <c r="BQ278" s="7">
        <f>ROUND(8,2)</f>
        <v>8</v>
      </c>
      <c r="BR278" s="6"/>
      <c r="BS278" s="7">
        <f>ROUND(18,2)</f>
        <v>18</v>
      </c>
      <c r="BT278" s="7">
        <f>ROUND(7.67,2)</f>
        <v>7.67</v>
      </c>
      <c r="BU278" s="6"/>
      <c r="BV278" s="6"/>
      <c r="BW278" s="6"/>
      <c r="BX278" s="6"/>
      <c r="BY278" s="6"/>
      <c r="BZ278" s="6"/>
      <c r="CA278" s="7">
        <f>ROUND(58,2)</f>
        <v>58</v>
      </c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7">
        <f>ROUND(2298.11,2)</f>
        <v>2298.11</v>
      </c>
      <c r="CR278" s="6"/>
      <c r="CS278" s="6"/>
      <c r="CT278" s="6"/>
      <c r="CU278" s="6"/>
      <c r="CV278" s="7">
        <f>ROUND(46898.71,2)</f>
        <v>46898.71</v>
      </c>
      <c r="CW278" s="6"/>
      <c r="CX278" s="6"/>
      <c r="CY278" s="7">
        <f>ROUND(7521.28999999999,2)</f>
        <v>7521.29</v>
      </c>
      <c r="CZ278" s="6"/>
      <c r="DA278" s="6"/>
      <c r="DB278" s="6"/>
      <c r="DC278" s="6"/>
      <c r="DD278" s="7">
        <f>ROUND(546.49,2)</f>
        <v>546.49</v>
      </c>
      <c r="DE278" s="6"/>
      <c r="DF278" s="6"/>
      <c r="DG278" s="6"/>
      <c r="DH278" s="7">
        <f>ROUND(16.53,2)</f>
        <v>16.53</v>
      </c>
      <c r="DI278" s="6"/>
      <c r="DJ278" s="6"/>
      <c r="DK278" s="6"/>
      <c r="DL278" s="6"/>
      <c r="DM278" s="6"/>
      <c r="DN278" s="7">
        <f>ROUND(3737.19,2)</f>
        <v>3737.19</v>
      </c>
      <c r="DO278" s="6"/>
      <c r="DP278" s="7">
        <f>ROUND(124.19,2)</f>
        <v>124.19</v>
      </c>
      <c r="DQ278" s="6"/>
      <c r="DR278" s="6"/>
      <c r="DS278" s="6"/>
      <c r="DT278" s="6"/>
      <c r="DU278" s="6"/>
      <c r="DV278" s="6"/>
      <c r="DW278" s="6"/>
      <c r="DX278" s="6"/>
      <c r="DY278" s="7">
        <f>ROUND(8149.00999999999,2)</f>
        <v>8149.01</v>
      </c>
      <c r="DZ278" s="6"/>
      <c r="EA278" s="7">
        <f>ROUND(367.46,2)</f>
        <v>367.46</v>
      </c>
      <c r="EB278" s="6"/>
      <c r="EC278" s="6"/>
      <c r="ED278" s="7">
        <f>ROUND(2281.58,2)</f>
        <v>2281.58</v>
      </c>
      <c r="EE278" s="6"/>
      <c r="EF278" s="7">
        <f>ROUND(1373.46,2)</f>
        <v>1373.46</v>
      </c>
      <c r="EG278" s="6"/>
      <c r="EH278" s="7">
        <f>ROUND(1563.36,2)</f>
        <v>1563.36</v>
      </c>
      <c r="EI278" s="6"/>
      <c r="EJ278" s="6"/>
      <c r="EK278" s="7">
        <f>ROUND(1283.6,2)</f>
        <v>1283.5999999999999</v>
      </c>
      <c r="EL278" s="6"/>
      <c r="EM278" s="6"/>
      <c r="EN278" s="7">
        <f>ROUND(256.72,2)</f>
        <v>256.72000000000003</v>
      </c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7">
        <f>ROUND(451.48,2)</f>
        <v>451.48</v>
      </c>
      <c r="FC278" s="7">
        <f>ROUND(203.61,2)</f>
        <v>203.61</v>
      </c>
      <c r="FD278" s="7">
        <f>ROUND(256.72,2)</f>
        <v>256.72000000000003</v>
      </c>
      <c r="FE278" s="6"/>
      <c r="FF278" s="6"/>
      <c r="FG278" s="6"/>
      <c r="FH278" s="6"/>
      <c r="FI278" s="6"/>
      <c r="FJ278" s="7">
        <f>ROUND(750,2)</f>
        <v>750</v>
      </c>
      <c r="FK278" s="6"/>
      <c r="FL278" s="6"/>
      <c r="FM278" s="6"/>
      <c r="FN278" s="6"/>
      <c r="FO278" s="6"/>
      <c r="FP278" s="6"/>
      <c r="FQ278" s="6"/>
      <c r="FR278" s="6"/>
      <c r="FS278" s="6"/>
      <c r="FT278" s="7">
        <f>ROUND(3000,2)</f>
        <v>3000</v>
      </c>
      <c r="FU278" s="6"/>
      <c r="FV278" s="6"/>
      <c r="FW278" s="6"/>
      <c r="FX278" s="6"/>
      <c r="FY278" s="7">
        <f>ROUND(78781.3999999999,2)</f>
        <v>78781.399999999994</v>
      </c>
    </row>
    <row r="279" spans="1:181" ht="26.4" x14ac:dyDescent="0.3">
      <c r="A279" s="4" t="s">
        <v>760</v>
      </c>
      <c r="B279" s="5"/>
      <c r="C279" s="5" t="s">
        <v>476</v>
      </c>
      <c r="D279" s="5" t="s">
        <v>317</v>
      </c>
      <c r="E279" s="5" t="s">
        <v>0</v>
      </c>
      <c r="F279" s="5" t="s">
        <v>0</v>
      </c>
      <c r="G279" s="5" t="s">
        <v>478</v>
      </c>
      <c r="H279" s="8">
        <f>ROUND(1442.31,2)</f>
        <v>1442.31</v>
      </c>
      <c r="I279" s="7">
        <f>ROUND(30288.15,2)</f>
        <v>30288.15</v>
      </c>
      <c r="J279" s="7">
        <f>ROUND(738.75,2)</f>
        <v>738.75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7">
        <f>ROUND(7,2)</f>
        <v>7</v>
      </c>
      <c r="CH279" s="7">
        <f>ROUND(16,2)</f>
        <v>16</v>
      </c>
      <c r="CI279" s="6"/>
      <c r="CJ279" s="6"/>
      <c r="CK279" s="6"/>
      <c r="CL279" s="6"/>
      <c r="CM279" s="6"/>
      <c r="CN279" s="7">
        <f>ROUND(72,2)</f>
        <v>72</v>
      </c>
      <c r="CO279" s="6"/>
      <c r="CP279" s="6"/>
      <c r="CQ279" s="7">
        <f>ROUND(833.75,2)</f>
        <v>833.75</v>
      </c>
      <c r="CR279" s="7">
        <f>ROUND(26637.67,2)</f>
        <v>26637.67</v>
      </c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7">
        <f>ROUND(225,2)</f>
        <v>225</v>
      </c>
      <c r="FK279" s="6"/>
      <c r="FL279" s="6"/>
      <c r="FM279" s="7">
        <f>ROUND(252.4,2)</f>
        <v>252.4</v>
      </c>
      <c r="FN279" s="7">
        <f>ROUND(576.92,2)</f>
        <v>576.91999999999996</v>
      </c>
      <c r="FO279" s="6"/>
      <c r="FP279" s="6"/>
      <c r="FQ279" s="6"/>
      <c r="FR279" s="6"/>
      <c r="FS279" s="6"/>
      <c r="FT279" s="6"/>
      <c r="FU279" s="6"/>
      <c r="FV279" s="7">
        <f>ROUND(2596.16,2)</f>
        <v>2596.16</v>
      </c>
      <c r="FW279" s="6"/>
      <c r="FX279" s="6"/>
      <c r="FY279" s="7">
        <f>ROUND(30288.15,2)</f>
        <v>30288.15</v>
      </c>
    </row>
    <row r="280" spans="1:181" x14ac:dyDescent="0.3">
      <c r="A280" s="4" t="s">
        <v>761</v>
      </c>
      <c r="B280" s="5" t="s">
        <v>1029</v>
      </c>
      <c r="C280" s="5" t="s">
        <v>181</v>
      </c>
      <c r="D280" s="5" t="s">
        <v>439</v>
      </c>
      <c r="E280" s="5" t="s">
        <v>0</v>
      </c>
      <c r="F280" s="5" t="s">
        <v>0</v>
      </c>
      <c r="G280" s="5" t="s">
        <v>183</v>
      </c>
      <c r="H280" s="8">
        <v>33.880000000000003</v>
      </c>
      <c r="I280" s="7">
        <f>ROUND(94966.7299999999,2)</f>
        <v>94966.73</v>
      </c>
      <c r="J280" s="6"/>
      <c r="K280" s="6"/>
      <c r="L280" s="6"/>
      <c r="M280" s="6"/>
      <c r="N280" s="7">
        <f>ROUND(2,2)</f>
        <v>2</v>
      </c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7">
        <f>ROUND(1906.78,2)</f>
        <v>1906.78</v>
      </c>
      <c r="AF280" s="6"/>
      <c r="AG280" s="7">
        <f>ROUND(372.82,2)</f>
        <v>372.82</v>
      </c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7">
        <f>ROUND(18,2)</f>
        <v>18</v>
      </c>
      <c r="AS280" s="6"/>
      <c r="AT280" s="6"/>
      <c r="AU280" s="7">
        <f>ROUND(64,2)</f>
        <v>64</v>
      </c>
      <c r="AV280" s="7">
        <f>ROUND(8,2)</f>
        <v>8</v>
      </c>
      <c r="AW280" s="6"/>
      <c r="AX280" s="6"/>
      <c r="AY280" s="7">
        <f>ROUND(132,2)</f>
        <v>132</v>
      </c>
      <c r="AZ280" s="7">
        <f>ROUND(20,2)</f>
        <v>20</v>
      </c>
      <c r="BA280" s="6"/>
      <c r="BB280" s="7">
        <f>ROUND(42,2)</f>
        <v>42</v>
      </c>
      <c r="BC280" s="6"/>
      <c r="BD280" s="7">
        <f>ROUND(8,2)</f>
        <v>8</v>
      </c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7">
        <f>ROUND(24.88,2)</f>
        <v>24.88</v>
      </c>
      <c r="BU280" s="7">
        <f>ROUND(15.62,2)</f>
        <v>15.62</v>
      </c>
      <c r="BV280" s="6"/>
      <c r="BW280" s="6"/>
      <c r="BX280" s="6"/>
      <c r="BY280" s="6"/>
      <c r="BZ280" s="6"/>
      <c r="CA280" s="7">
        <f>ROUND(8,2)</f>
        <v>8</v>
      </c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7">
        <f>ROUND(2622.1,2)</f>
        <v>2622.1</v>
      </c>
      <c r="CR280" s="6"/>
      <c r="CS280" s="6"/>
      <c r="CT280" s="6"/>
      <c r="CU280" s="6"/>
      <c r="CV280" s="7">
        <f>ROUND(64.18,2)</f>
        <v>64.180000000000007</v>
      </c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7">
        <f>ROUND(62142.2799999999,2)</f>
        <v>62142.28</v>
      </c>
      <c r="DO280" s="6"/>
      <c r="DP280" s="7">
        <f>ROUND(18215.67,2)</f>
        <v>18215.669999999998</v>
      </c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7">
        <f>ROUND(867.78,2)</f>
        <v>867.78</v>
      </c>
      <c r="EB280" s="6"/>
      <c r="EC280" s="6"/>
      <c r="ED280" s="7">
        <f>ROUND(2083.44,2)</f>
        <v>2083.44</v>
      </c>
      <c r="EE280" s="7">
        <f>ROUND(396.64,2)</f>
        <v>396.64</v>
      </c>
      <c r="EF280" s="6"/>
      <c r="EG280" s="6"/>
      <c r="EH280" s="7">
        <f>ROUND(4305.62,2)</f>
        <v>4305.62</v>
      </c>
      <c r="EI280" s="7">
        <f>ROUND(993.21,2)</f>
        <v>993.21</v>
      </c>
      <c r="EJ280" s="6"/>
      <c r="EK280" s="7">
        <f>ROUND(1355.46,2)</f>
        <v>1355.46</v>
      </c>
      <c r="EL280" s="6"/>
      <c r="EM280" s="6"/>
      <c r="EN280" s="7">
        <f>ROUND(256.72,2)</f>
        <v>256.72000000000003</v>
      </c>
      <c r="EO280" s="6"/>
      <c r="EP280" s="6"/>
      <c r="EQ280" s="6"/>
      <c r="ER280" s="7">
        <f>ROUND(344,2)</f>
        <v>344</v>
      </c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7">
        <f>ROUND(316.73,2)</f>
        <v>316.73</v>
      </c>
      <c r="FG280" s="6"/>
      <c r="FH280" s="6"/>
      <c r="FI280" s="6"/>
      <c r="FJ280" s="7">
        <f>ROUND(625,2)</f>
        <v>625</v>
      </c>
      <c r="FK280" s="6"/>
      <c r="FL280" s="6"/>
      <c r="FM280" s="6"/>
      <c r="FN280" s="6"/>
      <c r="FO280" s="6"/>
      <c r="FP280" s="6"/>
      <c r="FQ280" s="6"/>
      <c r="FR280" s="6"/>
      <c r="FS280" s="6"/>
      <c r="FT280" s="7">
        <f>ROUND(3000,2)</f>
        <v>3000</v>
      </c>
      <c r="FU280" s="6"/>
      <c r="FV280" s="6"/>
      <c r="FW280" s="6"/>
      <c r="FX280" s="6"/>
      <c r="FY280" s="7">
        <f>ROUND(94966.7299999999,2)</f>
        <v>94966.73</v>
      </c>
    </row>
    <row r="281" spans="1:181" x14ac:dyDescent="0.3">
      <c r="A281" s="4" t="s">
        <v>762</v>
      </c>
      <c r="B281" s="5"/>
      <c r="C281" s="5" t="s">
        <v>294</v>
      </c>
      <c r="D281" s="5" t="s">
        <v>267</v>
      </c>
      <c r="E281" s="5" t="s">
        <v>0</v>
      </c>
      <c r="F281" s="5" t="s">
        <v>0</v>
      </c>
      <c r="G281" s="5" t="s">
        <v>474</v>
      </c>
      <c r="H281" s="8">
        <f>ROUND(1365.38,2)</f>
        <v>1365.38</v>
      </c>
      <c r="I281" s="7">
        <f>ROUND(73556.04,2)</f>
        <v>73556.039999999994</v>
      </c>
      <c r="J281" s="7">
        <f>ROUND(360,2)</f>
        <v>360</v>
      </c>
      <c r="K281" s="6"/>
      <c r="L281" s="6"/>
      <c r="M281" s="6"/>
      <c r="N281" s="7">
        <f>ROUND(651.51,2)</f>
        <v>651.51</v>
      </c>
      <c r="O281" s="6"/>
      <c r="P281" s="6"/>
      <c r="Q281" s="7">
        <f>ROUND(79.81,2)</f>
        <v>79.81</v>
      </c>
      <c r="R281" s="6"/>
      <c r="S281" s="6"/>
      <c r="T281" s="6"/>
      <c r="U281" s="6"/>
      <c r="V281" s="7">
        <f>ROUND(6.25,2)</f>
        <v>6.25</v>
      </c>
      <c r="W281" s="6"/>
      <c r="X281" s="7">
        <f>ROUND(0.83,2)</f>
        <v>0.83</v>
      </c>
      <c r="Y281" s="6"/>
      <c r="Z281" s="6"/>
      <c r="AA281" s="6"/>
      <c r="AB281" s="6"/>
      <c r="AC281" s="6"/>
      <c r="AD281" s="6"/>
      <c r="AE281" s="7">
        <f>ROUND(288.22,2)</f>
        <v>288.22000000000003</v>
      </c>
      <c r="AF281" s="6"/>
      <c r="AG281" s="7">
        <f>ROUND(38.14,2)</f>
        <v>38.14</v>
      </c>
      <c r="AH281" s="6"/>
      <c r="AI281" s="6"/>
      <c r="AJ281" s="6"/>
      <c r="AK281" s="6"/>
      <c r="AL281" s="6"/>
      <c r="AM281" s="6"/>
      <c r="AN281" s="6"/>
      <c r="AO281" s="6"/>
      <c r="AP281" s="7">
        <f>ROUND(604.69,2)</f>
        <v>604.69000000000005</v>
      </c>
      <c r="AQ281" s="6"/>
      <c r="AR281" s="7">
        <f>ROUND(62.3699999999999,2)</f>
        <v>62.37</v>
      </c>
      <c r="AS281" s="6"/>
      <c r="AT281" s="6"/>
      <c r="AU281" s="7">
        <f>ROUND(56,2)</f>
        <v>56</v>
      </c>
      <c r="AV281" s="6"/>
      <c r="AW281" s="7">
        <f>ROUND(16,2)</f>
        <v>16</v>
      </c>
      <c r="AX281" s="6"/>
      <c r="AY281" s="7">
        <f>ROUND(18,2)</f>
        <v>18</v>
      </c>
      <c r="AZ281" s="6"/>
      <c r="BA281" s="6"/>
      <c r="BB281" s="6"/>
      <c r="BC281" s="6"/>
      <c r="BD281" s="7">
        <f>ROUND(8,2)</f>
        <v>8</v>
      </c>
      <c r="BE281" s="7">
        <f>ROUND(2.69,2)</f>
        <v>2.69</v>
      </c>
      <c r="BF281" s="6"/>
      <c r="BG281" s="6"/>
      <c r="BH281" s="6"/>
      <c r="BI281" s="6"/>
      <c r="BJ281" s="6"/>
      <c r="BK281" s="6"/>
      <c r="BL281" s="6"/>
      <c r="BM281" s="6"/>
      <c r="BN281" s="6"/>
      <c r="BO281" s="7">
        <f>ROUND(14.42,2)</f>
        <v>14.42</v>
      </c>
      <c r="BP281" s="6"/>
      <c r="BQ281" s="7">
        <f>ROUND(38.42,2)</f>
        <v>38.42</v>
      </c>
      <c r="BR281" s="6"/>
      <c r="BS281" s="6"/>
      <c r="BT281" s="7">
        <f>ROUND(6.75,2)</f>
        <v>6.75</v>
      </c>
      <c r="BU281" s="6"/>
      <c r="BV281" s="6"/>
      <c r="BW281" s="6"/>
      <c r="BX281" s="6"/>
      <c r="BY281" s="7">
        <f>ROUND(42,2)</f>
        <v>42</v>
      </c>
      <c r="BZ281" s="6"/>
      <c r="CA281" s="6"/>
      <c r="CB281" s="6"/>
      <c r="CC281" s="6"/>
      <c r="CD281" s="6"/>
      <c r="CE281" s="6"/>
      <c r="CF281" s="6"/>
      <c r="CG281" s="6"/>
      <c r="CH281" s="7">
        <f>ROUND(16,2)</f>
        <v>16</v>
      </c>
      <c r="CI281" s="7">
        <f>ROUND(8,2)</f>
        <v>8</v>
      </c>
      <c r="CJ281" s="6"/>
      <c r="CK281" s="6"/>
      <c r="CL281" s="6"/>
      <c r="CM281" s="6"/>
      <c r="CN281" s="7">
        <f>ROUND(16,2)</f>
        <v>16</v>
      </c>
      <c r="CO281" s="6"/>
      <c r="CP281" s="6"/>
      <c r="CQ281" s="7">
        <f>ROUND(2334.1,2)</f>
        <v>2334.1</v>
      </c>
      <c r="CR281" s="7">
        <f>ROUND(12288.4099999999,2)</f>
        <v>12288.41</v>
      </c>
      <c r="CS281" s="6"/>
      <c r="CT281" s="6"/>
      <c r="CU281" s="6"/>
      <c r="CV281" s="7">
        <f>ROUND(19474.54,2)</f>
        <v>19474.54</v>
      </c>
      <c r="CW281" s="6"/>
      <c r="CX281" s="6"/>
      <c r="CY281" s="7">
        <f>ROUND(3622.79,2)</f>
        <v>3622.79</v>
      </c>
      <c r="CZ281" s="6"/>
      <c r="DA281" s="6"/>
      <c r="DB281" s="6"/>
      <c r="DC281" s="6"/>
      <c r="DD281" s="7">
        <f>ROUND(180.5,2)</f>
        <v>180.5</v>
      </c>
      <c r="DE281" s="6"/>
      <c r="DF281" s="7">
        <f>ROUND(24.19,2)</f>
        <v>24.19</v>
      </c>
      <c r="DG281" s="6"/>
      <c r="DH281" s="6"/>
      <c r="DI281" s="6"/>
      <c r="DJ281" s="6"/>
      <c r="DK281" s="6"/>
      <c r="DL281" s="6"/>
      <c r="DM281" s="6"/>
      <c r="DN281" s="7">
        <f>ROUND(8541.34,2)</f>
        <v>8541.34</v>
      </c>
      <c r="DO281" s="6"/>
      <c r="DP281" s="7">
        <f>ROUND(1663.43,2)</f>
        <v>1663.43</v>
      </c>
      <c r="DQ281" s="6"/>
      <c r="DR281" s="6"/>
      <c r="DS281" s="6"/>
      <c r="DT281" s="6"/>
      <c r="DU281" s="6"/>
      <c r="DV281" s="6"/>
      <c r="DW281" s="6"/>
      <c r="DX281" s="6"/>
      <c r="DY281" s="7">
        <f>ROUND(17887.03,2)</f>
        <v>17887.03</v>
      </c>
      <c r="DZ281" s="6"/>
      <c r="EA281" s="7">
        <f>ROUND(2705.13,2)</f>
        <v>2705.13</v>
      </c>
      <c r="EB281" s="6"/>
      <c r="EC281" s="6"/>
      <c r="ED281" s="7">
        <f>ROUND(1614.14,2)</f>
        <v>1614.14</v>
      </c>
      <c r="EE281" s="6"/>
      <c r="EF281" s="7">
        <f>ROUND(482.24,2)</f>
        <v>482.24</v>
      </c>
      <c r="EG281" s="6"/>
      <c r="EH281" s="7">
        <f>ROUND(519.84,2)</f>
        <v>519.84</v>
      </c>
      <c r="EI281" s="6"/>
      <c r="EJ281" s="6"/>
      <c r="EK281" s="6"/>
      <c r="EL281" s="6"/>
      <c r="EM281" s="6"/>
      <c r="EN281" s="7">
        <f>ROUND(231.04,2)</f>
        <v>231.04</v>
      </c>
      <c r="EO281" s="7">
        <f>ROUND(81.27,2)</f>
        <v>81.27</v>
      </c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7">
        <f>ROUND(416.45,2)</f>
        <v>416.45</v>
      </c>
      <c r="FC281" s="6"/>
      <c r="FD281" s="7">
        <f>ROUND(1135.23,2)</f>
        <v>1135.23</v>
      </c>
      <c r="FE281" s="6"/>
      <c r="FF281" s="6"/>
      <c r="FG281" s="6"/>
      <c r="FH281" s="6"/>
      <c r="FI281" s="6"/>
      <c r="FJ281" s="7">
        <f>ROUND(1323.08,2)</f>
        <v>1323.08</v>
      </c>
      <c r="FK281" s="6"/>
      <c r="FL281" s="6"/>
      <c r="FM281" s="6"/>
      <c r="FN281" s="7">
        <f>ROUND(546.16,2)</f>
        <v>546.16</v>
      </c>
      <c r="FO281" s="7">
        <f>ROUND(273.08,2)</f>
        <v>273.08</v>
      </c>
      <c r="FP281" s="6"/>
      <c r="FQ281" s="6"/>
      <c r="FR281" s="6"/>
      <c r="FS281" s="6"/>
      <c r="FT281" s="6"/>
      <c r="FU281" s="6"/>
      <c r="FV281" s="7">
        <f>ROUND(546.15,2)</f>
        <v>546.15</v>
      </c>
      <c r="FW281" s="6"/>
      <c r="FX281" s="6"/>
      <c r="FY281" s="7">
        <f>ROUND(73556.04,2)</f>
        <v>73556.039999999994</v>
      </c>
    </row>
    <row r="282" spans="1:181" x14ac:dyDescent="0.3">
      <c r="A282" s="4" t="s">
        <v>763</v>
      </c>
      <c r="B282" s="5" t="s">
        <v>1029</v>
      </c>
      <c r="C282" s="5" t="s">
        <v>181</v>
      </c>
      <c r="D282" s="5" t="s">
        <v>420</v>
      </c>
      <c r="E282" s="5" t="s">
        <v>0</v>
      </c>
      <c r="F282" s="5" t="s">
        <v>0</v>
      </c>
      <c r="G282" s="5" t="s">
        <v>183</v>
      </c>
      <c r="H282" s="8">
        <v>33.380000000000003</v>
      </c>
      <c r="I282" s="7">
        <f>ROUND(87427,2)</f>
        <v>87427</v>
      </c>
      <c r="J282" s="6"/>
      <c r="K282" s="6"/>
      <c r="L282" s="6"/>
      <c r="M282" s="6"/>
      <c r="N282" s="7">
        <f>ROUND(1456.29,2)</f>
        <v>1456.29</v>
      </c>
      <c r="O282" s="6"/>
      <c r="P282" s="6"/>
      <c r="Q282" s="7">
        <f>ROUND(180.649999999999,2)</f>
        <v>180.65</v>
      </c>
      <c r="R282" s="6"/>
      <c r="S282" s="6"/>
      <c r="T282" s="6"/>
      <c r="U282" s="6"/>
      <c r="V282" s="7">
        <f>ROUND(14.16,2)</f>
        <v>14.16</v>
      </c>
      <c r="W282" s="6"/>
      <c r="X282" s="6"/>
      <c r="Y282" s="6"/>
      <c r="Z282" s="6"/>
      <c r="AA282" s="6"/>
      <c r="AB282" s="6"/>
      <c r="AC282" s="6"/>
      <c r="AD282" s="6"/>
      <c r="AE282" s="7">
        <f>ROUND(387.36,2)</f>
        <v>387.36</v>
      </c>
      <c r="AF282" s="6"/>
      <c r="AG282" s="7">
        <f>ROUND(105.33,2)</f>
        <v>105.33</v>
      </c>
      <c r="AH282" s="6"/>
      <c r="AI282" s="6"/>
      <c r="AJ282" s="6"/>
      <c r="AK282" s="6"/>
      <c r="AL282" s="6"/>
      <c r="AM282" s="6"/>
      <c r="AN282" s="6"/>
      <c r="AO282" s="6"/>
      <c r="AP282" s="7">
        <f>ROUND(12,2)</f>
        <v>12</v>
      </c>
      <c r="AQ282" s="6"/>
      <c r="AR282" s="6"/>
      <c r="AS282" s="6"/>
      <c r="AT282" s="6"/>
      <c r="AU282" s="7">
        <f>ROUND(58,2)</f>
        <v>58</v>
      </c>
      <c r="AV282" s="6"/>
      <c r="AW282" s="7">
        <f>ROUND(56.4,2)</f>
        <v>56.4</v>
      </c>
      <c r="AX282" s="7">
        <f>ROUND(7.6,2)</f>
        <v>7.6</v>
      </c>
      <c r="AY282" s="7">
        <f>ROUND(39.22,2)</f>
        <v>39.22</v>
      </c>
      <c r="AZ282" s="7">
        <f>ROUND(10.78,2)</f>
        <v>10.78</v>
      </c>
      <c r="BA282" s="6"/>
      <c r="BB282" s="7">
        <f>ROUND(36,2)</f>
        <v>36</v>
      </c>
      <c r="BC282" s="6"/>
      <c r="BD282" s="7">
        <f>ROUND(8,2)</f>
        <v>8</v>
      </c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7">
        <f>ROUND(25,2)</f>
        <v>25</v>
      </c>
      <c r="BP282" s="6"/>
      <c r="BQ282" s="7">
        <f>ROUND(9,2)</f>
        <v>9</v>
      </c>
      <c r="BR282" s="6"/>
      <c r="BS282" s="7">
        <f>ROUND(8,2)</f>
        <v>8</v>
      </c>
      <c r="BT282" s="7">
        <f>ROUND(0.93,2)</f>
        <v>0.93</v>
      </c>
      <c r="BU282" s="6"/>
      <c r="BV282" s="6"/>
      <c r="BW282" s="7">
        <f>ROUND(8,2)</f>
        <v>8</v>
      </c>
      <c r="BX282" s="6"/>
      <c r="BY282" s="7">
        <f>ROUND(8,2)</f>
        <v>8</v>
      </c>
      <c r="BZ282" s="6"/>
      <c r="CA282" s="7">
        <f>ROUND(16,2)</f>
        <v>16</v>
      </c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7">
        <f>ROUND(2446.72,2)</f>
        <v>2446.7199999999998</v>
      </c>
      <c r="CR282" s="6"/>
      <c r="CS282" s="6"/>
      <c r="CT282" s="6"/>
      <c r="CU282" s="6"/>
      <c r="CV282" s="7">
        <f>ROUND(47636.83,2)</f>
        <v>47636.83</v>
      </c>
      <c r="CW282" s="6"/>
      <c r="CX282" s="6"/>
      <c r="CY282" s="7">
        <f>ROUND(8900.05,2)</f>
        <v>8900.0499999999993</v>
      </c>
      <c r="CZ282" s="6"/>
      <c r="DA282" s="6"/>
      <c r="DB282" s="6"/>
      <c r="DC282" s="6"/>
      <c r="DD282" s="7">
        <f>ROUND(469.57,2)</f>
        <v>469.57</v>
      </c>
      <c r="DE282" s="6"/>
      <c r="DF282" s="6"/>
      <c r="DG282" s="6"/>
      <c r="DH282" s="6"/>
      <c r="DI282" s="6"/>
      <c r="DJ282" s="6"/>
      <c r="DK282" s="6"/>
      <c r="DL282" s="6"/>
      <c r="DM282" s="6"/>
      <c r="DN282" s="7">
        <f>ROUND(12440.8699999999,2)</f>
        <v>12440.87</v>
      </c>
      <c r="DO282" s="6"/>
      <c r="DP282" s="7">
        <f>ROUND(5070.07,2)</f>
        <v>5070.07</v>
      </c>
      <c r="DQ282" s="6"/>
      <c r="DR282" s="6"/>
      <c r="DS282" s="6"/>
      <c r="DT282" s="6"/>
      <c r="DU282" s="6"/>
      <c r="DV282" s="6"/>
      <c r="DW282" s="6"/>
      <c r="DX282" s="6"/>
      <c r="DY282" s="7">
        <f>ROUND(385.08,2)</f>
        <v>385.08</v>
      </c>
      <c r="DZ282" s="6"/>
      <c r="EA282" s="6"/>
      <c r="EB282" s="6"/>
      <c r="EC282" s="6"/>
      <c r="ED282" s="7">
        <f>ROUND(1886.9,2)</f>
        <v>1886.9</v>
      </c>
      <c r="EE282" s="6"/>
      <c r="EF282" s="7">
        <f>ROUND(1849.09,2)</f>
        <v>1849.09</v>
      </c>
      <c r="EG282" s="7">
        <f>ROUND(368.92,2)</f>
        <v>368.92</v>
      </c>
      <c r="EH282" s="7">
        <f>ROUND(1266.25,2)</f>
        <v>1266.25</v>
      </c>
      <c r="EI282" s="7">
        <f>ROUND(518.9,2)</f>
        <v>518.9</v>
      </c>
      <c r="EJ282" s="6"/>
      <c r="EK282" s="7">
        <f>ROUND(1155.24,2)</f>
        <v>1155.24</v>
      </c>
      <c r="EL282" s="6"/>
      <c r="EM282" s="6"/>
      <c r="EN282" s="7">
        <f>ROUND(256.72,2)</f>
        <v>256.72000000000003</v>
      </c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7">
        <f>ROUND(808.7,2)</f>
        <v>808.7</v>
      </c>
      <c r="FC282" s="6"/>
      <c r="FD282" s="7">
        <f>ROUND(288.81,2)</f>
        <v>288.81</v>
      </c>
      <c r="FE282" s="6"/>
      <c r="FF282" s="6"/>
      <c r="FG282" s="6"/>
      <c r="FH282" s="6"/>
      <c r="FI282" s="6"/>
      <c r="FJ282" s="7">
        <f>ROUND(1125,2)</f>
        <v>1125</v>
      </c>
      <c r="FK282" s="6"/>
      <c r="FL282" s="6"/>
      <c r="FM282" s="6"/>
      <c r="FN282" s="6"/>
      <c r="FO282" s="6"/>
      <c r="FP282" s="6"/>
      <c r="FQ282" s="6"/>
      <c r="FR282" s="6"/>
      <c r="FS282" s="6"/>
      <c r="FT282" s="7">
        <f>ROUND(3000,2)</f>
        <v>3000</v>
      </c>
      <c r="FU282" s="6"/>
      <c r="FV282" s="6"/>
      <c r="FW282" s="6"/>
      <c r="FX282" s="6"/>
      <c r="FY282" s="7">
        <f>ROUND(87427,2)</f>
        <v>87427</v>
      </c>
    </row>
    <row r="283" spans="1:181" ht="26.4" x14ac:dyDescent="0.3">
      <c r="A283" s="4" t="s">
        <v>764</v>
      </c>
      <c r="B283" s="5"/>
      <c r="C283" s="5" t="s">
        <v>294</v>
      </c>
      <c r="D283" s="5" t="s">
        <v>765</v>
      </c>
      <c r="E283" s="5" t="s">
        <v>0</v>
      </c>
      <c r="F283" s="5" t="s">
        <v>0</v>
      </c>
      <c r="G283" s="5" t="s">
        <v>766</v>
      </c>
      <c r="H283" s="8">
        <f>ROUND(1468.94,2)</f>
        <v>1468.94</v>
      </c>
      <c r="I283" s="7">
        <f>ROUND(85348.48,2)</f>
        <v>85348.479999999996</v>
      </c>
      <c r="J283" s="7">
        <f>ROUND(1680,2)</f>
        <v>1680</v>
      </c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7">
        <f>ROUND(-8,2)</f>
        <v>-8</v>
      </c>
      <c r="AC283" s="6"/>
      <c r="AD283" s="7">
        <f>ROUND(10,2)</f>
        <v>10</v>
      </c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7">
        <f>ROUND(8,2)</f>
        <v>8</v>
      </c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7">
        <f>ROUND(8,2)</f>
        <v>8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7">
        <f>ROUND(16,2)</f>
        <v>16</v>
      </c>
      <c r="CH283" s="7">
        <f>ROUND(56,2)</f>
        <v>56</v>
      </c>
      <c r="CI283" s="7">
        <f>ROUND(32,2)</f>
        <v>32</v>
      </c>
      <c r="CJ283" s="6"/>
      <c r="CK283" s="6"/>
      <c r="CL283" s="6"/>
      <c r="CM283" s="6"/>
      <c r="CN283" s="7">
        <f>ROUND(104,2)</f>
        <v>104</v>
      </c>
      <c r="CO283" s="6"/>
      <c r="CP283" s="6"/>
      <c r="CQ283" s="7">
        <f>ROUND(1906,2)</f>
        <v>1906</v>
      </c>
      <c r="CR283" s="7">
        <f>ROUND(74915.92,2)</f>
        <v>74915.92</v>
      </c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7">
        <f>ROUND(-293.79,2)</f>
        <v>-293.79000000000002</v>
      </c>
      <c r="DL283" s="6"/>
      <c r="DM283" s="7">
        <f>ROUND(3750,2)</f>
        <v>3750</v>
      </c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7">
        <f>ROUND(219.2,2)</f>
        <v>219.2</v>
      </c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7">
        <f>ROUND(293.79,2)</f>
        <v>293.79000000000002</v>
      </c>
      <c r="FH283" s="6"/>
      <c r="FI283" s="6"/>
      <c r="FJ283" s="7">
        <f>ROUND(3525.46,2)</f>
        <v>3525.46</v>
      </c>
      <c r="FK283" s="6"/>
      <c r="FL283" s="6"/>
      <c r="FM283" s="7">
        <f>ROUND(587.58,2)</f>
        <v>587.58000000000004</v>
      </c>
      <c r="FN283" s="7">
        <f>ROUND(881.37,2)</f>
        <v>881.37</v>
      </c>
      <c r="FO283" s="7">
        <f>ROUND(587.58,2)</f>
        <v>587.58000000000004</v>
      </c>
      <c r="FP283" s="6"/>
      <c r="FQ283" s="6"/>
      <c r="FR283" s="6"/>
      <c r="FS283" s="6"/>
      <c r="FT283" s="6"/>
      <c r="FU283" s="6"/>
      <c r="FV283" s="7">
        <f>ROUND(881.37,2)</f>
        <v>881.37</v>
      </c>
      <c r="FW283" s="6"/>
      <c r="FX283" s="6"/>
      <c r="FY283" s="7">
        <f>ROUND(85348.48,2)</f>
        <v>85348.479999999996</v>
      </c>
    </row>
    <row r="284" spans="1:181" x14ac:dyDescent="0.3">
      <c r="A284" s="4" t="s">
        <v>767</v>
      </c>
      <c r="B284" s="5" t="s">
        <v>1029</v>
      </c>
      <c r="C284" s="5" t="s">
        <v>181</v>
      </c>
      <c r="D284" s="5" t="s">
        <v>768</v>
      </c>
      <c r="E284" s="5" t="s">
        <v>0</v>
      </c>
      <c r="F284" s="5" t="s">
        <v>0</v>
      </c>
      <c r="G284" s="5" t="s">
        <v>183</v>
      </c>
      <c r="H284" s="8">
        <v>33.880000000000003</v>
      </c>
      <c r="I284" s="7">
        <f>ROUND(66239.42,2)</f>
        <v>66239.42</v>
      </c>
      <c r="J284" s="6"/>
      <c r="K284" s="6"/>
      <c r="L284" s="6"/>
      <c r="M284" s="6"/>
      <c r="N284" s="7">
        <f>ROUND(1164.28999999999,2)</f>
        <v>1164.29</v>
      </c>
      <c r="O284" s="6"/>
      <c r="P284" s="6"/>
      <c r="Q284" s="7">
        <f>ROUND(152.859999999999,2)</f>
        <v>152.86000000000001</v>
      </c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7">
        <f>ROUND(63.67,2)</f>
        <v>63.67</v>
      </c>
      <c r="AF284" s="6"/>
      <c r="AG284" s="7">
        <f>ROUND(2,2)</f>
        <v>2</v>
      </c>
      <c r="AH284" s="6"/>
      <c r="AI284" s="6"/>
      <c r="AJ284" s="6"/>
      <c r="AK284" s="6"/>
      <c r="AL284" s="6"/>
      <c r="AM284" s="6"/>
      <c r="AN284" s="6"/>
      <c r="AO284" s="6"/>
      <c r="AP284" s="7">
        <f>ROUND(238.49,2)</f>
        <v>238.49</v>
      </c>
      <c r="AQ284" s="6"/>
      <c r="AR284" s="7">
        <f>ROUND(0.83,2)</f>
        <v>0.83</v>
      </c>
      <c r="AS284" s="6"/>
      <c r="AT284" s="6"/>
      <c r="AU284" s="7">
        <f>ROUND(38,2)</f>
        <v>38</v>
      </c>
      <c r="AV284" s="7">
        <f>ROUND(8,2)</f>
        <v>8</v>
      </c>
      <c r="AW284" s="7">
        <f>ROUND(18,2)</f>
        <v>18</v>
      </c>
      <c r="AX284" s="6"/>
      <c r="AY284" s="7">
        <f>ROUND(80,2)</f>
        <v>80</v>
      </c>
      <c r="AZ284" s="6"/>
      <c r="BA284" s="6"/>
      <c r="BB284" s="7">
        <f>ROUND(32,2)</f>
        <v>32</v>
      </c>
      <c r="BC284" s="6"/>
      <c r="BD284" s="7">
        <f>ROUND(8,2)</f>
        <v>8</v>
      </c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7">
        <f>ROUND(2,2)</f>
        <v>2</v>
      </c>
      <c r="BP284" s="6"/>
      <c r="BQ284" s="7">
        <f>ROUND(9.5,2)</f>
        <v>9.5</v>
      </c>
      <c r="BR284" s="7">
        <f>ROUND(0.5,2)</f>
        <v>0.5</v>
      </c>
      <c r="BS284" s="7">
        <f>ROUND(18.08,2)</f>
        <v>18.079999999999998</v>
      </c>
      <c r="BT284" s="7">
        <f>ROUND(1.67,2)</f>
        <v>1.67</v>
      </c>
      <c r="BU284" s="6"/>
      <c r="BV284" s="6"/>
      <c r="BW284" s="7">
        <f>ROUND(24,2)</f>
        <v>24</v>
      </c>
      <c r="BX284" s="6"/>
      <c r="BY284" s="6"/>
      <c r="BZ284" s="6"/>
      <c r="CA284" s="7">
        <f>ROUND(8,2)</f>
        <v>8</v>
      </c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7">
        <f>ROUND(8,2)</f>
        <v>8</v>
      </c>
      <c r="CQ284" s="7">
        <f>ROUND(1877.88999999999,2)</f>
        <v>1877.89</v>
      </c>
      <c r="CR284" s="6"/>
      <c r="CS284" s="6"/>
      <c r="CT284" s="6"/>
      <c r="CU284" s="6"/>
      <c r="CV284" s="7">
        <f>ROUND(37955.39,2)</f>
        <v>37955.39</v>
      </c>
      <c r="CW284" s="6"/>
      <c r="CX284" s="6"/>
      <c r="CY284" s="7">
        <f>ROUND(7449.24,2)</f>
        <v>7449.24</v>
      </c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7">
        <f>ROUND(2083.31,2)</f>
        <v>2083.31</v>
      </c>
      <c r="DO284" s="6"/>
      <c r="DP284" s="7">
        <f>ROUND(99.15,2)</f>
        <v>99.15</v>
      </c>
      <c r="DQ284" s="6"/>
      <c r="DR284" s="6"/>
      <c r="DS284" s="6"/>
      <c r="DT284" s="6"/>
      <c r="DU284" s="6"/>
      <c r="DV284" s="6"/>
      <c r="DW284" s="6"/>
      <c r="DX284" s="6"/>
      <c r="DY284" s="7">
        <f>ROUND(7742.88999999999,2)</f>
        <v>7742.89</v>
      </c>
      <c r="DZ284" s="6"/>
      <c r="EA284" s="7">
        <f>ROUND(39.95,2)</f>
        <v>39.950000000000003</v>
      </c>
      <c r="EB284" s="6"/>
      <c r="EC284" s="6"/>
      <c r="ED284" s="7">
        <f>ROUND(1240,2)</f>
        <v>1240</v>
      </c>
      <c r="EE284" s="7">
        <f>ROUND(396.64,2)</f>
        <v>396.64</v>
      </c>
      <c r="EF284" s="7">
        <f>ROUND(587.22,2)</f>
        <v>587.22</v>
      </c>
      <c r="EG284" s="6"/>
      <c r="EH284" s="7">
        <f>ROUND(2644,2)</f>
        <v>2644</v>
      </c>
      <c r="EI284" s="6"/>
      <c r="EJ284" s="6"/>
      <c r="EK284" s="7">
        <f>ROUND(1049.92,2)</f>
        <v>1049.92</v>
      </c>
      <c r="EL284" s="6"/>
      <c r="EM284" s="6"/>
      <c r="EN284" s="7">
        <f>ROUND(256.72,2)</f>
        <v>256.72000000000003</v>
      </c>
      <c r="EO284" s="6"/>
      <c r="EP284" s="6"/>
      <c r="EQ284" s="6"/>
      <c r="ER284" s="6"/>
      <c r="ES284" s="6"/>
      <c r="ET284" s="6"/>
      <c r="EU284" s="6"/>
      <c r="EV284" s="7">
        <f>ROUND(500,2)</f>
        <v>500</v>
      </c>
      <c r="EW284" s="6"/>
      <c r="EX284" s="6"/>
      <c r="EY284" s="6"/>
      <c r="EZ284" s="6"/>
      <c r="FA284" s="6"/>
      <c r="FB284" s="7">
        <f>ROUND(64.18,2)</f>
        <v>64.180000000000007</v>
      </c>
      <c r="FC284" s="6"/>
      <c r="FD284" s="7">
        <f>ROUND(313.98,2)</f>
        <v>313.98</v>
      </c>
      <c r="FE284" s="7">
        <f>ROUND(24.79,2)</f>
        <v>24.79</v>
      </c>
      <c r="FF284" s="6"/>
      <c r="FG284" s="6"/>
      <c r="FH284" s="6"/>
      <c r="FI284" s="6"/>
      <c r="FJ284" s="7">
        <f>ROUND(525,2)</f>
        <v>525</v>
      </c>
      <c r="FK284" s="6"/>
      <c r="FL284" s="6"/>
      <c r="FM284" s="6"/>
      <c r="FN284" s="6"/>
      <c r="FO284" s="6"/>
      <c r="FP284" s="6"/>
      <c r="FQ284" s="6"/>
      <c r="FR284" s="6"/>
      <c r="FS284" s="6"/>
      <c r="FT284" s="7">
        <f>ROUND(3000,2)</f>
        <v>3000</v>
      </c>
      <c r="FU284" s="6"/>
      <c r="FV284" s="6"/>
      <c r="FW284" s="6"/>
      <c r="FX284" s="7">
        <f>ROUND(267.04,2)</f>
        <v>267.04000000000002</v>
      </c>
      <c r="FY284" s="7">
        <f>ROUND(66239.42,2)</f>
        <v>66239.42</v>
      </c>
    </row>
    <row r="285" spans="1:181" ht="26.4" x14ac:dyDescent="0.3">
      <c r="A285" s="4" t="s">
        <v>769</v>
      </c>
      <c r="B285" s="5"/>
      <c r="C285" s="5" t="s">
        <v>201</v>
      </c>
      <c r="D285" s="5" t="s">
        <v>770</v>
      </c>
      <c r="E285" s="5" t="s">
        <v>0</v>
      </c>
      <c r="F285" s="5" t="s">
        <v>0</v>
      </c>
      <c r="G285" s="5" t="s">
        <v>203</v>
      </c>
      <c r="H285" s="8">
        <f>ROUND(18.54,2)</f>
        <v>18.54</v>
      </c>
      <c r="I285" s="7">
        <f>ROUND(45985.94,2)</f>
        <v>45985.94</v>
      </c>
      <c r="J285" s="7">
        <f>ROUND(1939.5,2)</f>
        <v>1939.5</v>
      </c>
      <c r="K285" s="7">
        <f>ROUND(144.25,2)</f>
        <v>144.25</v>
      </c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7">
        <f>ROUND(8,2)</f>
        <v>8</v>
      </c>
      <c r="BX285" s="6"/>
      <c r="BY285" s="6"/>
      <c r="BZ285" s="6"/>
      <c r="CA285" s="6"/>
      <c r="CB285" s="6"/>
      <c r="CC285" s="6"/>
      <c r="CD285" s="6"/>
      <c r="CE285" s="6"/>
      <c r="CF285" s="6"/>
      <c r="CG285" s="7">
        <f>ROUND(47,2)</f>
        <v>47</v>
      </c>
      <c r="CH285" s="7">
        <f>ROUND(56,2)</f>
        <v>56</v>
      </c>
      <c r="CI285" s="7">
        <f>ROUND(32,2)</f>
        <v>32</v>
      </c>
      <c r="CJ285" s="6"/>
      <c r="CK285" s="6"/>
      <c r="CL285" s="7">
        <f>ROUND(32,2)</f>
        <v>32</v>
      </c>
      <c r="CM285" s="6"/>
      <c r="CN285" s="7">
        <f>ROUND(40,2)</f>
        <v>40</v>
      </c>
      <c r="CO285" s="6"/>
      <c r="CP285" s="6"/>
      <c r="CQ285" s="7">
        <f>ROUND(2298.75,2)</f>
        <v>2298.75</v>
      </c>
      <c r="CR285" s="7">
        <f>ROUND(35958.3699999999,2)</f>
        <v>35958.370000000003</v>
      </c>
      <c r="CS285" s="7">
        <f>ROUND(4011.62999999999,2)</f>
        <v>4011.63</v>
      </c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7">
        <f>ROUND(148.32,2)</f>
        <v>148.32</v>
      </c>
      <c r="FH285" s="6"/>
      <c r="FI285" s="6"/>
      <c r="FJ285" s="7">
        <f>ROUND(2029.84,2)</f>
        <v>2029.84</v>
      </c>
      <c r="FK285" s="6"/>
      <c r="FL285" s="6"/>
      <c r="FM285" s="7">
        <f>ROUND(871.379999999999,2)</f>
        <v>871.38</v>
      </c>
      <c r="FN285" s="7">
        <f>ROUND(1038.23999999999,2)</f>
        <v>1038.24</v>
      </c>
      <c r="FO285" s="7">
        <f>ROUND(593.28,2)</f>
        <v>593.28</v>
      </c>
      <c r="FP285" s="6"/>
      <c r="FQ285" s="6"/>
      <c r="FR285" s="6"/>
      <c r="FS285" s="7">
        <f>ROUND(593.28,2)</f>
        <v>593.28</v>
      </c>
      <c r="FT285" s="6"/>
      <c r="FU285" s="6"/>
      <c r="FV285" s="7">
        <f>ROUND(741.599999999999,2)</f>
        <v>741.6</v>
      </c>
      <c r="FW285" s="6"/>
      <c r="FX285" s="6"/>
      <c r="FY285" s="7">
        <f>ROUND(45985.94,2)</f>
        <v>45985.94</v>
      </c>
    </row>
    <row r="286" spans="1:181" ht="26.4" x14ac:dyDescent="0.3">
      <c r="A286" s="4" t="s">
        <v>771</v>
      </c>
      <c r="B286" s="5"/>
      <c r="C286" s="5" t="s">
        <v>201</v>
      </c>
      <c r="D286" s="5" t="s">
        <v>772</v>
      </c>
      <c r="E286" s="5" t="s">
        <v>0</v>
      </c>
      <c r="F286" s="5" t="s">
        <v>0</v>
      </c>
      <c r="G286" s="5" t="s">
        <v>203</v>
      </c>
      <c r="H286" s="8">
        <f>ROUND(18.18,2)</f>
        <v>18.18</v>
      </c>
      <c r="I286" s="7">
        <f>ROUND(32605.18,2)</f>
        <v>32605.18</v>
      </c>
      <c r="J286" s="7">
        <f>ROUND(1465.75,2)</f>
        <v>1465.75</v>
      </c>
      <c r="K286" s="7">
        <f>ROUND(37,2)</f>
        <v>37</v>
      </c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7">
        <f>ROUND(8,2)</f>
        <v>8</v>
      </c>
      <c r="BX286" s="6"/>
      <c r="BY286" s="6"/>
      <c r="BZ286" s="6"/>
      <c r="CA286" s="6"/>
      <c r="CB286" s="6"/>
      <c r="CC286" s="6"/>
      <c r="CD286" s="6"/>
      <c r="CE286" s="6"/>
      <c r="CF286" s="6"/>
      <c r="CG286" s="7">
        <f>ROUND(47,2)</f>
        <v>47</v>
      </c>
      <c r="CH286" s="7">
        <f>ROUND(40,2)</f>
        <v>40</v>
      </c>
      <c r="CI286" s="7">
        <f>ROUND(32,2)</f>
        <v>32</v>
      </c>
      <c r="CJ286" s="6"/>
      <c r="CK286" s="6"/>
      <c r="CL286" s="7">
        <f>ROUND(16,2)</f>
        <v>16</v>
      </c>
      <c r="CM286" s="6"/>
      <c r="CN286" s="7">
        <f>ROUND(40,2)</f>
        <v>40</v>
      </c>
      <c r="CO286" s="6"/>
      <c r="CP286" s="6"/>
      <c r="CQ286" s="7">
        <f>ROUND(1685.75,2)</f>
        <v>1685.75</v>
      </c>
      <c r="CR286" s="7">
        <f>ROUND(26647.38,2)</f>
        <v>26647.38</v>
      </c>
      <c r="CS286" s="7">
        <f>ROUND(1009,2)</f>
        <v>1009</v>
      </c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7">
        <f>ROUND(458.33,2)</f>
        <v>458.33</v>
      </c>
      <c r="EX286" s="6"/>
      <c r="EY286" s="6"/>
      <c r="EZ286" s="6"/>
      <c r="FA286" s="6"/>
      <c r="FB286" s="6"/>
      <c r="FC286" s="6"/>
      <c r="FD286" s="6"/>
      <c r="FE286" s="6"/>
      <c r="FF286" s="6"/>
      <c r="FG286" s="7">
        <f>ROUND(145.44,2)</f>
        <v>145.44</v>
      </c>
      <c r="FH286" s="6"/>
      <c r="FI286" s="6"/>
      <c r="FJ286" s="7">
        <f>ROUND(1163.52,2)</f>
        <v>1163.52</v>
      </c>
      <c r="FK286" s="6"/>
      <c r="FL286" s="6"/>
      <c r="FM286" s="7">
        <f>ROUND(854.469999999999,2)</f>
        <v>854.47</v>
      </c>
      <c r="FN286" s="7">
        <f>ROUND(727.2,2)</f>
        <v>727.2</v>
      </c>
      <c r="FO286" s="7">
        <f>ROUND(581.76,2)</f>
        <v>581.76</v>
      </c>
      <c r="FP286" s="6"/>
      <c r="FQ286" s="6"/>
      <c r="FR286" s="6"/>
      <c r="FS286" s="7">
        <f>ROUND(290.88,2)</f>
        <v>290.88</v>
      </c>
      <c r="FT286" s="6"/>
      <c r="FU286" s="6"/>
      <c r="FV286" s="7">
        <f>ROUND(727.2,2)</f>
        <v>727.2</v>
      </c>
      <c r="FW286" s="6"/>
      <c r="FX286" s="6"/>
      <c r="FY286" s="7">
        <f>ROUND(32605.18,2)</f>
        <v>32605.18</v>
      </c>
    </row>
    <row r="287" spans="1:181" x14ac:dyDescent="0.3">
      <c r="A287" s="4" t="s">
        <v>773</v>
      </c>
      <c r="B287" s="5" t="s">
        <v>1029</v>
      </c>
      <c r="C287" s="5" t="s">
        <v>181</v>
      </c>
      <c r="D287" s="5" t="s">
        <v>249</v>
      </c>
      <c r="E287" s="5" t="s">
        <v>774</v>
      </c>
      <c r="F287" s="5" t="s">
        <v>0</v>
      </c>
      <c r="G287" s="5" t="s">
        <v>183</v>
      </c>
      <c r="H287" s="8">
        <v>32.090000000000003</v>
      </c>
      <c r="I287" s="7">
        <f>ROUND(2438.84,2)</f>
        <v>2438.84</v>
      </c>
      <c r="J287" s="6"/>
      <c r="K287" s="6"/>
      <c r="L287" s="6"/>
      <c r="M287" s="6"/>
      <c r="N287" s="7">
        <f>ROUND(16,2)</f>
        <v>16</v>
      </c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7">
        <f>ROUND(5,2)</f>
        <v>5</v>
      </c>
      <c r="AV287" s="6"/>
      <c r="AW287" s="6"/>
      <c r="AX287" s="6"/>
      <c r="AY287" s="7">
        <f>ROUND(5,2)</f>
        <v>5</v>
      </c>
      <c r="AZ287" s="6"/>
      <c r="BA287" s="6"/>
      <c r="BB287" s="7">
        <f>ROUND(20,2)</f>
        <v>20</v>
      </c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7">
        <f>ROUND(5,2)</f>
        <v>5</v>
      </c>
      <c r="BT287" s="6"/>
      <c r="BU287" s="6"/>
      <c r="BV287" s="6"/>
      <c r="BW287" s="7">
        <f>ROUND(5,2)</f>
        <v>5</v>
      </c>
      <c r="BX287" s="6"/>
      <c r="BY287" s="7">
        <f>ROUND(5,2)</f>
        <v>5</v>
      </c>
      <c r="BZ287" s="6"/>
      <c r="CA287" s="7">
        <f>ROUND(15,2)</f>
        <v>15</v>
      </c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7">
        <f>ROUND(8,2)</f>
        <v>8</v>
      </c>
      <c r="CQ287" s="7">
        <f>ROUND(84,2)</f>
        <v>84</v>
      </c>
      <c r="CR287" s="6"/>
      <c r="CS287" s="6"/>
      <c r="CT287" s="6"/>
      <c r="CU287" s="6"/>
      <c r="CV287" s="7">
        <f>ROUND(513.439999999999,2)</f>
        <v>513.44000000000005</v>
      </c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7">
        <f>ROUND(160.45,2)</f>
        <v>160.44999999999999</v>
      </c>
      <c r="EE287" s="6"/>
      <c r="EF287" s="6"/>
      <c r="EG287" s="6"/>
      <c r="EH287" s="7">
        <f>ROUND(160.45,2)</f>
        <v>160.44999999999999</v>
      </c>
      <c r="EI287" s="6"/>
      <c r="EJ287" s="6"/>
      <c r="EK287" s="7">
        <f>ROUND(641.8,2)</f>
        <v>641.79999999999995</v>
      </c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7">
        <f>ROUND(962.7,2)</f>
        <v>962.7</v>
      </c>
      <c r="FY287" s="7">
        <f>ROUND(2438.84,2)</f>
        <v>2438.84</v>
      </c>
    </row>
    <row r="288" spans="1:181" ht="26.4" x14ac:dyDescent="0.3">
      <c r="A288" s="4" t="s">
        <v>775</v>
      </c>
      <c r="B288" s="5"/>
      <c r="C288" s="5" t="s">
        <v>201</v>
      </c>
      <c r="D288" s="5" t="s">
        <v>428</v>
      </c>
      <c r="E288" s="5" t="s">
        <v>0</v>
      </c>
      <c r="F288" s="5" t="s">
        <v>0</v>
      </c>
      <c r="G288" s="5" t="s">
        <v>203</v>
      </c>
      <c r="H288" s="8">
        <f>ROUND(18,2)</f>
        <v>18</v>
      </c>
      <c r="I288" s="7">
        <f>ROUND(14879.25,2)</f>
        <v>14879.25</v>
      </c>
      <c r="J288" s="7">
        <f>ROUND(777,2)</f>
        <v>777</v>
      </c>
      <c r="K288" s="7">
        <f>ROUND(14.75,2)</f>
        <v>14.75</v>
      </c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7">
        <f>ROUND(15,2)</f>
        <v>15</v>
      </c>
      <c r="CI288" s="6"/>
      <c r="CJ288" s="6"/>
      <c r="CK288" s="6"/>
      <c r="CL288" s="6"/>
      <c r="CM288" s="6"/>
      <c r="CN288" s="6"/>
      <c r="CO288" s="6"/>
      <c r="CP288" s="6"/>
      <c r="CQ288" s="7">
        <f>ROUND(806.75,2)</f>
        <v>806.75</v>
      </c>
      <c r="CR288" s="7">
        <f>ROUND(13986,2)</f>
        <v>13986</v>
      </c>
      <c r="CS288" s="7">
        <f>ROUND(398.25,2)</f>
        <v>398.25</v>
      </c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7">
        <f>ROUND(225,2)</f>
        <v>225</v>
      </c>
      <c r="FK288" s="6"/>
      <c r="FL288" s="6"/>
      <c r="FM288" s="6"/>
      <c r="FN288" s="7">
        <f>ROUND(270,2)</f>
        <v>270</v>
      </c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7">
        <f>ROUND(14879.25,2)</f>
        <v>14879.25</v>
      </c>
    </row>
    <row r="289" spans="1:181" x14ac:dyDescent="0.3">
      <c r="A289" s="4" t="s">
        <v>776</v>
      </c>
      <c r="B289" s="5"/>
      <c r="C289" s="5" t="s">
        <v>223</v>
      </c>
      <c r="D289" s="5" t="s">
        <v>777</v>
      </c>
      <c r="E289" s="5" t="s">
        <v>778</v>
      </c>
      <c r="F289" s="5" t="s">
        <v>0</v>
      </c>
      <c r="G289" s="5" t="s">
        <v>226</v>
      </c>
      <c r="H289" s="8">
        <f>ROUND(17.23,2)</f>
        <v>17.23</v>
      </c>
      <c r="I289" s="7">
        <f>ROUND(19883.4799999999,2)</f>
        <v>19883.48</v>
      </c>
      <c r="J289" s="7">
        <f>ROUND(1139,2)</f>
        <v>1139</v>
      </c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7">
        <f>ROUND(15,2)</f>
        <v>15</v>
      </c>
      <c r="CI289" s="6"/>
      <c r="CJ289" s="6"/>
      <c r="CK289" s="6"/>
      <c r="CL289" s="6"/>
      <c r="CM289" s="6"/>
      <c r="CN289" s="6"/>
      <c r="CO289" s="6"/>
      <c r="CP289" s="6"/>
      <c r="CQ289" s="7">
        <f>ROUND(1154,2)</f>
        <v>1154</v>
      </c>
      <c r="CR289" s="7">
        <f>ROUND(19625.0299999999,2)</f>
        <v>19625.03</v>
      </c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7">
        <f>ROUND(258.45,2)</f>
        <v>258.45</v>
      </c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7">
        <f>ROUND(19883.4799999999,2)</f>
        <v>19883.48</v>
      </c>
    </row>
    <row r="290" spans="1:181" ht="26.4" x14ac:dyDescent="0.3">
      <c r="A290" s="4" t="s">
        <v>779</v>
      </c>
      <c r="B290" s="5"/>
      <c r="C290" s="5" t="s">
        <v>285</v>
      </c>
      <c r="D290" s="5" t="s">
        <v>780</v>
      </c>
      <c r="E290" s="5" t="s">
        <v>0</v>
      </c>
      <c r="F290" s="5" t="s">
        <v>0</v>
      </c>
      <c r="G290" s="5" t="s">
        <v>781</v>
      </c>
      <c r="H290" s="8">
        <f>ROUND(1588.83,2)</f>
        <v>1588.83</v>
      </c>
      <c r="I290" s="7">
        <f>ROUND(90245.5,2)</f>
        <v>90245.5</v>
      </c>
      <c r="J290" s="7">
        <f>ROUND(1662,2)</f>
        <v>1662</v>
      </c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7">
        <f>ROUND(-32,2)</f>
        <v>-32</v>
      </c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7">
        <f>ROUND(29,2)</f>
        <v>29</v>
      </c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7">
        <f>ROUND(8,2)</f>
        <v>8</v>
      </c>
      <c r="BX290" s="6"/>
      <c r="BY290" s="6"/>
      <c r="BZ290" s="6"/>
      <c r="CA290" s="6"/>
      <c r="CB290" s="6"/>
      <c r="CC290" s="6"/>
      <c r="CD290" s="6"/>
      <c r="CE290" s="6"/>
      <c r="CF290" s="7">
        <f>ROUND(32,2)</f>
        <v>32</v>
      </c>
      <c r="CG290" s="7">
        <f>ROUND(13,2)</f>
        <v>13</v>
      </c>
      <c r="CH290" s="7">
        <f>ROUND(56,2)</f>
        <v>56</v>
      </c>
      <c r="CI290" s="7">
        <f>ROUND(32,2)</f>
        <v>32</v>
      </c>
      <c r="CJ290" s="6"/>
      <c r="CK290" s="6"/>
      <c r="CL290" s="6"/>
      <c r="CM290" s="6"/>
      <c r="CN290" s="7">
        <f>ROUND(160,2)</f>
        <v>160</v>
      </c>
      <c r="CO290" s="7">
        <f>ROUND(8,2)</f>
        <v>8</v>
      </c>
      <c r="CP290" s="7">
        <f>ROUND(72,2)</f>
        <v>72</v>
      </c>
      <c r="CQ290" s="7">
        <f>ROUND(2040,2)</f>
        <v>2040</v>
      </c>
      <c r="CR290" s="7">
        <f>ROUND(80315.35,2)</f>
        <v>80315.350000000006</v>
      </c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7">
        <f>ROUND(-1271.06,2)</f>
        <v>-1271.06</v>
      </c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7">
        <f>ROUND(317.77,2)</f>
        <v>317.77</v>
      </c>
      <c r="FH290" s="6"/>
      <c r="FI290" s="6"/>
      <c r="FJ290" s="7">
        <f>ROUND(3177.66,2)</f>
        <v>3177.66</v>
      </c>
      <c r="FK290" s="6"/>
      <c r="FL290" s="7">
        <f>ROUND(1271.06,2)</f>
        <v>1271.06</v>
      </c>
      <c r="FM290" s="7">
        <f>ROUND(79.44,2)</f>
        <v>79.44</v>
      </c>
      <c r="FN290" s="7">
        <f>ROUND(953.31,2)</f>
        <v>953.31</v>
      </c>
      <c r="FO290" s="7">
        <f>ROUND(635.53,2)</f>
        <v>635.53</v>
      </c>
      <c r="FP290" s="6"/>
      <c r="FQ290" s="6"/>
      <c r="FR290" s="6"/>
      <c r="FS290" s="6"/>
      <c r="FT290" s="6"/>
      <c r="FU290" s="6"/>
      <c r="FV290" s="7">
        <f>ROUND(1906.6,2)</f>
        <v>1906.6</v>
      </c>
      <c r="FW290" s="6"/>
      <c r="FX290" s="7">
        <f>ROUND(2859.84,2)</f>
        <v>2859.84</v>
      </c>
      <c r="FY290" s="7">
        <f>ROUND(90245.5,2)</f>
        <v>90245.5</v>
      </c>
    </row>
    <row r="291" spans="1:181" x14ac:dyDescent="0.3">
      <c r="A291" s="4" t="s">
        <v>782</v>
      </c>
      <c r="B291" s="5" t="s">
        <v>1029</v>
      </c>
      <c r="C291" s="5" t="s">
        <v>181</v>
      </c>
      <c r="D291" s="5" t="s">
        <v>206</v>
      </c>
      <c r="E291" s="5" t="s">
        <v>0</v>
      </c>
      <c r="F291" s="5" t="s">
        <v>0</v>
      </c>
      <c r="G291" s="5" t="s">
        <v>183</v>
      </c>
      <c r="H291" s="8">
        <v>33.880000000000003</v>
      </c>
      <c r="I291" s="7">
        <f>ROUND(67875.87,2)</f>
        <v>67875.87</v>
      </c>
      <c r="J291" s="6"/>
      <c r="K291" s="6"/>
      <c r="L291" s="6"/>
      <c r="M291" s="6"/>
      <c r="N291" s="7">
        <f>ROUND(175.81,2)</f>
        <v>175.81</v>
      </c>
      <c r="O291" s="6"/>
      <c r="P291" s="6"/>
      <c r="Q291" s="7">
        <f>ROUND(9.46,2)</f>
        <v>9.4600000000000009</v>
      </c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7">
        <f>ROUND(1281.37,2)</f>
        <v>1281.3699999999999</v>
      </c>
      <c r="AF291" s="6"/>
      <c r="AG291" s="7">
        <f>ROUND(1.2,2)</f>
        <v>1.2</v>
      </c>
      <c r="AH291" s="6"/>
      <c r="AI291" s="6"/>
      <c r="AJ291" s="6"/>
      <c r="AK291" s="6"/>
      <c r="AL291" s="6"/>
      <c r="AM291" s="6"/>
      <c r="AN291" s="6"/>
      <c r="AO291" s="6"/>
      <c r="AP291" s="7">
        <f>ROUND(184.459999999999,2)</f>
        <v>184.46</v>
      </c>
      <c r="AQ291" s="6"/>
      <c r="AR291" s="7">
        <f>ROUND(1.04,2)</f>
        <v>1.04</v>
      </c>
      <c r="AS291" s="6"/>
      <c r="AT291" s="6"/>
      <c r="AU291" s="7">
        <f>ROUND(66,2)</f>
        <v>66</v>
      </c>
      <c r="AV291" s="7">
        <f>ROUND(8,2)</f>
        <v>8</v>
      </c>
      <c r="AW291" s="7">
        <f>ROUND(40,2)</f>
        <v>40</v>
      </c>
      <c r="AX291" s="6"/>
      <c r="AY291" s="7">
        <f>ROUND(127.92,2)</f>
        <v>127.92</v>
      </c>
      <c r="AZ291" s="7">
        <f>ROUND(0.08,2)</f>
        <v>0.08</v>
      </c>
      <c r="BA291" s="6"/>
      <c r="BB291" s="6"/>
      <c r="BC291" s="6"/>
      <c r="BD291" s="7">
        <f>ROUND(8,2)</f>
        <v>8</v>
      </c>
      <c r="BE291" s="7">
        <f>ROUND(1.15,2)</f>
        <v>1.1499999999999999</v>
      </c>
      <c r="BF291" s="6"/>
      <c r="BG291" s="7">
        <f>ROUND(40,2)</f>
        <v>40</v>
      </c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7">
        <f>ROUND(32,2)</f>
        <v>32</v>
      </c>
      <c r="BT291" s="6"/>
      <c r="BU291" s="6"/>
      <c r="BV291" s="6"/>
      <c r="BW291" s="6"/>
      <c r="BX291" s="6"/>
      <c r="BY291" s="7">
        <f>ROUND(40,2)</f>
        <v>40</v>
      </c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7">
        <f>ROUND(2016.48999999999,2)</f>
        <v>2016.49</v>
      </c>
      <c r="CR291" s="6"/>
      <c r="CS291" s="6"/>
      <c r="CT291" s="6"/>
      <c r="CU291" s="6"/>
      <c r="CV291" s="7">
        <f>ROUND(5663.22,2)</f>
        <v>5663.22</v>
      </c>
      <c r="CW291" s="6"/>
      <c r="CX291" s="6"/>
      <c r="CY291" s="7">
        <f>ROUND(456.43,2)</f>
        <v>456.43</v>
      </c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7">
        <f>ROUND(42146.17,2)</f>
        <v>42146.17</v>
      </c>
      <c r="DO291" s="6"/>
      <c r="DP291" s="7">
        <f>ROUND(58.46,2)</f>
        <v>58.46</v>
      </c>
      <c r="DQ291" s="6"/>
      <c r="DR291" s="6"/>
      <c r="DS291" s="6"/>
      <c r="DT291" s="6"/>
      <c r="DU291" s="6"/>
      <c r="DV291" s="6"/>
      <c r="DW291" s="6"/>
      <c r="DX291" s="6"/>
      <c r="DY291" s="7">
        <f>ROUND(5925.32,2)</f>
        <v>5925.32</v>
      </c>
      <c r="DZ291" s="6"/>
      <c r="EA291" s="7">
        <f>ROUND(50.06,2)</f>
        <v>50.06</v>
      </c>
      <c r="EB291" s="6"/>
      <c r="EC291" s="6"/>
      <c r="ED291" s="7">
        <f>ROUND(2143.62,2)</f>
        <v>2143.62</v>
      </c>
      <c r="EE291" s="7">
        <f>ROUND(396.64,2)</f>
        <v>396.64</v>
      </c>
      <c r="EF291" s="7">
        <f>ROUND(1291.28,2)</f>
        <v>1291.28</v>
      </c>
      <c r="EG291" s="6"/>
      <c r="EH291" s="7">
        <f>ROUND(4135.6,2)</f>
        <v>4135.6000000000004</v>
      </c>
      <c r="EI291" s="7">
        <f>ROUND(3.97,2)</f>
        <v>3.97</v>
      </c>
      <c r="EJ291" s="6"/>
      <c r="EK291" s="6"/>
      <c r="EL291" s="6"/>
      <c r="EM291" s="6"/>
      <c r="EN291" s="7">
        <f>ROUND(256.72,2)</f>
        <v>256.72000000000003</v>
      </c>
      <c r="EO291" s="7">
        <f>ROUND(38.18,2)</f>
        <v>38.18</v>
      </c>
      <c r="EP291" s="6"/>
      <c r="EQ291" s="7">
        <f>ROUND(1335.2,2)</f>
        <v>1335.2</v>
      </c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7">
        <f>ROUND(975,2)</f>
        <v>975</v>
      </c>
      <c r="FK291" s="6"/>
      <c r="FL291" s="6"/>
      <c r="FM291" s="6"/>
      <c r="FN291" s="6"/>
      <c r="FO291" s="6"/>
      <c r="FP291" s="6"/>
      <c r="FQ291" s="6"/>
      <c r="FR291" s="6"/>
      <c r="FS291" s="6"/>
      <c r="FT291" s="7">
        <f>ROUND(3000,2)</f>
        <v>3000</v>
      </c>
      <c r="FU291" s="6"/>
      <c r="FV291" s="6"/>
      <c r="FW291" s="6"/>
      <c r="FX291" s="6"/>
      <c r="FY291" s="7">
        <f>ROUND(67875.87,2)</f>
        <v>67875.87</v>
      </c>
    </row>
    <row r="292" spans="1:181" ht="26.4" x14ac:dyDescent="0.3">
      <c r="A292" s="4" t="s">
        <v>783</v>
      </c>
      <c r="B292" s="5"/>
      <c r="C292" s="5" t="s">
        <v>244</v>
      </c>
      <c r="D292" s="5" t="s">
        <v>784</v>
      </c>
      <c r="E292" s="5" t="s">
        <v>785</v>
      </c>
      <c r="F292" s="5" t="s">
        <v>0</v>
      </c>
      <c r="G292" s="5" t="s">
        <v>247</v>
      </c>
      <c r="H292" s="8">
        <f>ROUND(18,2)</f>
        <v>18</v>
      </c>
      <c r="I292" s="7">
        <f>ROUND(10084.5,2)</f>
        <v>10084.5</v>
      </c>
      <c r="J292" s="7">
        <f>ROUND(476.25,2)</f>
        <v>476.25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7">
        <f>ROUND(16,2)</f>
        <v>16</v>
      </c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7">
        <f>ROUND(16,2)</f>
        <v>16</v>
      </c>
      <c r="CJ292" s="6"/>
      <c r="CK292" s="6"/>
      <c r="CL292" s="7">
        <f>ROUND(12,2)</f>
        <v>12</v>
      </c>
      <c r="CM292" s="6"/>
      <c r="CN292" s="7">
        <f>ROUND(40,2)</f>
        <v>40</v>
      </c>
      <c r="CO292" s="6"/>
      <c r="CP292" s="6"/>
      <c r="CQ292" s="7">
        <f>ROUND(560.25,2)</f>
        <v>560.25</v>
      </c>
      <c r="CR292" s="7">
        <f>ROUND(8572.5,2)</f>
        <v>8572.5</v>
      </c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7">
        <f>ROUND(288,2)</f>
        <v>288</v>
      </c>
      <c r="FH292" s="6"/>
      <c r="FI292" s="6"/>
      <c r="FJ292" s="6"/>
      <c r="FK292" s="6"/>
      <c r="FL292" s="6"/>
      <c r="FM292" s="6"/>
      <c r="FN292" s="6"/>
      <c r="FO292" s="7">
        <f>ROUND(288,2)</f>
        <v>288</v>
      </c>
      <c r="FP292" s="6"/>
      <c r="FQ292" s="6"/>
      <c r="FR292" s="6"/>
      <c r="FS292" s="7">
        <f>ROUND(216,2)</f>
        <v>216</v>
      </c>
      <c r="FT292" s="6"/>
      <c r="FU292" s="6"/>
      <c r="FV292" s="7">
        <f>ROUND(720,2)</f>
        <v>720</v>
      </c>
      <c r="FW292" s="6"/>
      <c r="FX292" s="6"/>
      <c r="FY292" s="7">
        <f>ROUND(10084.5,2)</f>
        <v>10084.5</v>
      </c>
    </row>
    <row r="293" spans="1:181" x14ac:dyDescent="0.3">
      <c r="A293" s="4" t="s">
        <v>786</v>
      </c>
      <c r="B293" s="5" t="s">
        <v>1029</v>
      </c>
      <c r="C293" s="5" t="s">
        <v>181</v>
      </c>
      <c r="D293" s="5" t="s">
        <v>335</v>
      </c>
      <c r="E293" s="5" t="s">
        <v>0</v>
      </c>
      <c r="F293" s="5" t="s">
        <v>0</v>
      </c>
      <c r="G293" s="5" t="s">
        <v>183</v>
      </c>
      <c r="H293" s="6">
        <v>33.380000000000003</v>
      </c>
      <c r="I293" s="7">
        <f>ROUND(105511.619999999,2)</f>
        <v>105511.62</v>
      </c>
      <c r="J293" s="6"/>
      <c r="K293" s="6"/>
      <c r="L293" s="6"/>
      <c r="M293" s="6"/>
      <c r="N293" s="7">
        <f>ROUND(1069.29,2)</f>
        <v>1069.29</v>
      </c>
      <c r="O293" s="6"/>
      <c r="P293" s="6"/>
      <c r="Q293" s="7">
        <f>ROUND(326.77,2)</f>
        <v>326.77</v>
      </c>
      <c r="R293" s="6"/>
      <c r="S293" s="6"/>
      <c r="T293" s="6"/>
      <c r="U293" s="6"/>
      <c r="V293" s="7">
        <f>ROUND(13.93,2)</f>
        <v>13.93</v>
      </c>
      <c r="W293" s="7">
        <f>ROUND(68.86,2)</f>
        <v>68.86</v>
      </c>
      <c r="X293" s="7">
        <f>ROUND(2.37,2)</f>
        <v>2.37</v>
      </c>
      <c r="Y293" s="7">
        <f>ROUND(1.26,2)</f>
        <v>1.26</v>
      </c>
      <c r="Z293" s="6"/>
      <c r="AA293" s="6"/>
      <c r="AB293" s="6"/>
      <c r="AC293" s="6"/>
      <c r="AD293" s="6"/>
      <c r="AE293" s="7">
        <f>ROUND(366.369999999999,2)</f>
        <v>366.37</v>
      </c>
      <c r="AF293" s="6"/>
      <c r="AG293" s="7">
        <f>ROUND(116.519999999999,2)</f>
        <v>116.52</v>
      </c>
      <c r="AH293" s="6"/>
      <c r="AI293" s="6"/>
      <c r="AJ293" s="6"/>
      <c r="AK293" s="6"/>
      <c r="AL293" s="6"/>
      <c r="AM293" s="6"/>
      <c r="AN293" s="6"/>
      <c r="AO293" s="6"/>
      <c r="AP293" s="7">
        <f>ROUND(549.4,2)</f>
        <v>549.4</v>
      </c>
      <c r="AQ293" s="6"/>
      <c r="AR293" s="7">
        <f>ROUND(111.73,2)</f>
        <v>111.73</v>
      </c>
      <c r="AS293" s="6"/>
      <c r="AT293" s="6"/>
      <c r="AU293" s="7">
        <f>ROUND(56,2)</f>
        <v>56</v>
      </c>
      <c r="AV293" s="6"/>
      <c r="AW293" s="7">
        <f>ROUND(10,2)</f>
        <v>10</v>
      </c>
      <c r="AX293" s="7">
        <f>ROUND(24,2)</f>
        <v>24</v>
      </c>
      <c r="AY293" s="6"/>
      <c r="AZ293" s="6"/>
      <c r="BA293" s="6"/>
      <c r="BB293" s="6"/>
      <c r="BC293" s="6"/>
      <c r="BD293" s="7">
        <f>ROUND(8,2)</f>
        <v>8</v>
      </c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7">
        <f>ROUND(25.92,2)</f>
        <v>25.92</v>
      </c>
      <c r="BP293" s="6"/>
      <c r="BQ293" s="7">
        <f>ROUND(25.92,2)</f>
        <v>25.92</v>
      </c>
      <c r="BR293" s="7">
        <f>ROUND(1.42,2)</f>
        <v>1.42</v>
      </c>
      <c r="BS293" s="6"/>
      <c r="BT293" s="7">
        <f>ROUND(0.17,2)</f>
        <v>0.17</v>
      </c>
      <c r="BU293" s="7">
        <f>ROUND(8,2)</f>
        <v>8</v>
      </c>
      <c r="BV293" s="6"/>
      <c r="BW293" s="7">
        <f>ROUND(16,2)</f>
        <v>16</v>
      </c>
      <c r="BX293" s="6"/>
      <c r="BY293" s="6"/>
      <c r="BZ293" s="6"/>
      <c r="CA293" s="7">
        <f>ROUND(8,2)</f>
        <v>8</v>
      </c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7">
        <f>ROUND(40,2)</f>
        <v>40</v>
      </c>
      <c r="CQ293" s="7">
        <f>ROUND(2849.92999999999,2)</f>
        <v>2849.93</v>
      </c>
      <c r="CR293" s="6"/>
      <c r="CS293" s="6"/>
      <c r="CT293" s="6"/>
      <c r="CU293" s="6"/>
      <c r="CV293" s="7">
        <f>ROUND(34152.42,2)</f>
        <v>34152.42</v>
      </c>
      <c r="CW293" s="6"/>
      <c r="CX293" s="6"/>
      <c r="CY293" s="7">
        <f>ROUND(15707.13,2)</f>
        <v>15707.13</v>
      </c>
      <c r="CZ293" s="6"/>
      <c r="DA293" s="6"/>
      <c r="DB293" s="6"/>
      <c r="DC293" s="6"/>
      <c r="DD293" s="7">
        <f>ROUND(453.12,2)</f>
        <v>453.12</v>
      </c>
      <c r="DE293" s="7">
        <f>ROUND(3354.12,2)</f>
        <v>3354.12</v>
      </c>
      <c r="DF293" s="7">
        <f>ROUND(77.49,2)</f>
        <v>77.489999999999995</v>
      </c>
      <c r="DG293" s="7">
        <f>ROUND(62.2,2)</f>
        <v>62.2</v>
      </c>
      <c r="DH293" s="6"/>
      <c r="DI293" s="6"/>
      <c r="DJ293" s="6"/>
      <c r="DK293" s="6"/>
      <c r="DL293" s="6"/>
      <c r="DM293" s="6"/>
      <c r="DN293" s="7">
        <f>ROUND(11866.3199999999,2)</f>
        <v>11866.32</v>
      </c>
      <c r="DO293" s="6"/>
      <c r="DP293" s="7">
        <f>ROUND(5615.69,2)</f>
        <v>5615.69</v>
      </c>
      <c r="DQ293" s="6"/>
      <c r="DR293" s="6"/>
      <c r="DS293" s="6"/>
      <c r="DT293" s="6"/>
      <c r="DU293" s="6"/>
      <c r="DV293" s="6"/>
      <c r="DW293" s="6"/>
      <c r="DX293" s="6"/>
      <c r="DY293" s="7">
        <f>ROUND(17561.52,2)</f>
        <v>17561.52</v>
      </c>
      <c r="DZ293" s="6"/>
      <c r="EA293" s="7">
        <f>ROUND(5356.34999999999,2)</f>
        <v>5356.35</v>
      </c>
      <c r="EB293" s="6"/>
      <c r="EC293" s="6"/>
      <c r="ED293" s="7">
        <f>ROUND(1813.12,2)</f>
        <v>1813.12</v>
      </c>
      <c r="EE293" s="6"/>
      <c r="EF293" s="7">
        <f>ROUND(320.9,2)</f>
        <v>320.89999999999998</v>
      </c>
      <c r="EG293" s="7">
        <f>ROUND(1159.08,2)</f>
        <v>1159.08</v>
      </c>
      <c r="EH293" s="6"/>
      <c r="EI293" s="6"/>
      <c r="EJ293" s="6"/>
      <c r="EK293" s="6"/>
      <c r="EL293" s="6"/>
      <c r="EM293" s="6"/>
      <c r="EN293" s="7">
        <f>ROUND(256.72,2)</f>
        <v>256.72000000000003</v>
      </c>
      <c r="EO293" s="6"/>
      <c r="EP293" s="6"/>
      <c r="EQ293" s="6"/>
      <c r="ER293" s="6"/>
      <c r="ES293" s="6"/>
      <c r="ET293" s="6"/>
      <c r="EU293" s="6"/>
      <c r="EV293" s="7">
        <f>ROUND(500,2)</f>
        <v>500</v>
      </c>
      <c r="EW293" s="6"/>
      <c r="EX293" s="6"/>
      <c r="EY293" s="6"/>
      <c r="EZ293" s="6"/>
      <c r="FA293" s="6"/>
      <c r="FB293" s="7">
        <f>ROUND(814.7,2)</f>
        <v>814.7</v>
      </c>
      <c r="FC293" s="6"/>
      <c r="FD293" s="7">
        <f>ROUND(809.819999999999,2)</f>
        <v>809.82</v>
      </c>
      <c r="FE293" s="7">
        <f>ROUND(70.72,2)</f>
        <v>70.72</v>
      </c>
      <c r="FF293" s="6"/>
      <c r="FG293" s="6"/>
      <c r="FH293" s="6"/>
      <c r="FI293" s="6"/>
      <c r="FJ293" s="7">
        <f>ROUND(1225,2)</f>
        <v>1225</v>
      </c>
      <c r="FK293" s="6"/>
      <c r="FL293" s="6"/>
      <c r="FM293" s="6"/>
      <c r="FN293" s="6"/>
      <c r="FO293" s="6"/>
      <c r="FP293" s="6"/>
      <c r="FQ293" s="6"/>
      <c r="FR293" s="6"/>
      <c r="FS293" s="6"/>
      <c r="FT293" s="7">
        <f>ROUND(3000,2)</f>
        <v>3000</v>
      </c>
      <c r="FU293" s="6"/>
      <c r="FV293" s="6"/>
      <c r="FW293" s="6"/>
      <c r="FX293" s="7">
        <f>ROUND(1335.2,2)</f>
        <v>1335.2</v>
      </c>
      <c r="FY293" s="7">
        <f>ROUND(105511.619999999,2)</f>
        <v>105511.62</v>
      </c>
    </row>
    <row r="294" spans="1:181" x14ac:dyDescent="0.3">
      <c r="A294" s="4" t="s">
        <v>787</v>
      </c>
      <c r="B294" s="5" t="s">
        <v>1029</v>
      </c>
      <c r="C294" s="5" t="s">
        <v>181</v>
      </c>
      <c r="D294" s="5" t="s">
        <v>261</v>
      </c>
      <c r="E294" s="5" t="s">
        <v>788</v>
      </c>
      <c r="F294" s="5" t="s">
        <v>0</v>
      </c>
      <c r="G294" s="5" t="s">
        <v>183</v>
      </c>
      <c r="H294" s="8">
        <v>33.380000000000003</v>
      </c>
      <c r="I294" s="7">
        <f>ROUND(49415.3299999999,2)</f>
        <v>49415.33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7">
        <f>ROUND(40,2)</f>
        <v>40</v>
      </c>
      <c r="AV294" s="6"/>
      <c r="AW294" s="7">
        <f>ROUND(5,2)</f>
        <v>5</v>
      </c>
      <c r="AX294" s="6"/>
      <c r="AY294" s="7">
        <f>ROUND(70,2)</f>
        <v>70</v>
      </c>
      <c r="AZ294" s="6"/>
      <c r="BA294" s="6"/>
      <c r="BB294" s="6"/>
      <c r="BC294" s="6"/>
      <c r="BD294" s="7">
        <f>ROUND(8,2)</f>
        <v>8</v>
      </c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7">
        <f>ROUND(1311.41,2)</f>
        <v>1311.41</v>
      </c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7">
        <f>ROUND(1434.41,2)</f>
        <v>1434.41</v>
      </c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7">
        <f>ROUND(1304.45,2)</f>
        <v>1304.45</v>
      </c>
      <c r="EE294" s="6"/>
      <c r="EF294" s="7">
        <f>ROUND(165.25,2)</f>
        <v>165.25</v>
      </c>
      <c r="EG294" s="6"/>
      <c r="EH294" s="7">
        <f>ROUND(2305.55,2)</f>
        <v>2305.5500000000002</v>
      </c>
      <c r="EI294" s="6"/>
      <c r="EJ294" s="6"/>
      <c r="EK294" s="6"/>
      <c r="EL294" s="6"/>
      <c r="EM294" s="6"/>
      <c r="EN294" s="7">
        <f>ROUND(256.72,2)</f>
        <v>256.72000000000003</v>
      </c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7">
        <f>ROUND(42683.3599999999,2)</f>
        <v>42683.360000000001</v>
      </c>
      <c r="FE294" s="6"/>
      <c r="FF294" s="6"/>
      <c r="FG294" s="6"/>
      <c r="FH294" s="6"/>
      <c r="FI294" s="6"/>
      <c r="FJ294" s="7">
        <f>ROUND(1200,2)</f>
        <v>1200</v>
      </c>
      <c r="FK294" s="6"/>
      <c r="FL294" s="6"/>
      <c r="FM294" s="6"/>
      <c r="FN294" s="6"/>
      <c r="FO294" s="6"/>
      <c r="FP294" s="6"/>
      <c r="FQ294" s="6"/>
      <c r="FR294" s="6"/>
      <c r="FS294" s="6"/>
      <c r="FT294" s="7">
        <f>ROUND(1500,2)</f>
        <v>1500</v>
      </c>
      <c r="FU294" s="6"/>
      <c r="FV294" s="6"/>
      <c r="FW294" s="6"/>
      <c r="FX294" s="6"/>
      <c r="FY294" s="7">
        <f>ROUND(49415.3299999999,2)</f>
        <v>49415.33</v>
      </c>
    </row>
    <row r="295" spans="1:181" x14ac:dyDescent="0.3">
      <c r="A295" s="4" t="s">
        <v>789</v>
      </c>
      <c r="B295" s="5" t="s">
        <v>1029</v>
      </c>
      <c r="C295" s="5" t="s">
        <v>181</v>
      </c>
      <c r="D295" s="5" t="s">
        <v>278</v>
      </c>
      <c r="E295" s="5" t="s">
        <v>246</v>
      </c>
      <c r="F295" s="5" t="s">
        <v>0</v>
      </c>
      <c r="G295" s="5" t="s">
        <v>183</v>
      </c>
      <c r="H295" s="9">
        <v>17.5</v>
      </c>
      <c r="I295" s="7">
        <f>ROUND(3080,2)</f>
        <v>3080</v>
      </c>
      <c r="J295" s="6"/>
      <c r="K295" s="6"/>
      <c r="L295" s="6"/>
      <c r="M295" s="6"/>
      <c r="N295" s="7">
        <f>ROUND(16,2)</f>
        <v>16</v>
      </c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7">
        <f>ROUND(160,2)</f>
        <v>160</v>
      </c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7">
        <f>ROUND(5,2)</f>
        <v>5</v>
      </c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7">
        <f>ROUND(181,2)</f>
        <v>181</v>
      </c>
      <c r="CR295" s="6"/>
      <c r="CS295" s="6"/>
      <c r="CT295" s="6"/>
      <c r="CU295" s="6"/>
      <c r="CV295" s="7">
        <f>ROUND(280,2)</f>
        <v>280</v>
      </c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7">
        <f>ROUND(2800,2)</f>
        <v>2800</v>
      </c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7">
        <f>ROUND(3080,2)</f>
        <v>3080</v>
      </c>
    </row>
    <row r="296" spans="1:181" x14ac:dyDescent="0.3">
      <c r="A296" s="4" t="s">
        <v>790</v>
      </c>
      <c r="B296" s="5" t="s">
        <v>1029</v>
      </c>
      <c r="C296" s="5" t="s">
        <v>181</v>
      </c>
      <c r="D296" s="5" t="s">
        <v>194</v>
      </c>
      <c r="E296" s="5" t="s">
        <v>0</v>
      </c>
      <c r="F296" s="5" t="s">
        <v>0</v>
      </c>
      <c r="G296" s="5" t="s">
        <v>183</v>
      </c>
      <c r="H296" s="8">
        <v>33.880000000000003</v>
      </c>
      <c r="I296" s="7">
        <f>ROUND(53139.0999999999,2)</f>
        <v>53139.1</v>
      </c>
      <c r="J296" s="6"/>
      <c r="K296" s="6"/>
      <c r="L296" s="6"/>
      <c r="M296" s="6"/>
      <c r="N296" s="7">
        <f>ROUND(1317.06,2)</f>
        <v>1317.06</v>
      </c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7">
        <f>ROUND(30.75,2)</f>
        <v>30.75</v>
      </c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7">
        <f>ROUND(40,2)</f>
        <v>40</v>
      </c>
      <c r="AV296" s="6"/>
      <c r="AW296" s="7">
        <f>ROUND(5,2)</f>
        <v>5</v>
      </c>
      <c r="AX296" s="6"/>
      <c r="AY296" s="7">
        <f>ROUND(35,2)</f>
        <v>35</v>
      </c>
      <c r="AZ296" s="6"/>
      <c r="BA296" s="6"/>
      <c r="BB296" s="6"/>
      <c r="BC296" s="6"/>
      <c r="BD296" s="7">
        <f>ROUND(8,2)</f>
        <v>8</v>
      </c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7">
        <f>ROUND(96.9299999999999,2)</f>
        <v>96.93</v>
      </c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7">
        <f>ROUND(15,2)</f>
        <v>15</v>
      </c>
      <c r="CQ296" s="7">
        <f>ROUND(1547.74,2)</f>
        <v>1547.74</v>
      </c>
      <c r="CR296" s="6"/>
      <c r="CS296" s="6"/>
      <c r="CT296" s="6"/>
      <c r="CU296" s="6"/>
      <c r="CV296" s="7">
        <f>ROUND(42919.3599999999,2)</f>
        <v>42919.360000000001</v>
      </c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7">
        <f>ROUND(1002.36,2)</f>
        <v>1002.36</v>
      </c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7">
        <f>ROUND(1304.45,2)</f>
        <v>1304.45</v>
      </c>
      <c r="EE296" s="6"/>
      <c r="EF296" s="7">
        <f>ROUND(160.45,2)</f>
        <v>160.44999999999999</v>
      </c>
      <c r="EG296" s="6"/>
      <c r="EH296" s="7">
        <f>ROUND(1127.95,2)</f>
        <v>1127.95</v>
      </c>
      <c r="EI296" s="6"/>
      <c r="EJ296" s="6"/>
      <c r="EK296" s="6"/>
      <c r="EL296" s="6"/>
      <c r="EM296" s="6"/>
      <c r="EN296" s="7">
        <f>ROUND(256.72,2)</f>
        <v>256.72000000000003</v>
      </c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7">
        <f>ROUND(3167.11,2)</f>
        <v>3167.11</v>
      </c>
      <c r="FE296" s="6"/>
      <c r="FF296" s="6"/>
      <c r="FG296" s="6"/>
      <c r="FH296" s="6"/>
      <c r="FI296" s="6"/>
      <c r="FJ296" s="7">
        <f>ROUND(1200,2)</f>
        <v>1200</v>
      </c>
      <c r="FK296" s="6"/>
      <c r="FL296" s="6"/>
      <c r="FM296" s="6"/>
      <c r="FN296" s="6"/>
      <c r="FO296" s="6"/>
      <c r="FP296" s="6"/>
      <c r="FQ296" s="6"/>
      <c r="FR296" s="6"/>
      <c r="FS296" s="6"/>
      <c r="FT296" s="7">
        <f>ROUND(1500,2)</f>
        <v>1500</v>
      </c>
      <c r="FU296" s="6"/>
      <c r="FV296" s="6"/>
      <c r="FW296" s="6"/>
      <c r="FX296" s="7">
        <f>ROUND(500.7,2)</f>
        <v>500.7</v>
      </c>
      <c r="FY296" s="7">
        <f>ROUND(53139.0999999999,2)</f>
        <v>53139.1</v>
      </c>
    </row>
    <row r="297" spans="1:181" x14ac:dyDescent="0.3">
      <c r="A297" s="4" t="s">
        <v>791</v>
      </c>
      <c r="B297" s="5" t="s">
        <v>1029</v>
      </c>
      <c r="C297" s="5" t="s">
        <v>181</v>
      </c>
      <c r="D297" s="5" t="s">
        <v>792</v>
      </c>
      <c r="E297" s="5" t="s">
        <v>0</v>
      </c>
      <c r="F297" s="5" t="s">
        <v>0</v>
      </c>
      <c r="G297" s="5" t="s">
        <v>183</v>
      </c>
      <c r="H297" s="8">
        <v>33.880000000000003</v>
      </c>
      <c r="I297" s="7">
        <f>ROUND(100202.83,2)</f>
        <v>100202.83</v>
      </c>
      <c r="J297" s="6"/>
      <c r="K297" s="6"/>
      <c r="L297" s="6"/>
      <c r="M297" s="6"/>
      <c r="N297" s="7">
        <f>ROUND(1654,2)</f>
        <v>1654</v>
      </c>
      <c r="O297" s="6"/>
      <c r="P297" s="6"/>
      <c r="Q297" s="7">
        <f>ROUND(329.85,2)</f>
        <v>329.85</v>
      </c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7">
        <f>ROUND(344,2)</f>
        <v>344</v>
      </c>
      <c r="AF297" s="6"/>
      <c r="AG297" s="7">
        <f>ROUND(66,2)</f>
        <v>66</v>
      </c>
      <c r="AH297" s="6"/>
      <c r="AI297" s="6"/>
      <c r="AJ297" s="6"/>
      <c r="AK297" s="6"/>
      <c r="AL297" s="6"/>
      <c r="AM297" s="6"/>
      <c r="AN297" s="6"/>
      <c r="AO297" s="6"/>
      <c r="AP297" s="7">
        <f>ROUND(10.16,2)</f>
        <v>10.16</v>
      </c>
      <c r="AQ297" s="6"/>
      <c r="AR297" s="6"/>
      <c r="AS297" s="6"/>
      <c r="AT297" s="6"/>
      <c r="AU297" s="7">
        <f>ROUND(70,2)</f>
        <v>70</v>
      </c>
      <c r="AV297" s="6"/>
      <c r="AW297" s="7">
        <f>ROUND(17.05,2)</f>
        <v>17.05</v>
      </c>
      <c r="AX297" s="7">
        <f>ROUND(34.95,2)</f>
        <v>34.950000000000003</v>
      </c>
      <c r="AY297" s="7">
        <f>ROUND(14.34,2)</f>
        <v>14.34</v>
      </c>
      <c r="AZ297" s="7">
        <f>ROUND(5.66,2)</f>
        <v>5.66</v>
      </c>
      <c r="BA297" s="6"/>
      <c r="BB297" s="6"/>
      <c r="BC297" s="6"/>
      <c r="BD297" s="7">
        <f>ROUND(8,2)</f>
        <v>8</v>
      </c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7">
        <f>ROUND(13.45,2)</f>
        <v>13.45</v>
      </c>
      <c r="BR297" s="7">
        <f>ROUND(4.55,2)</f>
        <v>4.55</v>
      </c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7">
        <f>ROUND(104,2)</f>
        <v>104</v>
      </c>
      <c r="CQ297" s="7">
        <f>ROUND(2676.01,2)</f>
        <v>2676.01</v>
      </c>
      <c r="CR297" s="6"/>
      <c r="CS297" s="6"/>
      <c r="CT297" s="6"/>
      <c r="CU297" s="6"/>
      <c r="CV297" s="7">
        <f>ROUND(54212.3799999999,2)</f>
        <v>54212.38</v>
      </c>
      <c r="CW297" s="6"/>
      <c r="CX297" s="6"/>
      <c r="CY297" s="7">
        <f>ROUND(16265.73,2)</f>
        <v>16265.73</v>
      </c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7">
        <f>ROUND(11042.56,2)</f>
        <v>11042.56</v>
      </c>
      <c r="DO297" s="6"/>
      <c r="DP297" s="7">
        <f>ROUND(3176.93,2)</f>
        <v>3176.93</v>
      </c>
      <c r="DQ297" s="6"/>
      <c r="DR297" s="6"/>
      <c r="DS297" s="6"/>
      <c r="DT297" s="6"/>
      <c r="DU297" s="6"/>
      <c r="DV297" s="6"/>
      <c r="DW297" s="6"/>
      <c r="DX297" s="6"/>
      <c r="DY297" s="7">
        <f>ROUND(327.56,2)</f>
        <v>327.56</v>
      </c>
      <c r="DZ297" s="6"/>
      <c r="EA297" s="6"/>
      <c r="EB297" s="6"/>
      <c r="EC297" s="6"/>
      <c r="ED297" s="7">
        <f>ROUND(2281.58,2)</f>
        <v>2281.58</v>
      </c>
      <c r="EE297" s="6"/>
      <c r="EF297" s="7">
        <f>ROUND(551.07,2)</f>
        <v>551.07000000000005</v>
      </c>
      <c r="EG297" s="7">
        <f>ROUND(1707.38,2)</f>
        <v>1707.38</v>
      </c>
      <c r="EH297" s="7">
        <f>ROUND(460.18,2)</f>
        <v>460.18</v>
      </c>
      <c r="EI297" s="7">
        <f>ROUND(272.44,2)</f>
        <v>272.44</v>
      </c>
      <c r="EJ297" s="6"/>
      <c r="EK297" s="6"/>
      <c r="EL297" s="6"/>
      <c r="EM297" s="6"/>
      <c r="EN297" s="7">
        <f>ROUND(256.72,2)</f>
        <v>256.72000000000003</v>
      </c>
      <c r="EO297" s="6"/>
      <c r="EP297" s="6"/>
      <c r="EQ297" s="6"/>
      <c r="ER297" s="6"/>
      <c r="ES297" s="6"/>
      <c r="ET297" s="6"/>
      <c r="EU297" s="6"/>
      <c r="EV297" s="7">
        <f>ROUND(500,2)</f>
        <v>500</v>
      </c>
      <c r="EW297" s="6"/>
      <c r="EX297" s="6"/>
      <c r="EY297" s="6"/>
      <c r="EZ297" s="6"/>
      <c r="FA297" s="6"/>
      <c r="FB297" s="6"/>
      <c r="FC297" s="6"/>
      <c r="FD297" s="7">
        <f>ROUND(448.96,2)</f>
        <v>448.96</v>
      </c>
      <c r="FE297" s="7">
        <f>ROUND(227.82,2)</f>
        <v>227.82</v>
      </c>
      <c r="FF297" s="6"/>
      <c r="FG297" s="6"/>
      <c r="FH297" s="6"/>
      <c r="FI297" s="6"/>
      <c r="FJ297" s="7">
        <f>ROUND(2000,2)</f>
        <v>2000</v>
      </c>
      <c r="FK297" s="6"/>
      <c r="FL297" s="6"/>
      <c r="FM297" s="6"/>
      <c r="FN297" s="6"/>
      <c r="FO297" s="6"/>
      <c r="FP297" s="6"/>
      <c r="FQ297" s="6"/>
      <c r="FR297" s="6"/>
      <c r="FS297" s="6"/>
      <c r="FT297" s="7">
        <f>ROUND(3000,2)</f>
        <v>3000</v>
      </c>
      <c r="FU297" s="6"/>
      <c r="FV297" s="6"/>
      <c r="FW297" s="6"/>
      <c r="FX297" s="7">
        <f>ROUND(3471.52,2)</f>
        <v>3471.52</v>
      </c>
      <c r="FY297" s="7">
        <f>ROUND(100202.83,2)</f>
        <v>100202.83</v>
      </c>
    </row>
    <row r="298" spans="1:181" x14ac:dyDescent="0.3">
      <c r="A298" s="4" t="s">
        <v>793</v>
      </c>
      <c r="B298" s="5" t="s">
        <v>1029</v>
      </c>
      <c r="C298" s="5" t="s">
        <v>236</v>
      </c>
      <c r="D298" s="5" t="s">
        <v>794</v>
      </c>
      <c r="E298" s="5" t="s">
        <v>0</v>
      </c>
      <c r="F298" s="5" t="s">
        <v>0</v>
      </c>
      <c r="G298" s="5" t="s">
        <v>330</v>
      </c>
      <c r="H298" s="8">
        <v>28.28</v>
      </c>
      <c r="I298" s="7">
        <f>ROUND(71968.94,2)</f>
        <v>71968.94</v>
      </c>
      <c r="J298" s="6"/>
      <c r="K298" s="6"/>
      <c r="L298" s="6"/>
      <c r="M298" s="6"/>
      <c r="N298" s="6"/>
      <c r="O298" s="6"/>
      <c r="P298" s="6"/>
      <c r="Q298" s="6"/>
      <c r="R298" s="7">
        <f>ROUND(1896,2)</f>
        <v>1896</v>
      </c>
      <c r="S298" s="7">
        <f>ROUND(169,2)</f>
        <v>169</v>
      </c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7">
        <f>ROUND(56,2)</f>
        <v>56</v>
      </c>
      <c r="AV298" s="6"/>
      <c r="AW298" s="7">
        <f>ROUND(40,2)</f>
        <v>40</v>
      </c>
      <c r="AX298" s="6"/>
      <c r="AY298" s="7">
        <f>ROUND(112,2)</f>
        <v>112</v>
      </c>
      <c r="AZ298" s="7">
        <f>ROUND(8,2)</f>
        <v>8</v>
      </c>
      <c r="BA298" s="6"/>
      <c r="BB298" s="6"/>
      <c r="BC298" s="6"/>
      <c r="BD298" s="6"/>
      <c r="BE298" s="6"/>
      <c r="BF298" s="6"/>
      <c r="BG298" s="7">
        <f>ROUND(24,2)</f>
        <v>24</v>
      </c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7">
        <f>ROUND(2305,2)</f>
        <v>2305</v>
      </c>
      <c r="CR298" s="6"/>
      <c r="CS298" s="6"/>
      <c r="CT298" s="6"/>
      <c r="CU298" s="6"/>
      <c r="CV298" s="6"/>
      <c r="CW298" s="6"/>
      <c r="CX298" s="6"/>
      <c r="CY298" s="6"/>
      <c r="CZ298" s="7">
        <f>ROUND(53621.8999999999,2)</f>
        <v>53621.9</v>
      </c>
      <c r="DA298" s="7">
        <f>ROUND(7132.2,2)</f>
        <v>7132.2</v>
      </c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7">
        <f>ROUND(1570.24,2)</f>
        <v>1570.24</v>
      </c>
      <c r="EE298" s="6"/>
      <c r="EF298" s="7">
        <f>ROUND(1122.24,2)</f>
        <v>1122.24</v>
      </c>
      <c r="EG298" s="6"/>
      <c r="EH298" s="7">
        <f>ROUND(3136,2)</f>
        <v>3136</v>
      </c>
      <c r="EI298" s="7">
        <f>ROUND(339.36,2)</f>
        <v>339.36</v>
      </c>
      <c r="EJ298" s="6"/>
      <c r="EK298" s="6"/>
      <c r="EL298" s="6"/>
      <c r="EM298" s="6"/>
      <c r="EN298" s="6"/>
      <c r="EO298" s="6"/>
      <c r="EP298" s="6"/>
      <c r="EQ298" s="7">
        <f>ROUND(672,2)</f>
        <v>672</v>
      </c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7">
        <f>ROUND(1375,2)</f>
        <v>1375</v>
      </c>
      <c r="FK298" s="6"/>
      <c r="FL298" s="6"/>
      <c r="FM298" s="6"/>
      <c r="FN298" s="6"/>
      <c r="FO298" s="6"/>
      <c r="FP298" s="6"/>
      <c r="FQ298" s="6"/>
      <c r="FR298" s="6"/>
      <c r="FS298" s="6"/>
      <c r="FT298" s="7">
        <f>ROUND(3000,2)</f>
        <v>3000</v>
      </c>
      <c r="FU298" s="6"/>
      <c r="FV298" s="6"/>
      <c r="FW298" s="6"/>
      <c r="FX298" s="6"/>
      <c r="FY298" s="7">
        <f>ROUND(71968.94,2)</f>
        <v>71968.94</v>
      </c>
    </row>
    <row r="299" spans="1:181" x14ac:dyDescent="0.3">
      <c r="A299" s="4" t="s">
        <v>795</v>
      </c>
      <c r="B299" s="5" t="s">
        <v>1029</v>
      </c>
      <c r="C299" s="5" t="s">
        <v>236</v>
      </c>
      <c r="D299" s="5" t="s">
        <v>796</v>
      </c>
      <c r="E299" s="5" t="s">
        <v>0</v>
      </c>
      <c r="F299" s="5" t="s">
        <v>0</v>
      </c>
      <c r="G299" s="5" t="s">
        <v>330</v>
      </c>
      <c r="H299" s="8">
        <v>28.28</v>
      </c>
      <c r="I299" s="7">
        <f>ROUND(62420.36,2)</f>
        <v>62420.36</v>
      </c>
      <c r="J299" s="6"/>
      <c r="K299" s="6"/>
      <c r="L299" s="6"/>
      <c r="M299" s="6"/>
      <c r="N299" s="6"/>
      <c r="O299" s="6"/>
      <c r="P299" s="6"/>
      <c r="Q299" s="6"/>
      <c r="R299" s="7">
        <f>ROUND(1621.25,2)</f>
        <v>1621.25</v>
      </c>
      <c r="S299" s="7">
        <f>ROUND(158.59,2)</f>
        <v>158.59</v>
      </c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7">
        <f>ROUND(56,2)</f>
        <v>56</v>
      </c>
      <c r="AV299" s="6"/>
      <c r="AW299" s="7">
        <f>ROUND(48,2)</f>
        <v>48</v>
      </c>
      <c r="AX299" s="6"/>
      <c r="AY299" s="7">
        <f>ROUND(64,2)</f>
        <v>64</v>
      </c>
      <c r="AZ299" s="6"/>
      <c r="BA299" s="6"/>
      <c r="BB299" s="7">
        <f>ROUND(16,2)</f>
        <v>16</v>
      </c>
      <c r="BC299" s="6"/>
      <c r="BD299" s="6"/>
      <c r="BE299" s="6"/>
      <c r="BF299" s="6"/>
      <c r="BG299" s="7">
        <f>ROUND(24,2)</f>
        <v>24</v>
      </c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7">
        <f>ROUND(16,2)</f>
        <v>16</v>
      </c>
      <c r="BV299" s="6"/>
      <c r="BW299" s="6"/>
      <c r="BX299" s="6"/>
      <c r="BY299" s="6"/>
      <c r="BZ299" s="6"/>
      <c r="CA299" s="6"/>
      <c r="CB299" s="7">
        <f>ROUND(387.13,2)</f>
        <v>387.13</v>
      </c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7">
        <f>ROUND(2390.97,2)</f>
        <v>2390.9699999999998</v>
      </c>
      <c r="CR299" s="6"/>
      <c r="CS299" s="6"/>
      <c r="CT299" s="6"/>
      <c r="CU299" s="6"/>
      <c r="CV299" s="6"/>
      <c r="CW299" s="6"/>
      <c r="CX299" s="6"/>
      <c r="CY299" s="6"/>
      <c r="CZ299" s="7">
        <f>ROUND(45685.35,2)</f>
        <v>45685.35</v>
      </c>
      <c r="DA299" s="7">
        <f>ROUND(6713.57,2)</f>
        <v>6713.57</v>
      </c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7">
        <f>ROUND(1570.24,2)</f>
        <v>1570.24</v>
      </c>
      <c r="EE299" s="6"/>
      <c r="EF299" s="7">
        <f>ROUND(1348.48,2)</f>
        <v>1348.48</v>
      </c>
      <c r="EG299" s="6"/>
      <c r="EH299" s="7">
        <f>ROUND(1792,2)</f>
        <v>1792</v>
      </c>
      <c r="EI299" s="6"/>
      <c r="EJ299" s="6"/>
      <c r="EK299" s="7">
        <f>ROUND(448,2)</f>
        <v>448</v>
      </c>
      <c r="EL299" s="6"/>
      <c r="EM299" s="6"/>
      <c r="EN299" s="6"/>
      <c r="EO299" s="6"/>
      <c r="EP299" s="6"/>
      <c r="EQ299" s="7">
        <f>ROUND(672,2)</f>
        <v>672</v>
      </c>
      <c r="ER299" s="7">
        <f>ROUND(315.72,2)</f>
        <v>315.72000000000003</v>
      </c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7">
        <f>ROUND(875,2)</f>
        <v>875</v>
      </c>
      <c r="FK299" s="6"/>
      <c r="FL299" s="6"/>
      <c r="FM299" s="6"/>
      <c r="FN299" s="6"/>
      <c r="FO299" s="6"/>
      <c r="FP299" s="6"/>
      <c r="FQ299" s="6"/>
      <c r="FR299" s="6"/>
      <c r="FS299" s="6"/>
      <c r="FT299" s="7">
        <f>ROUND(3000,2)</f>
        <v>3000</v>
      </c>
      <c r="FU299" s="6"/>
      <c r="FV299" s="6"/>
      <c r="FW299" s="6"/>
      <c r="FX299" s="6"/>
      <c r="FY299" s="7">
        <f>ROUND(62420.36,2)</f>
        <v>62420.36</v>
      </c>
    </row>
    <row r="300" spans="1:181" x14ac:dyDescent="0.3">
      <c r="A300" s="4" t="s">
        <v>797</v>
      </c>
      <c r="B300" s="5"/>
      <c r="C300" s="5" t="s">
        <v>281</v>
      </c>
      <c r="D300" s="5" t="s">
        <v>798</v>
      </c>
      <c r="E300" s="5" t="s">
        <v>0</v>
      </c>
      <c r="F300" s="5" t="s">
        <v>0</v>
      </c>
      <c r="G300" s="5" t="s">
        <v>340</v>
      </c>
      <c r="H300" s="8">
        <f>ROUND(1353,2)</f>
        <v>1353</v>
      </c>
      <c r="I300" s="7">
        <f>ROUND(74956.2,2)</f>
        <v>74956.2</v>
      </c>
      <c r="J300" s="7">
        <f>ROUND(1692,2)</f>
        <v>1692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7">
        <f>ROUND(-8,2)</f>
        <v>-8</v>
      </c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7">
        <f>ROUND(8,2)</f>
        <v>8</v>
      </c>
      <c r="BX300" s="6"/>
      <c r="BY300" s="6"/>
      <c r="BZ300" s="6"/>
      <c r="CA300" s="6"/>
      <c r="CB300" s="6"/>
      <c r="CC300" s="6"/>
      <c r="CD300" s="6"/>
      <c r="CE300" s="6"/>
      <c r="CF300" s="6"/>
      <c r="CG300" s="7">
        <f>ROUND(8,2)</f>
        <v>8</v>
      </c>
      <c r="CH300" s="7">
        <f>ROUND(56,2)</f>
        <v>56</v>
      </c>
      <c r="CI300" s="7">
        <f>ROUND(32,2)</f>
        <v>32</v>
      </c>
      <c r="CJ300" s="6"/>
      <c r="CK300" s="6"/>
      <c r="CL300" s="6"/>
      <c r="CM300" s="6"/>
      <c r="CN300" s="7">
        <f>ROUND(136,2)</f>
        <v>136</v>
      </c>
      <c r="CO300" s="6"/>
      <c r="CP300" s="6"/>
      <c r="CQ300" s="7">
        <f>ROUND(1924,2)</f>
        <v>1924</v>
      </c>
      <c r="CR300" s="7">
        <f>ROUND(69408.9,2)</f>
        <v>69408.899999999994</v>
      </c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7">
        <f>ROUND(-270.6,2)</f>
        <v>-270.60000000000002</v>
      </c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7">
        <f>ROUND(135.3,2)</f>
        <v>135.30000000000001</v>
      </c>
      <c r="FH300" s="6"/>
      <c r="FI300" s="6"/>
      <c r="FJ300" s="7">
        <f>ROUND(3247.2,2)</f>
        <v>3247.2</v>
      </c>
      <c r="FK300" s="6"/>
      <c r="FL300" s="6"/>
      <c r="FM300" s="7">
        <f>ROUND(270.6,2)</f>
        <v>270.60000000000002</v>
      </c>
      <c r="FN300" s="7">
        <f>ROUND(811.8,2)</f>
        <v>811.8</v>
      </c>
      <c r="FO300" s="6"/>
      <c r="FP300" s="6"/>
      <c r="FQ300" s="6"/>
      <c r="FR300" s="6"/>
      <c r="FS300" s="6"/>
      <c r="FT300" s="6"/>
      <c r="FU300" s="6"/>
      <c r="FV300" s="7">
        <f>ROUND(1353,2)</f>
        <v>1353</v>
      </c>
      <c r="FW300" s="6"/>
      <c r="FX300" s="6"/>
      <c r="FY300" s="7">
        <f>ROUND(74956.2,2)</f>
        <v>74956.2</v>
      </c>
    </row>
    <row r="301" spans="1:181" x14ac:dyDescent="0.3">
      <c r="A301" s="4" t="s">
        <v>799</v>
      </c>
      <c r="B301" s="5"/>
      <c r="C301" s="5" t="s">
        <v>201</v>
      </c>
      <c r="D301" s="5" t="s">
        <v>800</v>
      </c>
      <c r="E301" s="5" t="s">
        <v>801</v>
      </c>
      <c r="F301" s="5" t="s">
        <v>0</v>
      </c>
      <c r="G301" s="5" t="s">
        <v>265</v>
      </c>
      <c r="H301" s="8">
        <f>ROUND(17,2)</f>
        <v>17</v>
      </c>
      <c r="I301" s="7">
        <f>ROUND(5044.75,2)</f>
        <v>5044.75</v>
      </c>
      <c r="J301" s="7">
        <f>ROUND(256.75,2)</f>
        <v>256.75</v>
      </c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7">
        <f>ROUND(10,2)</f>
        <v>10</v>
      </c>
      <c r="CI301" s="7">
        <f>ROUND(5,2)</f>
        <v>5</v>
      </c>
      <c r="CJ301" s="6"/>
      <c r="CK301" s="6"/>
      <c r="CL301" s="6"/>
      <c r="CM301" s="6"/>
      <c r="CN301" s="6"/>
      <c r="CO301" s="6"/>
      <c r="CP301" s="7">
        <f>ROUND(25,2)</f>
        <v>25</v>
      </c>
      <c r="CQ301" s="7">
        <f>ROUND(296.75,2)</f>
        <v>296.75</v>
      </c>
      <c r="CR301" s="7">
        <f>ROUND(4364.75,2)</f>
        <v>4364.75</v>
      </c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7">
        <f>ROUND(170,2)</f>
        <v>170</v>
      </c>
      <c r="FO301" s="7">
        <f>ROUND(85,2)</f>
        <v>85</v>
      </c>
      <c r="FP301" s="6"/>
      <c r="FQ301" s="6"/>
      <c r="FR301" s="6"/>
      <c r="FS301" s="6"/>
      <c r="FT301" s="6"/>
      <c r="FU301" s="6"/>
      <c r="FV301" s="6"/>
      <c r="FW301" s="6"/>
      <c r="FX301" s="7">
        <f>ROUND(425,2)</f>
        <v>425</v>
      </c>
      <c r="FY301" s="7">
        <f>ROUND(5044.75,2)</f>
        <v>5044.75</v>
      </c>
    </row>
    <row r="302" spans="1:181" x14ac:dyDescent="0.3">
      <c r="A302" s="4" t="s">
        <v>802</v>
      </c>
      <c r="B302" s="5"/>
      <c r="C302" s="5" t="s">
        <v>360</v>
      </c>
      <c r="D302" s="5" t="s">
        <v>803</v>
      </c>
      <c r="E302" s="5" t="s">
        <v>804</v>
      </c>
      <c r="F302" s="5" t="s">
        <v>0</v>
      </c>
      <c r="G302" s="5" t="s">
        <v>805</v>
      </c>
      <c r="H302" s="8">
        <f>ROUND(1858.94,2)</f>
        <v>1858.94</v>
      </c>
      <c r="I302" s="7">
        <f>ROUND(67755.16,2)</f>
        <v>67755.16</v>
      </c>
      <c r="J302" s="7">
        <f>ROUND(680,2)</f>
        <v>680</v>
      </c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7">
        <f>ROUND(40,2)</f>
        <v>40</v>
      </c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7">
        <f>ROUND(24,2)</f>
        <v>24</v>
      </c>
      <c r="CG302" s="7">
        <f>ROUND(13,2)</f>
        <v>13</v>
      </c>
      <c r="CH302" s="7">
        <f>ROUND(24,2)</f>
        <v>24</v>
      </c>
      <c r="CI302" s="7">
        <f>ROUND(40,2)</f>
        <v>40</v>
      </c>
      <c r="CJ302" s="6"/>
      <c r="CK302" s="6"/>
      <c r="CL302" s="6"/>
      <c r="CM302" s="6"/>
      <c r="CN302" s="7">
        <f>ROUND(24,2)</f>
        <v>24</v>
      </c>
      <c r="CO302" s="6"/>
      <c r="CP302" s="7">
        <f>ROUND(280,2)</f>
        <v>280</v>
      </c>
      <c r="CQ302" s="7">
        <f>ROUND(1125,2)</f>
        <v>1125</v>
      </c>
      <c r="CR302" s="7">
        <f>ROUND(48332.44,2)</f>
        <v>48332.44</v>
      </c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7">
        <f>ROUND(1858.94,2)</f>
        <v>1858.94</v>
      </c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7">
        <f>ROUND(500,2)</f>
        <v>500</v>
      </c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7">
        <f>ROUND(2565.14,2)</f>
        <v>2565.14</v>
      </c>
      <c r="FK302" s="6"/>
      <c r="FL302" s="6"/>
      <c r="FM302" s="6"/>
      <c r="FN302" s="6"/>
      <c r="FO302" s="7">
        <f>ROUND(1487.04,2)</f>
        <v>1487.04</v>
      </c>
      <c r="FP302" s="6"/>
      <c r="FQ302" s="6"/>
      <c r="FR302" s="6"/>
      <c r="FS302" s="6"/>
      <c r="FT302" s="6"/>
      <c r="FU302" s="6"/>
      <c r="FV302" s="6"/>
      <c r="FW302" s="6"/>
      <c r="FX302" s="7">
        <f>ROUND(13011.6,2)</f>
        <v>13011.6</v>
      </c>
      <c r="FY302" s="7">
        <f>ROUND(67755.16,2)</f>
        <v>67755.16</v>
      </c>
    </row>
    <row r="303" spans="1:181" x14ac:dyDescent="0.3">
      <c r="A303" s="4" t="s">
        <v>806</v>
      </c>
      <c r="B303" s="5" t="s">
        <v>1029</v>
      </c>
      <c r="C303" s="5" t="s">
        <v>181</v>
      </c>
      <c r="D303" s="5" t="s">
        <v>807</v>
      </c>
      <c r="E303" s="5" t="s">
        <v>0</v>
      </c>
      <c r="F303" s="5" t="s">
        <v>0</v>
      </c>
      <c r="G303" s="5" t="s">
        <v>183</v>
      </c>
      <c r="H303" s="8">
        <v>33.880000000000003</v>
      </c>
      <c r="I303" s="7">
        <f>ROUND(73217.85,2)</f>
        <v>73217.850000000006</v>
      </c>
      <c r="J303" s="6"/>
      <c r="K303" s="6"/>
      <c r="L303" s="6"/>
      <c r="M303" s="6"/>
      <c r="N303" s="7">
        <f>ROUND(1799.42999999999,2)</f>
        <v>1799.43</v>
      </c>
      <c r="O303" s="6"/>
      <c r="P303" s="6"/>
      <c r="Q303" s="7">
        <f>ROUND(28.14,2)</f>
        <v>28.14</v>
      </c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7">
        <f>ROUND(68,2)</f>
        <v>68</v>
      </c>
      <c r="AV303" s="6"/>
      <c r="AW303" s="7">
        <f>ROUND(32,2)</f>
        <v>32</v>
      </c>
      <c r="AX303" s="6"/>
      <c r="AY303" s="7">
        <f>ROUND(102.5,2)</f>
        <v>102.5</v>
      </c>
      <c r="AZ303" s="7">
        <f>ROUND(1.5,2)</f>
        <v>1.5</v>
      </c>
      <c r="BA303" s="6"/>
      <c r="BB303" s="7">
        <f>ROUND(40,2)</f>
        <v>40</v>
      </c>
      <c r="BC303" s="6"/>
      <c r="BD303" s="7">
        <f>ROUND(8,2)</f>
        <v>8</v>
      </c>
      <c r="BE303" s="7">
        <f>ROUND(4.1,2)</f>
        <v>4.0999999999999996</v>
      </c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7">
        <f>ROUND(40,2)</f>
        <v>40</v>
      </c>
      <c r="BT303" s="7">
        <f>ROUND(10.04,2)</f>
        <v>10.039999999999999</v>
      </c>
      <c r="BU303" s="6"/>
      <c r="BV303" s="6"/>
      <c r="BW303" s="6"/>
      <c r="BX303" s="6"/>
      <c r="BY303" s="6"/>
      <c r="BZ303" s="6"/>
      <c r="CA303" s="7">
        <f>ROUND(31.92,2)</f>
        <v>31.92</v>
      </c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7">
        <f>ROUND(16,2)</f>
        <v>16</v>
      </c>
      <c r="CQ303" s="7">
        <f>ROUND(2181.63,2)</f>
        <v>2181.63</v>
      </c>
      <c r="CR303" s="6"/>
      <c r="CS303" s="6"/>
      <c r="CT303" s="6"/>
      <c r="CU303" s="6"/>
      <c r="CV303" s="7">
        <f>ROUND(59028.2499999999,2)</f>
        <v>59028.25</v>
      </c>
      <c r="CW303" s="6"/>
      <c r="CX303" s="6"/>
      <c r="CY303" s="7">
        <f>ROUND(1398.79,2)</f>
        <v>1398.79</v>
      </c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7">
        <f>ROUND(2218.12,2)</f>
        <v>2218.12</v>
      </c>
      <c r="EE303" s="6"/>
      <c r="EF303" s="7">
        <f>ROUND(1026.88,2)</f>
        <v>1026.8800000000001</v>
      </c>
      <c r="EG303" s="6"/>
      <c r="EH303" s="7">
        <f>ROUND(3326.19,2)</f>
        <v>3326.19</v>
      </c>
      <c r="EI303" s="7">
        <f>ROUND(74.36,2)</f>
        <v>74.36</v>
      </c>
      <c r="EJ303" s="6"/>
      <c r="EK303" s="7">
        <f>ROUND(1291.28,2)</f>
        <v>1291.28</v>
      </c>
      <c r="EL303" s="6"/>
      <c r="EM303" s="6"/>
      <c r="EN303" s="7">
        <f>ROUND(256.72,2)</f>
        <v>256.72000000000003</v>
      </c>
      <c r="EO303" s="7">
        <f>ROUND(132.9,2)</f>
        <v>132.9</v>
      </c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7">
        <f>ROUND(925,2)</f>
        <v>925</v>
      </c>
      <c r="FK303" s="6"/>
      <c r="FL303" s="6"/>
      <c r="FM303" s="6"/>
      <c r="FN303" s="6"/>
      <c r="FO303" s="6"/>
      <c r="FP303" s="6"/>
      <c r="FQ303" s="6"/>
      <c r="FR303" s="6"/>
      <c r="FS303" s="6"/>
      <c r="FT303" s="7">
        <f>ROUND(3000,2)</f>
        <v>3000</v>
      </c>
      <c r="FU303" s="6"/>
      <c r="FV303" s="6"/>
      <c r="FW303" s="6"/>
      <c r="FX303" s="7">
        <f>ROUND(539.36,2)</f>
        <v>539.36</v>
      </c>
      <c r="FY303" s="7">
        <f>ROUND(73217.85,2)</f>
        <v>73217.850000000006</v>
      </c>
    </row>
    <row r="304" spans="1:181" ht="26.4" x14ac:dyDescent="0.3">
      <c r="A304" s="4" t="s">
        <v>808</v>
      </c>
      <c r="B304" s="5"/>
      <c r="C304" s="5" t="s">
        <v>294</v>
      </c>
      <c r="D304" s="5" t="s">
        <v>770</v>
      </c>
      <c r="E304" s="5" t="s">
        <v>0</v>
      </c>
      <c r="F304" s="5" t="s">
        <v>0</v>
      </c>
      <c r="G304" s="5" t="s">
        <v>315</v>
      </c>
      <c r="H304" s="8">
        <f>ROUND(1366.74,2)</f>
        <v>1366.74</v>
      </c>
      <c r="I304" s="7">
        <f>ROUND(89217.4,2)</f>
        <v>89217.4</v>
      </c>
      <c r="J304" s="7">
        <f>ROUND(1672,2)</f>
        <v>1672</v>
      </c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7">
        <f>ROUND(-8,2)</f>
        <v>-8</v>
      </c>
      <c r="AC304" s="7">
        <f>ROUND(7,2)</f>
        <v>7</v>
      </c>
      <c r="AD304" s="7">
        <f>ROUND(29,2)</f>
        <v>29</v>
      </c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7">
        <f>ROUND(16,2)</f>
        <v>16</v>
      </c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7">
        <f>ROUND(8,2)</f>
        <v>8</v>
      </c>
      <c r="BX304" s="6"/>
      <c r="BY304" s="6"/>
      <c r="BZ304" s="6"/>
      <c r="CA304" s="6"/>
      <c r="CB304" s="6"/>
      <c r="CC304" s="6"/>
      <c r="CD304" s="6"/>
      <c r="CE304" s="6"/>
      <c r="CF304" s="7">
        <f>ROUND(16,2)</f>
        <v>16</v>
      </c>
      <c r="CG304" s="6"/>
      <c r="CH304" s="7">
        <f>ROUND(56,2)</f>
        <v>56</v>
      </c>
      <c r="CI304" s="7">
        <f>ROUND(32,2)</f>
        <v>32</v>
      </c>
      <c r="CJ304" s="6"/>
      <c r="CK304" s="6"/>
      <c r="CL304" s="6"/>
      <c r="CM304" s="6"/>
      <c r="CN304" s="7">
        <f>ROUND(80,2)</f>
        <v>80</v>
      </c>
      <c r="CO304" s="6"/>
      <c r="CP304" s="6"/>
      <c r="CQ304" s="7">
        <f>ROUND(1908,2)</f>
        <v>1908</v>
      </c>
      <c r="CR304" s="7">
        <f>ROUND(69430.3799999999,2)</f>
        <v>69430.38</v>
      </c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7">
        <f>ROUND(-273.35,2)</f>
        <v>-273.35000000000002</v>
      </c>
      <c r="DL304" s="7">
        <f>ROUND(2625,2)</f>
        <v>2625</v>
      </c>
      <c r="DM304" s="7">
        <f>ROUND(10875,2)</f>
        <v>10875</v>
      </c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7">
        <f>ROUND(273.35,2)</f>
        <v>273.35000000000002</v>
      </c>
      <c r="FH304" s="6"/>
      <c r="FI304" s="6"/>
      <c r="FJ304" s="7">
        <f>ROUND(3280.18,2)</f>
        <v>3280.18</v>
      </c>
      <c r="FK304" s="6"/>
      <c r="FL304" s="6"/>
      <c r="FM304" s="6"/>
      <c r="FN304" s="7">
        <f>ROUND(820.05,2)</f>
        <v>820.05</v>
      </c>
      <c r="FO304" s="7">
        <f>ROUND(546.7,2)</f>
        <v>546.70000000000005</v>
      </c>
      <c r="FP304" s="6"/>
      <c r="FQ304" s="6"/>
      <c r="FR304" s="6"/>
      <c r="FS304" s="6"/>
      <c r="FT304" s="6"/>
      <c r="FU304" s="6"/>
      <c r="FV304" s="7">
        <f>ROUND(1640.09,2)</f>
        <v>1640.09</v>
      </c>
      <c r="FW304" s="6"/>
      <c r="FX304" s="6"/>
      <c r="FY304" s="7">
        <f>ROUND(89217.4,2)</f>
        <v>89217.4</v>
      </c>
    </row>
    <row r="305" spans="1:181" x14ac:dyDescent="0.3">
      <c r="A305" s="4" t="s">
        <v>809</v>
      </c>
      <c r="B305" s="5"/>
      <c r="C305" s="5" t="s">
        <v>311</v>
      </c>
      <c r="D305" s="5" t="s">
        <v>810</v>
      </c>
      <c r="E305" s="5" t="s">
        <v>0</v>
      </c>
      <c r="F305" s="5" t="s">
        <v>0</v>
      </c>
      <c r="G305" s="5" t="s">
        <v>811</v>
      </c>
      <c r="H305" s="8">
        <f>ROUND(24.7406,2)</f>
        <v>24.74</v>
      </c>
      <c r="I305" s="7">
        <f>ROUND(56210.37,2)</f>
        <v>56210.37</v>
      </c>
      <c r="J305" s="7">
        <f>ROUND(1744,2)</f>
        <v>1744</v>
      </c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7">
        <f>ROUND(8,2)</f>
        <v>8</v>
      </c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7">
        <f>ROUND(56,2)</f>
        <v>56</v>
      </c>
      <c r="CI305" s="7">
        <f>ROUND(32,2)</f>
        <v>32</v>
      </c>
      <c r="CJ305" s="6"/>
      <c r="CK305" s="6"/>
      <c r="CL305" s="7">
        <f>ROUND(80,2)</f>
        <v>80</v>
      </c>
      <c r="CM305" s="6"/>
      <c r="CN305" s="7">
        <f>ROUND(192,2)</f>
        <v>192</v>
      </c>
      <c r="CO305" s="6"/>
      <c r="CP305" s="7">
        <f>ROUND(64,2)</f>
        <v>64</v>
      </c>
      <c r="CQ305" s="7">
        <f>ROUND(2176,2)</f>
        <v>2176</v>
      </c>
      <c r="CR305" s="7">
        <f>ROUND(43147.4999999999,2)</f>
        <v>43147.5</v>
      </c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7">
        <f>ROUND(197.92,2)</f>
        <v>197.92</v>
      </c>
      <c r="FH305" s="6"/>
      <c r="FI305" s="6"/>
      <c r="FJ305" s="7">
        <f>ROUND(2375.04,2)</f>
        <v>2375.04</v>
      </c>
      <c r="FK305" s="6"/>
      <c r="FL305" s="6"/>
      <c r="FM305" s="6"/>
      <c r="FN305" s="7">
        <f>ROUND(1385.44,2)</f>
        <v>1385.44</v>
      </c>
      <c r="FO305" s="7">
        <f>ROUND(791.7,2)</f>
        <v>791.7</v>
      </c>
      <c r="FP305" s="6"/>
      <c r="FQ305" s="6"/>
      <c r="FR305" s="6"/>
      <c r="FS305" s="7">
        <f>ROUND(1979.22,2)</f>
        <v>1979.22</v>
      </c>
      <c r="FT305" s="6"/>
      <c r="FU305" s="6"/>
      <c r="FV305" s="7">
        <f>ROUND(4750.15,2)</f>
        <v>4750.1499999999996</v>
      </c>
      <c r="FW305" s="6"/>
      <c r="FX305" s="7">
        <f>ROUND(1583.4,2)</f>
        <v>1583.4</v>
      </c>
      <c r="FY305" s="7">
        <f>ROUND(56210.37,2)</f>
        <v>56210.37</v>
      </c>
    </row>
    <row r="306" spans="1:181" x14ac:dyDescent="0.3">
      <c r="A306" s="4" t="s">
        <v>812</v>
      </c>
      <c r="B306" s="5" t="s">
        <v>1029</v>
      </c>
      <c r="C306" s="5" t="s">
        <v>181</v>
      </c>
      <c r="D306" s="5" t="s">
        <v>289</v>
      </c>
      <c r="E306" s="5" t="s">
        <v>0</v>
      </c>
      <c r="F306" s="5" t="s">
        <v>0</v>
      </c>
      <c r="G306" s="5" t="s">
        <v>183</v>
      </c>
      <c r="H306" s="8">
        <v>33.380000000000003</v>
      </c>
      <c r="I306" s="7">
        <f>ROUND(96731.61,2)</f>
        <v>96731.61</v>
      </c>
      <c r="J306" s="6"/>
      <c r="K306" s="6"/>
      <c r="L306" s="6"/>
      <c r="M306" s="6"/>
      <c r="N306" s="7">
        <f>ROUND(948.259999999999,2)</f>
        <v>948.26</v>
      </c>
      <c r="O306" s="6"/>
      <c r="P306" s="6"/>
      <c r="Q306" s="7">
        <f>ROUND(222.35,2)</f>
        <v>222.35</v>
      </c>
      <c r="R306" s="6"/>
      <c r="S306" s="6"/>
      <c r="T306" s="6"/>
      <c r="U306" s="6"/>
      <c r="V306" s="7">
        <f>ROUND(13.13,2)</f>
        <v>13.13</v>
      </c>
      <c r="W306" s="7">
        <f>ROUND(29.5499999999999,2)</f>
        <v>29.55</v>
      </c>
      <c r="X306" s="7">
        <f>ROUND(2.83,2)</f>
        <v>2.83</v>
      </c>
      <c r="Y306" s="7">
        <f>ROUND(0.17,2)</f>
        <v>0.17</v>
      </c>
      <c r="Z306" s="6"/>
      <c r="AA306" s="6"/>
      <c r="AB306" s="6"/>
      <c r="AC306" s="6"/>
      <c r="AD306" s="6"/>
      <c r="AE306" s="7">
        <f>ROUND(369.71,2)</f>
        <v>369.71</v>
      </c>
      <c r="AF306" s="6"/>
      <c r="AG306" s="7">
        <f>ROUND(86.1999999999999,2)</f>
        <v>86.2</v>
      </c>
      <c r="AH306" s="6"/>
      <c r="AI306" s="6"/>
      <c r="AJ306" s="6"/>
      <c r="AK306" s="6"/>
      <c r="AL306" s="6"/>
      <c r="AM306" s="6"/>
      <c r="AN306" s="6"/>
      <c r="AO306" s="6"/>
      <c r="AP306" s="7">
        <f>ROUND(612.349999999999,2)</f>
        <v>612.35</v>
      </c>
      <c r="AQ306" s="6"/>
      <c r="AR306" s="7">
        <f>ROUND(92.38,2)</f>
        <v>92.38</v>
      </c>
      <c r="AS306" s="6"/>
      <c r="AT306" s="6"/>
      <c r="AU306" s="7">
        <f>ROUND(76,2)</f>
        <v>76</v>
      </c>
      <c r="AV306" s="6"/>
      <c r="AW306" s="7">
        <f>ROUND(20,2)</f>
        <v>20</v>
      </c>
      <c r="AX306" s="7">
        <f>ROUND(8,2)</f>
        <v>8</v>
      </c>
      <c r="AY306" s="7">
        <f>ROUND(48,2)</f>
        <v>48</v>
      </c>
      <c r="AZ306" s="7">
        <f>ROUND(8,2)</f>
        <v>8</v>
      </c>
      <c r="BA306" s="6"/>
      <c r="BB306" s="6"/>
      <c r="BC306" s="6"/>
      <c r="BD306" s="7">
        <f>ROUND(8,2)</f>
        <v>8</v>
      </c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7">
        <f>ROUND(16.42,2)</f>
        <v>16.420000000000002</v>
      </c>
      <c r="BP306" s="7">
        <f>ROUND(3.83,2)</f>
        <v>3.83</v>
      </c>
      <c r="BQ306" s="6"/>
      <c r="BR306" s="6"/>
      <c r="BS306" s="7">
        <f>ROUND(10,2)</f>
        <v>10</v>
      </c>
      <c r="BT306" s="7">
        <f>ROUND(13.27,2)</f>
        <v>13.27</v>
      </c>
      <c r="BU306" s="6"/>
      <c r="BV306" s="6"/>
      <c r="BW306" s="6"/>
      <c r="BX306" s="6"/>
      <c r="BY306" s="6"/>
      <c r="BZ306" s="6"/>
      <c r="CA306" s="7">
        <f>ROUND(16,2)</f>
        <v>16</v>
      </c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7">
        <f>ROUND(40,2)</f>
        <v>40</v>
      </c>
      <c r="CQ306" s="7">
        <f>ROUND(2644.44999999999,2)</f>
        <v>2644.45</v>
      </c>
      <c r="CR306" s="6"/>
      <c r="CS306" s="6"/>
      <c r="CT306" s="6"/>
      <c r="CU306" s="6"/>
      <c r="CV306" s="7">
        <f>ROUND(30904.74,2)</f>
        <v>30904.74</v>
      </c>
      <c r="CW306" s="6"/>
      <c r="CX306" s="6"/>
      <c r="CY306" s="7">
        <f>ROUND(10902.62,2)</f>
        <v>10902.62</v>
      </c>
      <c r="CZ306" s="6"/>
      <c r="DA306" s="6"/>
      <c r="DB306" s="6"/>
      <c r="DC306" s="6"/>
      <c r="DD306" s="7">
        <f>ROUND(422.6,2)</f>
        <v>422.6</v>
      </c>
      <c r="DE306" s="7">
        <f>ROUND(1460.79,2)</f>
        <v>1460.79</v>
      </c>
      <c r="DF306" s="7">
        <f>ROUND(92.9799999999999,2)</f>
        <v>92.98</v>
      </c>
      <c r="DG306" s="7">
        <f>ROUND(8.43,2)</f>
        <v>8.43</v>
      </c>
      <c r="DH306" s="6"/>
      <c r="DI306" s="6"/>
      <c r="DJ306" s="6"/>
      <c r="DK306" s="6"/>
      <c r="DL306" s="6"/>
      <c r="DM306" s="6"/>
      <c r="DN306" s="7">
        <f>ROUND(12083.9,2)</f>
        <v>12083.9</v>
      </c>
      <c r="DO306" s="6"/>
      <c r="DP306" s="7">
        <f>ROUND(4246.66999999999,2)</f>
        <v>4246.67</v>
      </c>
      <c r="DQ306" s="6"/>
      <c r="DR306" s="6"/>
      <c r="DS306" s="6"/>
      <c r="DT306" s="6"/>
      <c r="DU306" s="6"/>
      <c r="DV306" s="6"/>
      <c r="DW306" s="6"/>
      <c r="DX306" s="6"/>
      <c r="DY306" s="7">
        <f>ROUND(20000.4,2)</f>
        <v>20000.400000000001</v>
      </c>
      <c r="DZ306" s="6"/>
      <c r="EA306" s="7">
        <f>ROUND(4557.16999999999,2)</f>
        <v>4557.17</v>
      </c>
      <c r="EB306" s="6"/>
      <c r="EC306" s="6"/>
      <c r="ED306" s="7">
        <f>ROUND(2476.7,2)</f>
        <v>2476.6999999999998</v>
      </c>
      <c r="EE306" s="6"/>
      <c r="EF306" s="7">
        <f>ROUND(641.8,2)</f>
        <v>641.79999999999995</v>
      </c>
      <c r="EG306" s="7">
        <f>ROUND(396.6,2)</f>
        <v>396.6</v>
      </c>
      <c r="EH306" s="7">
        <f>ROUND(1548,2)</f>
        <v>1548</v>
      </c>
      <c r="EI306" s="7">
        <f>ROUND(396.6,2)</f>
        <v>396.6</v>
      </c>
      <c r="EJ306" s="6"/>
      <c r="EK306" s="6"/>
      <c r="EL306" s="6"/>
      <c r="EM306" s="6"/>
      <c r="EN306" s="7">
        <f>ROUND(256.72,2)</f>
        <v>256.72000000000003</v>
      </c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7">
        <f>ROUND(533.83,2)</f>
        <v>533.83000000000004</v>
      </c>
      <c r="FC306" s="7">
        <f>ROUND(190.86,2)</f>
        <v>190.86</v>
      </c>
      <c r="FD306" s="6"/>
      <c r="FE306" s="6"/>
      <c r="FF306" s="6"/>
      <c r="FG306" s="6"/>
      <c r="FH306" s="6"/>
      <c r="FI306" s="6"/>
      <c r="FJ306" s="7">
        <f>ROUND(1275,2)</f>
        <v>1275</v>
      </c>
      <c r="FK306" s="6"/>
      <c r="FL306" s="6"/>
      <c r="FM306" s="6"/>
      <c r="FN306" s="6"/>
      <c r="FO306" s="6"/>
      <c r="FP306" s="6"/>
      <c r="FQ306" s="6"/>
      <c r="FR306" s="6"/>
      <c r="FS306" s="6"/>
      <c r="FT306" s="7">
        <f>ROUND(3000,2)</f>
        <v>3000</v>
      </c>
      <c r="FU306" s="6"/>
      <c r="FV306" s="6"/>
      <c r="FW306" s="6"/>
      <c r="FX306" s="7">
        <f>ROUND(1335.2,2)</f>
        <v>1335.2</v>
      </c>
      <c r="FY306" s="7">
        <f>ROUND(96731.61,2)</f>
        <v>96731.61</v>
      </c>
    </row>
    <row r="307" spans="1:181" x14ac:dyDescent="0.3">
      <c r="A307" s="4" t="s">
        <v>813</v>
      </c>
      <c r="B307" s="5"/>
      <c r="C307" s="5" t="s">
        <v>294</v>
      </c>
      <c r="D307" s="5" t="s">
        <v>461</v>
      </c>
      <c r="E307" s="5" t="s">
        <v>0</v>
      </c>
      <c r="F307" s="5" t="s">
        <v>0</v>
      </c>
      <c r="G307" s="5" t="s">
        <v>641</v>
      </c>
      <c r="H307" s="8">
        <f>ROUND(1468.94,2)</f>
        <v>1468.94</v>
      </c>
      <c r="I307" s="7">
        <f>ROUND(100129.28,2)</f>
        <v>100129.28</v>
      </c>
      <c r="J307" s="7">
        <f>ROUND(1680,2)</f>
        <v>1680</v>
      </c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7">
        <f>ROUND(-8,2)</f>
        <v>-8</v>
      </c>
      <c r="AC307" s="7">
        <f>ROUND(26,2)</f>
        <v>26</v>
      </c>
      <c r="AD307" s="7">
        <f>ROUND(24,2)</f>
        <v>24</v>
      </c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7">
        <f>ROUND(48,2)</f>
        <v>48</v>
      </c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7">
        <f>ROUND(48,2)</f>
        <v>48</v>
      </c>
      <c r="CI307" s="7">
        <f>ROUND(32,2)</f>
        <v>32</v>
      </c>
      <c r="CJ307" s="6"/>
      <c r="CK307" s="6"/>
      <c r="CL307" s="6"/>
      <c r="CM307" s="6"/>
      <c r="CN307" s="7">
        <f>ROUND(88,2)</f>
        <v>88</v>
      </c>
      <c r="CO307" s="6"/>
      <c r="CP307" s="6"/>
      <c r="CQ307" s="7">
        <f>ROUND(1938,2)</f>
        <v>1938</v>
      </c>
      <c r="CR307" s="7">
        <f>ROUND(74915.92,2)</f>
        <v>74915.92</v>
      </c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7">
        <f>ROUND(-293.79,2)</f>
        <v>-293.79000000000002</v>
      </c>
      <c r="DL307" s="7">
        <f>ROUND(9750,2)</f>
        <v>9750</v>
      </c>
      <c r="DM307" s="7">
        <f>ROUND(9000,2)</f>
        <v>9000</v>
      </c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7">
        <f>ROUND(587.58,2)</f>
        <v>587.58000000000004</v>
      </c>
      <c r="FH307" s="6"/>
      <c r="FI307" s="6"/>
      <c r="FJ307" s="7">
        <f>ROUND(3525.46,2)</f>
        <v>3525.46</v>
      </c>
      <c r="FK307" s="6"/>
      <c r="FL307" s="6"/>
      <c r="FM307" s="6"/>
      <c r="FN307" s="7">
        <f>ROUND(587.58,2)</f>
        <v>587.58000000000004</v>
      </c>
      <c r="FO307" s="7">
        <f>ROUND(587.58,2)</f>
        <v>587.58000000000004</v>
      </c>
      <c r="FP307" s="6"/>
      <c r="FQ307" s="6"/>
      <c r="FR307" s="6"/>
      <c r="FS307" s="6"/>
      <c r="FT307" s="6"/>
      <c r="FU307" s="6"/>
      <c r="FV307" s="7">
        <f>ROUND(1468.95,2)</f>
        <v>1468.95</v>
      </c>
      <c r="FW307" s="6"/>
      <c r="FX307" s="6"/>
      <c r="FY307" s="7">
        <f>ROUND(100129.28,2)</f>
        <v>100129.28</v>
      </c>
    </row>
    <row r="308" spans="1:181" x14ac:dyDescent="0.3">
      <c r="A308" s="4" t="s">
        <v>814</v>
      </c>
      <c r="B308" s="5" t="s">
        <v>1029</v>
      </c>
      <c r="C308" s="5" t="s">
        <v>181</v>
      </c>
      <c r="D308" s="5" t="s">
        <v>499</v>
      </c>
      <c r="E308" s="5" t="s">
        <v>0</v>
      </c>
      <c r="F308" s="5" t="s">
        <v>0</v>
      </c>
      <c r="G308" s="5" t="s">
        <v>183</v>
      </c>
      <c r="H308" s="8">
        <f>ROUND(0,2)</f>
        <v>0</v>
      </c>
      <c r="I308" s="7">
        <f>ROUND(116516.25,2)</f>
        <v>116516.25</v>
      </c>
      <c r="J308" s="6"/>
      <c r="K308" s="6"/>
      <c r="L308" s="6"/>
      <c r="M308" s="6"/>
      <c r="N308" s="7">
        <f>ROUND(2000.2,2)</f>
        <v>2000.2</v>
      </c>
      <c r="O308" s="6"/>
      <c r="P308" s="6"/>
      <c r="Q308" s="7">
        <f>ROUND(709.23,2)</f>
        <v>709.23</v>
      </c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7">
        <f>ROUND(65.75,2)</f>
        <v>65.75</v>
      </c>
      <c r="AV308" s="7">
        <f>ROUND(2.25,2)</f>
        <v>2.25</v>
      </c>
      <c r="AW308" s="7">
        <f>ROUND(32,2)</f>
        <v>32</v>
      </c>
      <c r="AX308" s="6"/>
      <c r="AY308" s="6"/>
      <c r="AZ308" s="7">
        <f>ROUND(8,2)</f>
        <v>8</v>
      </c>
      <c r="BA308" s="6"/>
      <c r="BB308" s="6"/>
      <c r="BC308" s="6"/>
      <c r="BD308" s="7">
        <f>ROUND(8,2)</f>
        <v>8</v>
      </c>
      <c r="BE308" s="6"/>
      <c r="BF308" s="6"/>
      <c r="BG308" s="7">
        <f>ROUND(43.5,2)</f>
        <v>43.5</v>
      </c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7">
        <f>ROUND(8.45999999999999,2)</f>
        <v>8.4600000000000009</v>
      </c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7">
        <f>ROUND(184,2)</f>
        <v>184</v>
      </c>
      <c r="CQ308" s="7">
        <f>ROUND(3061.38999999999,2)</f>
        <v>3061.39</v>
      </c>
      <c r="CR308" s="6"/>
      <c r="CS308" s="6"/>
      <c r="CT308" s="6"/>
      <c r="CU308" s="6"/>
      <c r="CV308" s="7">
        <f>ROUND(65186.7799999999,2)</f>
        <v>65186.78</v>
      </c>
      <c r="CW308" s="6"/>
      <c r="CX308" s="6"/>
      <c r="CY308" s="7">
        <f>ROUND(34722.0699999999,2)</f>
        <v>34722.07</v>
      </c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7">
        <f>ROUND(2145.12,2)</f>
        <v>2145.12</v>
      </c>
      <c r="EE308" s="7">
        <f>ROUND(111.56,2)</f>
        <v>111.56</v>
      </c>
      <c r="EF308" s="7">
        <f>ROUND(1057.6,2)</f>
        <v>1057.5999999999999</v>
      </c>
      <c r="EG308" s="6"/>
      <c r="EH308" s="6"/>
      <c r="EI308" s="7">
        <f>ROUND(406.56,2)</f>
        <v>406.56</v>
      </c>
      <c r="EJ308" s="6"/>
      <c r="EK308" s="6"/>
      <c r="EL308" s="6"/>
      <c r="EM308" s="6"/>
      <c r="EN308" s="7">
        <f>ROUND(256.72,2)</f>
        <v>256.72000000000003</v>
      </c>
      <c r="EO308" s="6"/>
      <c r="EP308" s="6"/>
      <c r="EQ308" s="7">
        <f>ROUND(1395.92,2)</f>
        <v>1395.92</v>
      </c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7">
        <f>ROUND(2000,2)</f>
        <v>2000</v>
      </c>
      <c r="FK308" s="6"/>
      <c r="FL308" s="6"/>
      <c r="FM308" s="6"/>
      <c r="FN308" s="6"/>
      <c r="FO308" s="6"/>
      <c r="FP308" s="6"/>
      <c r="FQ308" s="6"/>
      <c r="FR308" s="6"/>
      <c r="FS308" s="6"/>
      <c r="FT308" s="7">
        <f>ROUND(3000,2)</f>
        <v>3000</v>
      </c>
      <c r="FU308" s="6"/>
      <c r="FV308" s="6"/>
      <c r="FW308" s="6"/>
      <c r="FX308" s="7">
        <f>ROUND(6233.92,2)</f>
        <v>6233.92</v>
      </c>
      <c r="FY308" s="7">
        <f>ROUND(116516.25,2)</f>
        <v>116516.25</v>
      </c>
    </row>
    <row r="309" spans="1:181" x14ac:dyDescent="0.3">
      <c r="A309" s="4" t="s">
        <v>815</v>
      </c>
      <c r="B309" s="5" t="s">
        <v>1029</v>
      </c>
      <c r="C309" s="5" t="s">
        <v>236</v>
      </c>
      <c r="D309" s="5" t="s">
        <v>816</v>
      </c>
      <c r="E309" s="5" t="s">
        <v>0</v>
      </c>
      <c r="F309" s="5" t="s">
        <v>0</v>
      </c>
      <c r="G309" s="5" t="s">
        <v>238</v>
      </c>
      <c r="H309" s="8">
        <v>37.75</v>
      </c>
      <c r="I309" s="7">
        <f>ROUND(80928.8199999999,2)</f>
        <v>80928.820000000007</v>
      </c>
      <c r="J309" s="6"/>
      <c r="K309" s="6"/>
      <c r="L309" s="7">
        <f>ROUND(1848,2)</f>
        <v>1848</v>
      </c>
      <c r="M309" s="7">
        <f>ROUND(0.53,2)</f>
        <v>0.53</v>
      </c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7">
        <f>ROUND(56,2)</f>
        <v>56</v>
      </c>
      <c r="AV309" s="6"/>
      <c r="AW309" s="7">
        <f>ROUND(32,2)</f>
        <v>32</v>
      </c>
      <c r="AX309" s="6"/>
      <c r="AY309" s="7">
        <f>ROUND(120,2)</f>
        <v>120</v>
      </c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7">
        <f>ROUND(32,2)</f>
        <v>32</v>
      </c>
      <c r="BT309" s="6"/>
      <c r="BU309" s="6"/>
      <c r="BV309" s="6"/>
      <c r="BW309" s="6"/>
      <c r="BX309" s="6"/>
      <c r="BY309" s="7">
        <f>ROUND(16,2)</f>
        <v>16</v>
      </c>
      <c r="BZ309" s="6"/>
      <c r="CA309" s="6"/>
      <c r="CB309" s="6"/>
      <c r="CC309" s="7">
        <f>ROUND(16,2)</f>
        <v>16</v>
      </c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7">
        <f>ROUND(2120.52999999999,2)</f>
        <v>2120.5300000000002</v>
      </c>
      <c r="CR309" s="6"/>
      <c r="CS309" s="6"/>
      <c r="CT309" s="7">
        <f>ROUND(68404.3999999999,2)</f>
        <v>68404.399999999994</v>
      </c>
      <c r="CU309" s="7">
        <f>ROUND(28.86,2)</f>
        <v>28.86</v>
      </c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7">
        <f>ROUND(2063.12,2)</f>
        <v>2063.12</v>
      </c>
      <c r="EE309" s="6"/>
      <c r="EF309" s="7">
        <f>ROUND(1174.08,2)</f>
        <v>1174.08</v>
      </c>
      <c r="EG309" s="6"/>
      <c r="EH309" s="7">
        <f>ROUND(4433.36,2)</f>
        <v>4433.3599999999997</v>
      </c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7">
        <f>ROUND(500,2)</f>
        <v>500</v>
      </c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7">
        <f>ROUND(1325,2)</f>
        <v>1325</v>
      </c>
      <c r="FK309" s="6"/>
      <c r="FL309" s="6"/>
      <c r="FM309" s="6"/>
      <c r="FN309" s="6"/>
      <c r="FO309" s="6"/>
      <c r="FP309" s="6"/>
      <c r="FQ309" s="6"/>
      <c r="FR309" s="6"/>
      <c r="FS309" s="6"/>
      <c r="FT309" s="7">
        <f>ROUND(3000,2)</f>
        <v>3000</v>
      </c>
      <c r="FU309" s="6"/>
      <c r="FV309" s="6"/>
      <c r="FW309" s="6"/>
      <c r="FX309" s="6"/>
      <c r="FY309" s="7">
        <f>ROUND(80928.8199999999,2)</f>
        <v>80928.820000000007</v>
      </c>
    </row>
    <row r="310" spans="1:181" ht="26.4" x14ac:dyDescent="0.3">
      <c r="A310" s="4" t="s">
        <v>817</v>
      </c>
      <c r="B310" s="5"/>
      <c r="C310" s="5" t="s">
        <v>476</v>
      </c>
      <c r="D310" s="5" t="s">
        <v>818</v>
      </c>
      <c r="E310" s="5" t="s">
        <v>0</v>
      </c>
      <c r="F310" s="5" t="s">
        <v>0</v>
      </c>
      <c r="G310" s="5" t="s">
        <v>478</v>
      </c>
      <c r="H310" s="8">
        <f>ROUND(1403.85,2)</f>
        <v>1403.85</v>
      </c>
      <c r="I310" s="7">
        <f>ROUND(9841.5,2)</f>
        <v>9841.5</v>
      </c>
      <c r="J310" s="7">
        <f>ROUND(266,2)</f>
        <v>266</v>
      </c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7">
        <f>ROUND(8,2)</f>
        <v>8</v>
      </c>
      <c r="CI310" s="6"/>
      <c r="CJ310" s="6"/>
      <c r="CK310" s="6"/>
      <c r="CL310" s="6"/>
      <c r="CM310" s="6"/>
      <c r="CN310" s="6"/>
      <c r="CO310" s="6"/>
      <c r="CP310" s="6"/>
      <c r="CQ310" s="7">
        <f>ROUND(274,2)</f>
        <v>274</v>
      </c>
      <c r="CR310" s="7">
        <f>ROUND(9335.73,2)</f>
        <v>9335.73</v>
      </c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7">
        <f>ROUND(225,2)</f>
        <v>225</v>
      </c>
      <c r="FK310" s="6"/>
      <c r="FL310" s="6"/>
      <c r="FM310" s="6"/>
      <c r="FN310" s="7">
        <f>ROUND(280.77,2)</f>
        <v>280.77</v>
      </c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7">
        <f>ROUND(9841.5,2)</f>
        <v>9841.5</v>
      </c>
    </row>
    <row r="311" spans="1:181" x14ac:dyDescent="0.3">
      <c r="A311" s="4" t="s">
        <v>819</v>
      </c>
      <c r="B311" s="5" t="s">
        <v>1029</v>
      </c>
      <c r="C311" s="5" t="s">
        <v>181</v>
      </c>
      <c r="D311" s="5" t="s">
        <v>301</v>
      </c>
      <c r="E311" s="5" t="s">
        <v>329</v>
      </c>
      <c r="F311" s="5" t="s">
        <v>0</v>
      </c>
      <c r="G311" s="5" t="s">
        <v>183</v>
      </c>
      <c r="H311" s="9">
        <v>17.5</v>
      </c>
      <c r="I311" s="7">
        <f>ROUND(1680,2)</f>
        <v>1680</v>
      </c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7">
        <f>ROUND(96,2)</f>
        <v>96</v>
      </c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7">
        <f>ROUND(5,2)</f>
        <v>5</v>
      </c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7">
        <f>ROUND(101,2)</f>
        <v>101</v>
      </c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7">
        <f>ROUND(1680,2)</f>
        <v>1680</v>
      </c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7">
        <f>ROUND(1680,2)</f>
        <v>1680</v>
      </c>
    </row>
    <row r="312" spans="1:181" ht="26.4" x14ac:dyDescent="0.3">
      <c r="A312" s="4" t="s">
        <v>820</v>
      </c>
      <c r="B312" s="5"/>
      <c r="C312" s="5" t="s">
        <v>476</v>
      </c>
      <c r="D312" s="5" t="s">
        <v>821</v>
      </c>
      <c r="E312" s="5" t="s">
        <v>0</v>
      </c>
      <c r="F312" s="5" t="s">
        <v>0</v>
      </c>
      <c r="G312" s="5" t="s">
        <v>822</v>
      </c>
      <c r="H312" s="8">
        <f>ROUND(1397.44,2)</f>
        <v>1397.44</v>
      </c>
      <c r="I312" s="7">
        <f>ROUND(81168.18,2)</f>
        <v>81168.179999999993</v>
      </c>
      <c r="J312" s="7">
        <f>ROUND(1622,2)</f>
        <v>1622</v>
      </c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7">
        <f>ROUND(-19,2)</f>
        <v>-19</v>
      </c>
      <c r="AJ312" s="7">
        <f>ROUND(10,2)</f>
        <v>10</v>
      </c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7">
        <f>ROUND(16,2)</f>
        <v>16</v>
      </c>
      <c r="BX312" s="6"/>
      <c r="BY312" s="6"/>
      <c r="BZ312" s="6"/>
      <c r="CA312" s="6"/>
      <c r="CB312" s="6"/>
      <c r="CC312" s="6"/>
      <c r="CD312" s="6"/>
      <c r="CE312" s="6"/>
      <c r="CF312" s="7">
        <f>ROUND(24,2)</f>
        <v>24</v>
      </c>
      <c r="CG312" s="7">
        <f>ROUND(13,2)</f>
        <v>13</v>
      </c>
      <c r="CH312" s="7">
        <f>ROUND(48,2)</f>
        <v>48</v>
      </c>
      <c r="CI312" s="7">
        <f>ROUND(32,2)</f>
        <v>32</v>
      </c>
      <c r="CJ312" s="7">
        <f>ROUND(0,2)</f>
        <v>0</v>
      </c>
      <c r="CK312" s="6"/>
      <c r="CL312" s="6"/>
      <c r="CM312" s="6"/>
      <c r="CN312" s="7">
        <f>ROUND(80,2)</f>
        <v>80</v>
      </c>
      <c r="CO312" s="6"/>
      <c r="CP312" s="6"/>
      <c r="CQ312" s="7">
        <f>ROUND(1826,2)</f>
        <v>1826</v>
      </c>
      <c r="CR312" s="7">
        <f>ROUND(69243.13,2)</f>
        <v>69243.13</v>
      </c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7">
        <f>ROUND(-663.79,2)</f>
        <v>-663.79</v>
      </c>
      <c r="DS312" s="7">
        <f>ROUND(3750,2)</f>
        <v>3750</v>
      </c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7">
        <f>ROUND(279.49,2)</f>
        <v>279.49</v>
      </c>
      <c r="FH312" s="6"/>
      <c r="FI312" s="6"/>
      <c r="FJ312" s="7">
        <f>ROUND(3353.86,2)</f>
        <v>3353.86</v>
      </c>
      <c r="FK312" s="6"/>
      <c r="FL312" s="7">
        <f>ROUND(838.47,2)</f>
        <v>838.47</v>
      </c>
      <c r="FM312" s="7">
        <f>ROUND(454.17,2)</f>
        <v>454.17</v>
      </c>
      <c r="FN312" s="7">
        <f>ROUND(558.98,2)</f>
        <v>558.98</v>
      </c>
      <c r="FO312" s="7">
        <f>ROUND(1117.95,2)</f>
        <v>1117.95</v>
      </c>
      <c r="FP312" s="7">
        <f>ROUND(0,2)</f>
        <v>0</v>
      </c>
      <c r="FQ312" s="6"/>
      <c r="FR312" s="6"/>
      <c r="FS312" s="6"/>
      <c r="FT312" s="6"/>
      <c r="FU312" s="6"/>
      <c r="FV312" s="7">
        <f>ROUND(2235.92,2)</f>
        <v>2235.92</v>
      </c>
      <c r="FW312" s="6"/>
      <c r="FX312" s="6"/>
      <c r="FY312" s="7">
        <f>ROUND(81168.18,2)</f>
        <v>81168.179999999993</v>
      </c>
    </row>
    <row r="313" spans="1:181" x14ac:dyDescent="0.3">
      <c r="A313" s="4" t="s">
        <v>823</v>
      </c>
      <c r="B313" s="5" t="s">
        <v>1029</v>
      </c>
      <c r="C313" s="5" t="s">
        <v>181</v>
      </c>
      <c r="D313" s="5" t="s">
        <v>461</v>
      </c>
      <c r="E313" s="5" t="s">
        <v>0</v>
      </c>
      <c r="F313" s="5" t="s">
        <v>0</v>
      </c>
      <c r="G313" s="5" t="s">
        <v>183</v>
      </c>
      <c r="H313" s="8">
        <v>33.880000000000003</v>
      </c>
      <c r="I313" s="7">
        <f>ROUND(87346.8999999999,2)</f>
        <v>87346.9</v>
      </c>
      <c r="J313" s="6"/>
      <c r="K313" s="6"/>
      <c r="L313" s="6"/>
      <c r="M313" s="6"/>
      <c r="N313" s="7">
        <f>ROUND(1491.57,2)</f>
        <v>1491.57</v>
      </c>
      <c r="O313" s="6"/>
      <c r="P313" s="6"/>
      <c r="Q313" s="7">
        <f>ROUND(210.87,2)</f>
        <v>210.87</v>
      </c>
      <c r="R313" s="6"/>
      <c r="S313" s="6"/>
      <c r="T313" s="6"/>
      <c r="U313" s="6"/>
      <c r="V313" s="6"/>
      <c r="W313" s="7">
        <f>ROUND(3.5,2)</f>
        <v>3.5</v>
      </c>
      <c r="X313" s="6"/>
      <c r="Y313" s="6"/>
      <c r="Z313" s="6"/>
      <c r="AA313" s="6"/>
      <c r="AB313" s="6"/>
      <c r="AC313" s="6"/>
      <c r="AD313" s="6"/>
      <c r="AE313" s="7">
        <f>ROUND(108.539999999999,2)</f>
        <v>108.54</v>
      </c>
      <c r="AF313" s="6"/>
      <c r="AG313" s="7">
        <f>ROUND(2.7,2)</f>
        <v>2.7</v>
      </c>
      <c r="AH313" s="6"/>
      <c r="AI313" s="6"/>
      <c r="AJ313" s="6"/>
      <c r="AK313" s="6"/>
      <c r="AL313" s="6"/>
      <c r="AM313" s="6"/>
      <c r="AN313" s="6"/>
      <c r="AO313" s="6"/>
      <c r="AP313" s="7">
        <f>ROUND(307.539999999999,2)</f>
        <v>307.54000000000002</v>
      </c>
      <c r="AQ313" s="6"/>
      <c r="AR313" s="7">
        <f>ROUND(11.48,2)</f>
        <v>11.48</v>
      </c>
      <c r="AS313" s="6"/>
      <c r="AT313" s="6"/>
      <c r="AU313" s="7">
        <f>ROUND(68,2)</f>
        <v>68</v>
      </c>
      <c r="AV313" s="7">
        <f>ROUND(8,2)</f>
        <v>8</v>
      </c>
      <c r="AW313" s="7">
        <f>ROUND(31.17,2)</f>
        <v>31.17</v>
      </c>
      <c r="AX313" s="7">
        <f>ROUND(2.83,2)</f>
        <v>2.83</v>
      </c>
      <c r="AY313" s="7">
        <f>ROUND(64.08,2)</f>
        <v>64.08</v>
      </c>
      <c r="AZ313" s="7">
        <f>ROUND(9.92,2)</f>
        <v>9.92</v>
      </c>
      <c r="BA313" s="6"/>
      <c r="BB313" s="7">
        <f>ROUND(40,2)</f>
        <v>40</v>
      </c>
      <c r="BC313" s="6"/>
      <c r="BD313" s="7">
        <f>ROUND(8,2)</f>
        <v>8</v>
      </c>
      <c r="BE313" s="7">
        <f>ROUND(0.92,2)</f>
        <v>0.92</v>
      </c>
      <c r="BF313" s="6"/>
      <c r="BG313" s="6"/>
      <c r="BH313" s="6"/>
      <c r="BI313" s="6"/>
      <c r="BJ313" s="6"/>
      <c r="BK313" s="6"/>
      <c r="BL313" s="6"/>
      <c r="BM313" s="6"/>
      <c r="BN313" s="6"/>
      <c r="BO313" s="7">
        <f>ROUND(2,2)</f>
        <v>2</v>
      </c>
      <c r="BP313" s="6"/>
      <c r="BQ313" s="7">
        <f>ROUND(30,2)</f>
        <v>30</v>
      </c>
      <c r="BR313" s="6"/>
      <c r="BS313" s="6"/>
      <c r="BT313" s="6"/>
      <c r="BU313" s="6"/>
      <c r="BV313" s="6"/>
      <c r="BW313" s="6"/>
      <c r="BX313" s="6"/>
      <c r="BY313" s="6"/>
      <c r="BZ313" s="6"/>
      <c r="CA313" s="7">
        <f>ROUND(8,2)</f>
        <v>8</v>
      </c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7">
        <f>ROUND(16,2)</f>
        <v>16</v>
      </c>
      <c r="CQ313" s="7">
        <f>ROUND(2425.11999999999,2)</f>
        <v>2425.12</v>
      </c>
      <c r="CR313" s="6"/>
      <c r="CS313" s="6"/>
      <c r="CT313" s="6"/>
      <c r="CU313" s="6"/>
      <c r="CV313" s="7">
        <f>ROUND(48819.3099999999,2)</f>
        <v>48819.31</v>
      </c>
      <c r="CW313" s="6"/>
      <c r="CX313" s="6"/>
      <c r="CY313" s="7">
        <f>ROUND(10370.78,2)</f>
        <v>10370.780000000001</v>
      </c>
      <c r="CZ313" s="6"/>
      <c r="DA313" s="6"/>
      <c r="DB313" s="6"/>
      <c r="DC313" s="6"/>
      <c r="DD313" s="6"/>
      <c r="DE313" s="7">
        <f>ROUND(177.87,2)</f>
        <v>177.87</v>
      </c>
      <c r="DF313" s="6"/>
      <c r="DG313" s="6"/>
      <c r="DH313" s="6"/>
      <c r="DI313" s="6"/>
      <c r="DJ313" s="6"/>
      <c r="DK313" s="6"/>
      <c r="DL313" s="6"/>
      <c r="DM313" s="6"/>
      <c r="DN313" s="7">
        <f>ROUND(3557.15,2)</f>
        <v>3557.15</v>
      </c>
      <c r="DO313" s="6"/>
      <c r="DP313" s="7">
        <f>ROUND(130.85,2)</f>
        <v>130.85</v>
      </c>
      <c r="DQ313" s="6"/>
      <c r="DR313" s="6"/>
      <c r="DS313" s="6"/>
      <c r="DT313" s="6"/>
      <c r="DU313" s="6"/>
      <c r="DV313" s="6"/>
      <c r="DW313" s="6"/>
      <c r="DX313" s="6"/>
      <c r="DY313" s="7">
        <f>ROUND(9996.23,2)</f>
        <v>9996.23</v>
      </c>
      <c r="DZ313" s="6"/>
      <c r="EA313" s="7">
        <f>ROUND(552.59,2)</f>
        <v>552.59</v>
      </c>
      <c r="EB313" s="6"/>
      <c r="EC313" s="6"/>
      <c r="ED313" s="7">
        <f>ROUND(2210.38,2)</f>
        <v>2210.38</v>
      </c>
      <c r="EE313" s="7">
        <f>ROUND(396.64,2)</f>
        <v>396.64</v>
      </c>
      <c r="EF313" s="7">
        <f>ROUND(1000.25,2)</f>
        <v>1000.25</v>
      </c>
      <c r="EG313" s="7">
        <f>ROUND(136.22,2)</f>
        <v>136.22</v>
      </c>
      <c r="EH313" s="7">
        <f>ROUND(2069.85,2)</f>
        <v>2069.85</v>
      </c>
      <c r="EI313" s="7">
        <f>ROUND(491.78,2)</f>
        <v>491.78</v>
      </c>
      <c r="EJ313" s="6"/>
      <c r="EK313" s="7">
        <f>ROUND(1291.28,2)</f>
        <v>1291.28</v>
      </c>
      <c r="EL313" s="6"/>
      <c r="EM313" s="6"/>
      <c r="EN313" s="7">
        <f>ROUND(256.72,2)</f>
        <v>256.72000000000003</v>
      </c>
      <c r="EO313" s="7">
        <f>ROUND(30.54,2)</f>
        <v>30.54</v>
      </c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7">
        <f>ROUND(64.18,2)</f>
        <v>64.180000000000007</v>
      </c>
      <c r="FC313" s="6"/>
      <c r="FD313" s="7">
        <f>ROUND(985.2,2)</f>
        <v>985.2</v>
      </c>
      <c r="FE313" s="6"/>
      <c r="FF313" s="6"/>
      <c r="FG313" s="6"/>
      <c r="FH313" s="6"/>
      <c r="FI313" s="6"/>
      <c r="FJ313" s="7">
        <f>ROUND(1275,2)</f>
        <v>1275</v>
      </c>
      <c r="FK313" s="6"/>
      <c r="FL313" s="6"/>
      <c r="FM313" s="6"/>
      <c r="FN313" s="6"/>
      <c r="FO313" s="6"/>
      <c r="FP313" s="6"/>
      <c r="FQ313" s="6"/>
      <c r="FR313" s="6"/>
      <c r="FS313" s="6"/>
      <c r="FT313" s="7">
        <f>ROUND(3000,2)</f>
        <v>3000</v>
      </c>
      <c r="FU313" s="6"/>
      <c r="FV313" s="6"/>
      <c r="FW313" s="6"/>
      <c r="FX313" s="7">
        <f>ROUND(534.08,2)</f>
        <v>534.08000000000004</v>
      </c>
      <c r="FY313" s="7">
        <f>ROUND(87346.8999999999,2)</f>
        <v>87346.9</v>
      </c>
    </row>
    <row r="314" spans="1:181" x14ac:dyDescent="0.3">
      <c r="A314" s="4" t="s">
        <v>824</v>
      </c>
      <c r="B314" s="5" t="s">
        <v>1029</v>
      </c>
      <c r="C314" s="5" t="s">
        <v>181</v>
      </c>
      <c r="D314" s="5" t="s">
        <v>725</v>
      </c>
      <c r="E314" s="5" t="s">
        <v>0</v>
      </c>
      <c r="F314" s="5" t="s">
        <v>0</v>
      </c>
      <c r="G314" s="5" t="s">
        <v>183</v>
      </c>
      <c r="H314" s="8">
        <v>33.880000000000003</v>
      </c>
      <c r="I314" s="7">
        <f>ROUND(54792.9399999999,2)</f>
        <v>54792.94</v>
      </c>
      <c r="J314" s="6"/>
      <c r="K314" s="6"/>
      <c r="L314" s="6"/>
      <c r="M314" s="6"/>
      <c r="N314" s="7">
        <f>ROUND(1355.63,2)</f>
        <v>1355.63</v>
      </c>
      <c r="O314" s="6"/>
      <c r="P314" s="6"/>
      <c r="Q314" s="7">
        <f>ROUND(15.5,2)</f>
        <v>15.5</v>
      </c>
      <c r="R314" s="6"/>
      <c r="S314" s="6"/>
      <c r="T314" s="6"/>
      <c r="U314" s="6"/>
      <c r="V314" s="6"/>
      <c r="W314" s="6"/>
      <c r="X314" s="7">
        <f>ROUND(3.84,2)</f>
        <v>3.84</v>
      </c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7">
        <f>ROUND(21.58,2)</f>
        <v>21.58</v>
      </c>
      <c r="AQ314" s="6"/>
      <c r="AR314" s="7">
        <f>ROUND(3.08,2)</f>
        <v>3.08</v>
      </c>
      <c r="AS314" s="6"/>
      <c r="AT314" s="6"/>
      <c r="AU314" s="7">
        <f>ROUND(40,2)</f>
        <v>40</v>
      </c>
      <c r="AV314" s="6"/>
      <c r="AW314" s="7">
        <f>ROUND(5,2)</f>
        <v>5</v>
      </c>
      <c r="AX314" s="6"/>
      <c r="AY314" s="7">
        <f>ROUND(90,2)</f>
        <v>90</v>
      </c>
      <c r="AZ314" s="6"/>
      <c r="BA314" s="6"/>
      <c r="BB314" s="6"/>
      <c r="BC314" s="6"/>
      <c r="BD314" s="7">
        <f>ROUND(8,2)</f>
        <v>8</v>
      </c>
      <c r="BE314" s="7">
        <f>ROUND(0.77,2)</f>
        <v>0.77</v>
      </c>
      <c r="BF314" s="6"/>
      <c r="BG314" s="6"/>
      <c r="BH314" s="6"/>
      <c r="BI314" s="6"/>
      <c r="BJ314" s="6"/>
      <c r="BK314" s="6"/>
      <c r="BL314" s="6"/>
      <c r="BM314" s="6"/>
      <c r="BN314" s="6"/>
      <c r="BO314" s="7">
        <f>ROUND(40,2)</f>
        <v>40</v>
      </c>
      <c r="BP314" s="6"/>
      <c r="BQ314" s="6"/>
      <c r="BR314" s="6"/>
      <c r="BS314" s="6"/>
      <c r="BT314" s="6"/>
      <c r="BU314" s="7">
        <f>ROUND(10,2)</f>
        <v>10</v>
      </c>
      <c r="BV314" s="6"/>
      <c r="BW314" s="6"/>
      <c r="BX314" s="6"/>
      <c r="BY314" s="7">
        <f>ROUND(10,2)</f>
        <v>10</v>
      </c>
      <c r="BZ314" s="6"/>
      <c r="CA314" s="7">
        <f>ROUND(5,2)</f>
        <v>5</v>
      </c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7">
        <f>ROUND(1608.4,2)</f>
        <v>1608.4</v>
      </c>
      <c r="CR314" s="6"/>
      <c r="CS314" s="6"/>
      <c r="CT314" s="6"/>
      <c r="CU314" s="6"/>
      <c r="CV314" s="7">
        <f>ROUND(44178.4699999999,2)</f>
        <v>44178.47</v>
      </c>
      <c r="CW314" s="6"/>
      <c r="CX314" s="6"/>
      <c r="CY314" s="7">
        <f>ROUND(768.41,2)</f>
        <v>768.41</v>
      </c>
      <c r="CZ314" s="6"/>
      <c r="DA314" s="6"/>
      <c r="DB314" s="6"/>
      <c r="DC314" s="6"/>
      <c r="DD314" s="6"/>
      <c r="DE314" s="6"/>
      <c r="DF314" s="7">
        <f>ROUND(126.15,2)</f>
        <v>126.15</v>
      </c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7">
        <f>ROUND(708.75,2)</f>
        <v>708.75</v>
      </c>
      <c r="DZ314" s="6"/>
      <c r="EA314" s="7">
        <f>ROUND(152.69,2)</f>
        <v>152.69</v>
      </c>
      <c r="EB314" s="6"/>
      <c r="EC314" s="6"/>
      <c r="ED314" s="7">
        <f>ROUND(1304.45,2)</f>
        <v>1304.45</v>
      </c>
      <c r="EE314" s="6"/>
      <c r="EF314" s="7">
        <f>ROUND(160.45,2)</f>
        <v>160.44999999999999</v>
      </c>
      <c r="EG314" s="6"/>
      <c r="EH314" s="7">
        <f>ROUND(2947.5,2)</f>
        <v>2947.5</v>
      </c>
      <c r="EI314" s="6"/>
      <c r="EJ314" s="6"/>
      <c r="EK314" s="6"/>
      <c r="EL314" s="6"/>
      <c r="EM314" s="6"/>
      <c r="EN314" s="7">
        <f>ROUND(256.72,2)</f>
        <v>256.72000000000003</v>
      </c>
      <c r="EO314" s="7">
        <f>ROUND(25.45,2)</f>
        <v>25.45</v>
      </c>
      <c r="EP314" s="6"/>
      <c r="EQ314" s="6"/>
      <c r="ER314" s="7">
        <f>ROUND(279.6,2)</f>
        <v>279.60000000000002</v>
      </c>
      <c r="ES314" s="6"/>
      <c r="ET314" s="6"/>
      <c r="EU314" s="6"/>
      <c r="EV314" s="6"/>
      <c r="EW314" s="6"/>
      <c r="EX314" s="6"/>
      <c r="EY314" s="6"/>
      <c r="EZ314" s="6"/>
      <c r="FA314" s="6"/>
      <c r="FB314" s="7">
        <f>ROUND(1283.6,2)</f>
        <v>1283.5999999999999</v>
      </c>
      <c r="FC314" s="6"/>
      <c r="FD314" s="6"/>
      <c r="FE314" s="6"/>
      <c r="FF314" s="7">
        <f>ROUND(325.7,2)</f>
        <v>325.7</v>
      </c>
      <c r="FG314" s="6"/>
      <c r="FH314" s="6"/>
      <c r="FI314" s="6"/>
      <c r="FJ314" s="7">
        <f>ROUND(775,2)</f>
        <v>775</v>
      </c>
      <c r="FK314" s="6"/>
      <c r="FL314" s="6"/>
      <c r="FM314" s="6"/>
      <c r="FN314" s="6"/>
      <c r="FO314" s="6"/>
      <c r="FP314" s="6"/>
      <c r="FQ314" s="6"/>
      <c r="FR314" s="6"/>
      <c r="FS314" s="6"/>
      <c r="FT314" s="7">
        <f>ROUND(1500,2)</f>
        <v>1500</v>
      </c>
      <c r="FU314" s="6"/>
      <c r="FV314" s="6"/>
      <c r="FW314" s="6"/>
      <c r="FX314" s="6"/>
      <c r="FY314" s="7">
        <f>ROUND(54792.9399999999,2)</f>
        <v>54792.94</v>
      </c>
    </row>
    <row r="315" spans="1:181" ht="26.4" x14ac:dyDescent="0.3">
      <c r="A315" s="4" t="s">
        <v>825</v>
      </c>
      <c r="B315" s="5"/>
      <c r="C315" s="5" t="s">
        <v>476</v>
      </c>
      <c r="D315" s="5" t="s">
        <v>826</v>
      </c>
      <c r="E315" s="5" t="s">
        <v>0</v>
      </c>
      <c r="F315" s="5" t="s">
        <v>0</v>
      </c>
      <c r="G315" s="5" t="s">
        <v>478</v>
      </c>
      <c r="H315" s="8">
        <f>ROUND(1445.97,2)</f>
        <v>1445.97</v>
      </c>
      <c r="I315" s="7">
        <f>ROUND(76607.09,2)</f>
        <v>76607.09</v>
      </c>
      <c r="J315" s="7">
        <f>ROUND(1403.25,2)</f>
        <v>1403.25</v>
      </c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7">
        <f>ROUND(34.5,2)</f>
        <v>34.5</v>
      </c>
      <c r="AI315" s="7">
        <f>ROUND(-8,2)</f>
        <v>-8</v>
      </c>
      <c r="AJ315" s="7">
        <f>ROUND(15,2)</f>
        <v>15</v>
      </c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7">
        <f>ROUND(8,2)</f>
        <v>8</v>
      </c>
      <c r="BX315" s="6"/>
      <c r="BY315" s="6"/>
      <c r="BZ315" s="6"/>
      <c r="CA315" s="6"/>
      <c r="CB315" s="6"/>
      <c r="CC315" s="6"/>
      <c r="CD315" s="6"/>
      <c r="CE315" s="6"/>
      <c r="CF315" s="6"/>
      <c r="CG315" s="7">
        <f>ROUND(8,2)</f>
        <v>8</v>
      </c>
      <c r="CH315" s="7">
        <f>ROUND(56,2)</f>
        <v>56</v>
      </c>
      <c r="CI315" s="7">
        <f>ROUND(32,2)</f>
        <v>32</v>
      </c>
      <c r="CJ315" s="6"/>
      <c r="CK315" s="6"/>
      <c r="CL315" s="6"/>
      <c r="CM315" s="6"/>
      <c r="CN315" s="7">
        <f>ROUND(40,2)</f>
        <v>40</v>
      </c>
      <c r="CO315" s="6"/>
      <c r="CP315" s="6"/>
      <c r="CQ315" s="7">
        <f>ROUND(1588.75,2)</f>
        <v>1588.75</v>
      </c>
      <c r="CR315" s="7">
        <f>ROUND(63740.23,2)</f>
        <v>63740.23</v>
      </c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7">
        <f>ROUND(1247.18,2)</f>
        <v>1247.18</v>
      </c>
      <c r="DR315" s="7">
        <f>ROUND(-289.19,2)</f>
        <v>-289.19</v>
      </c>
      <c r="DS315" s="7">
        <f>ROUND(5625,2)</f>
        <v>5625</v>
      </c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7">
        <f>ROUND(500,2)</f>
        <v>500</v>
      </c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7">
        <f>ROUND(3470.33,2)</f>
        <v>3470.33</v>
      </c>
      <c r="FK315" s="6"/>
      <c r="FL315" s="6"/>
      <c r="FM315" s="6"/>
      <c r="FN315" s="7">
        <f>ROUND(867.569999999999,2)</f>
        <v>867.57</v>
      </c>
      <c r="FO315" s="7">
        <f>ROUND(289.19,2)</f>
        <v>289.19</v>
      </c>
      <c r="FP315" s="6"/>
      <c r="FQ315" s="6"/>
      <c r="FR315" s="6"/>
      <c r="FS315" s="6"/>
      <c r="FT315" s="6"/>
      <c r="FU315" s="6"/>
      <c r="FV315" s="7">
        <f>ROUND(1156.78,2)</f>
        <v>1156.78</v>
      </c>
      <c r="FW315" s="6"/>
      <c r="FX315" s="6"/>
      <c r="FY315" s="7">
        <f>ROUND(76607.09,2)</f>
        <v>76607.09</v>
      </c>
    </row>
    <row r="316" spans="1:181" ht="26.4" x14ac:dyDescent="0.3">
      <c r="A316" s="4" t="s">
        <v>827</v>
      </c>
      <c r="B316" s="5"/>
      <c r="C316" s="5" t="s">
        <v>311</v>
      </c>
      <c r="D316" s="5" t="s">
        <v>828</v>
      </c>
      <c r="E316" s="5" t="s">
        <v>829</v>
      </c>
      <c r="F316" s="5" t="s">
        <v>0</v>
      </c>
      <c r="G316" s="5" t="s">
        <v>318</v>
      </c>
      <c r="H316" s="8">
        <f>ROUND(31.4665,2)</f>
        <v>31.47</v>
      </c>
      <c r="I316" s="7">
        <f>ROUND(45854.0999999999,2)</f>
        <v>45854.1</v>
      </c>
      <c r="J316" s="7">
        <f>ROUND(632,2)</f>
        <v>632</v>
      </c>
      <c r="K316" s="7">
        <f>ROUND(234,2)</f>
        <v>234</v>
      </c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7">
        <f>ROUND(8,2)</f>
        <v>8</v>
      </c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7">
        <f>ROUND(16,2)</f>
        <v>16</v>
      </c>
      <c r="CI316" s="7">
        <f>ROUND(32,2)</f>
        <v>32</v>
      </c>
      <c r="CJ316" s="6"/>
      <c r="CK316" s="6"/>
      <c r="CL316" s="7">
        <f>ROUND(279.5,2)</f>
        <v>279.5</v>
      </c>
      <c r="CM316" s="6"/>
      <c r="CN316" s="7">
        <f>ROUND(72,2)</f>
        <v>72</v>
      </c>
      <c r="CO316" s="6"/>
      <c r="CP316" s="7">
        <f>ROUND(64,2)</f>
        <v>64</v>
      </c>
      <c r="CQ316" s="7">
        <f>ROUND(1337.5,2)</f>
        <v>1337.5</v>
      </c>
      <c r="CR316" s="7">
        <f>ROUND(19886.84,2)</f>
        <v>19886.84</v>
      </c>
      <c r="CS316" s="7">
        <f>ROUND(11044.78,2)</f>
        <v>11044.78</v>
      </c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7">
        <f>ROUND(86.03,2)</f>
        <v>86.03</v>
      </c>
      <c r="EX316" s="6"/>
      <c r="EY316" s="6"/>
      <c r="EZ316" s="6"/>
      <c r="FA316" s="6"/>
      <c r="FB316" s="6"/>
      <c r="FC316" s="6"/>
      <c r="FD316" s="6"/>
      <c r="FE316" s="6"/>
      <c r="FF316" s="6"/>
      <c r="FG316" s="7">
        <f>ROUND(251.73,2)</f>
        <v>251.73</v>
      </c>
      <c r="FH316" s="6"/>
      <c r="FI316" s="6"/>
      <c r="FJ316" s="6"/>
      <c r="FK316" s="6"/>
      <c r="FL316" s="6"/>
      <c r="FM316" s="6"/>
      <c r="FN316" s="7">
        <f>ROUND(503.46,2)</f>
        <v>503.46</v>
      </c>
      <c r="FO316" s="7">
        <f>ROUND(1006.93,2)</f>
        <v>1006.93</v>
      </c>
      <c r="FP316" s="6"/>
      <c r="FQ316" s="6"/>
      <c r="FR316" s="6"/>
      <c r="FS316" s="7">
        <f>ROUND(8794.89,2)</f>
        <v>8794.89</v>
      </c>
      <c r="FT316" s="6"/>
      <c r="FU316" s="6"/>
      <c r="FV316" s="7">
        <f>ROUND(2265.58,2)</f>
        <v>2265.58</v>
      </c>
      <c r="FW316" s="6"/>
      <c r="FX316" s="7">
        <f>ROUND(2013.86,2)</f>
        <v>2013.86</v>
      </c>
      <c r="FY316" s="7">
        <f>ROUND(45854.0999999999,2)</f>
        <v>45854.1</v>
      </c>
    </row>
    <row r="317" spans="1:181" x14ac:dyDescent="0.3">
      <c r="A317" s="4" t="s">
        <v>830</v>
      </c>
      <c r="B317" s="5" t="s">
        <v>1029</v>
      </c>
      <c r="C317" s="5" t="s">
        <v>181</v>
      </c>
      <c r="D317" s="5" t="s">
        <v>461</v>
      </c>
      <c r="E317" s="5" t="s">
        <v>831</v>
      </c>
      <c r="F317" s="5" t="s">
        <v>0</v>
      </c>
      <c r="G317" s="5" t="s">
        <v>183</v>
      </c>
      <c r="H317" s="8">
        <v>32.090000000000003</v>
      </c>
      <c r="I317" s="7">
        <f>ROUND(46241.1,2)</f>
        <v>46241.1</v>
      </c>
      <c r="J317" s="6"/>
      <c r="K317" s="6"/>
      <c r="L317" s="6"/>
      <c r="M317" s="6"/>
      <c r="N317" s="7">
        <f>ROUND(823.88,2)</f>
        <v>823.88</v>
      </c>
      <c r="O317" s="6"/>
      <c r="P317" s="6"/>
      <c r="Q317" s="7">
        <f>ROUND(109.619999999999,2)</f>
        <v>109.62</v>
      </c>
      <c r="R317" s="6"/>
      <c r="S317" s="6"/>
      <c r="T317" s="6"/>
      <c r="U317" s="6"/>
      <c r="V317" s="7">
        <f>ROUND(3.87,2)</f>
        <v>3.87</v>
      </c>
      <c r="W317" s="6"/>
      <c r="X317" s="7">
        <f>ROUND(0.2,2)</f>
        <v>0.2</v>
      </c>
      <c r="Y317" s="7">
        <f>ROUND(0.9,2)</f>
        <v>0.9</v>
      </c>
      <c r="Z317" s="6"/>
      <c r="AA317" s="6"/>
      <c r="AB317" s="6"/>
      <c r="AC317" s="6"/>
      <c r="AD317" s="6"/>
      <c r="AE317" s="7">
        <f>ROUND(106.83,2)</f>
        <v>106.83</v>
      </c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7">
        <f>ROUND(124.809999999999,2)</f>
        <v>124.81</v>
      </c>
      <c r="AQ317" s="6"/>
      <c r="AR317" s="7">
        <f>ROUND(14.1299999999999,2)</f>
        <v>14.13</v>
      </c>
      <c r="AS317" s="6"/>
      <c r="AT317" s="6"/>
      <c r="AU317" s="7">
        <f>ROUND(50,2)</f>
        <v>50</v>
      </c>
      <c r="AV317" s="6"/>
      <c r="AW317" s="7">
        <f>ROUND(16,2)</f>
        <v>16</v>
      </c>
      <c r="AX317" s="6"/>
      <c r="AY317" s="7">
        <f>ROUND(46.08,2)</f>
        <v>46.08</v>
      </c>
      <c r="AZ317" s="7">
        <f>ROUND(9.92,2)</f>
        <v>9.92</v>
      </c>
      <c r="BA317" s="6"/>
      <c r="BB317" s="6"/>
      <c r="BC317" s="6"/>
      <c r="BD317" s="7">
        <f>ROUND(8,2)</f>
        <v>8</v>
      </c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7">
        <f>ROUND(10.5,2)</f>
        <v>10.5</v>
      </c>
      <c r="BP317" s="6"/>
      <c r="BQ317" s="6"/>
      <c r="BR317" s="6"/>
      <c r="BS317" s="7">
        <f>ROUND(16,2)</f>
        <v>16</v>
      </c>
      <c r="BT317" s="6"/>
      <c r="BU317" s="6"/>
      <c r="BV317" s="6"/>
      <c r="BW317" s="6"/>
      <c r="BX317" s="6"/>
      <c r="BY317" s="6"/>
      <c r="BZ317" s="7">
        <f>ROUND(24,2)</f>
        <v>24</v>
      </c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7">
        <f>ROUND(24,2)</f>
        <v>24</v>
      </c>
      <c r="CQ317" s="7">
        <f>ROUND(1388.74,2)</f>
        <v>1388.74</v>
      </c>
      <c r="CR317" s="6"/>
      <c r="CS317" s="6"/>
      <c r="CT317" s="6"/>
      <c r="CU317" s="6"/>
      <c r="CV317" s="7">
        <f>ROUND(26640.8899999999,2)</f>
        <v>26640.89</v>
      </c>
      <c r="CW317" s="6"/>
      <c r="CX317" s="6"/>
      <c r="CY317" s="7">
        <f>ROUND(5319.55999999999,2)</f>
        <v>5319.56</v>
      </c>
      <c r="CZ317" s="6"/>
      <c r="DA317" s="6"/>
      <c r="DB317" s="6"/>
      <c r="DC317" s="6"/>
      <c r="DD317" s="7">
        <f>ROUND(124.19,2)</f>
        <v>124.19</v>
      </c>
      <c r="DE317" s="6"/>
      <c r="DF317" s="7">
        <f>ROUND(6.42,2)</f>
        <v>6.42</v>
      </c>
      <c r="DG317" s="7">
        <f>ROUND(43.32,2)</f>
        <v>43.32</v>
      </c>
      <c r="DH317" s="6"/>
      <c r="DI317" s="6"/>
      <c r="DJ317" s="6"/>
      <c r="DK317" s="6"/>
      <c r="DL317" s="6"/>
      <c r="DM317" s="6"/>
      <c r="DN317" s="7">
        <f>ROUND(3447.38,2)</f>
        <v>3447.38</v>
      </c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7">
        <f>ROUND(4005.5,2)</f>
        <v>4005.5</v>
      </c>
      <c r="DZ317" s="6"/>
      <c r="EA317" s="7">
        <f>ROUND(683.22,2)</f>
        <v>683.22</v>
      </c>
      <c r="EB317" s="6"/>
      <c r="EC317" s="6"/>
      <c r="ED317" s="7">
        <f>ROUND(1614.1,2)</f>
        <v>1614.1</v>
      </c>
      <c r="EE317" s="6"/>
      <c r="EF317" s="7">
        <f>ROUND(513.44,2)</f>
        <v>513.44000000000005</v>
      </c>
      <c r="EG317" s="6"/>
      <c r="EH317" s="7">
        <f>ROUND(1478.70999999999,2)</f>
        <v>1478.71</v>
      </c>
      <c r="EI317" s="7">
        <f>ROUND(477.5,2)</f>
        <v>477.5</v>
      </c>
      <c r="EJ317" s="6"/>
      <c r="EK317" s="6"/>
      <c r="EL317" s="6"/>
      <c r="EM317" s="6"/>
      <c r="EN317" s="7">
        <f>ROUND(256.72,2)</f>
        <v>256.72000000000003</v>
      </c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7">
        <f>ROUND(336.95,2)</f>
        <v>336.95</v>
      </c>
      <c r="FC317" s="6"/>
      <c r="FD317" s="6"/>
      <c r="FE317" s="6"/>
      <c r="FF317" s="6"/>
      <c r="FG317" s="6"/>
      <c r="FH317" s="6"/>
      <c r="FI317" s="6"/>
      <c r="FJ317" s="7">
        <f>ROUND(500,2)</f>
        <v>500</v>
      </c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7">
        <f>ROUND(793.2,2)</f>
        <v>793.2</v>
      </c>
      <c r="FY317" s="7">
        <f>ROUND(46241.0999999999,2)</f>
        <v>46241.1</v>
      </c>
    </row>
    <row r="318" spans="1:181" x14ac:dyDescent="0.3">
      <c r="A318" s="4" t="s">
        <v>832</v>
      </c>
      <c r="B318" s="5" t="s">
        <v>1029</v>
      </c>
      <c r="C318" s="5" t="s">
        <v>181</v>
      </c>
      <c r="D318" s="5" t="s">
        <v>734</v>
      </c>
      <c r="E318" s="5" t="s">
        <v>833</v>
      </c>
      <c r="F318" s="5" t="s">
        <v>0</v>
      </c>
      <c r="G318" s="5" t="s">
        <v>183</v>
      </c>
      <c r="H318" s="8">
        <v>33.380000000000003</v>
      </c>
      <c r="I318" s="7">
        <f>ROUND(57595.7599999999,2)</f>
        <v>57595.76</v>
      </c>
      <c r="J318" s="6"/>
      <c r="K318" s="6"/>
      <c r="L318" s="6"/>
      <c r="M318" s="6"/>
      <c r="N318" s="7">
        <f>ROUND(639.27,2)</f>
        <v>639.27</v>
      </c>
      <c r="O318" s="6"/>
      <c r="P318" s="6"/>
      <c r="Q318" s="7">
        <f>ROUND(136.23,2)</f>
        <v>136.22999999999999</v>
      </c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7">
        <f>ROUND(544,2)</f>
        <v>544</v>
      </c>
      <c r="AF318" s="6"/>
      <c r="AG318" s="7">
        <f>ROUND(11.42,2)</f>
        <v>11.42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7">
        <f>ROUND(52,2)</f>
        <v>52</v>
      </c>
      <c r="AV318" s="6"/>
      <c r="AW318" s="7">
        <f>ROUND(32,2)</f>
        <v>32</v>
      </c>
      <c r="AX318" s="6"/>
      <c r="AY318" s="7">
        <f>ROUND(200.73,2)</f>
        <v>200.73</v>
      </c>
      <c r="AZ318" s="7">
        <f>ROUND(7.27,2)</f>
        <v>7.27</v>
      </c>
      <c r="BA318" s="6"/>
      <c r="BB318" s="6"/>
      <c r="BC318" s="6"/>
      <c r="BD318" s="7">
        <f>ROUND(8,2)</f>
        <v>8</v>
      </c>
      <c r="BE318" s="6"/>
      <c r="BF318" s="6"/>
      <c r="BG318" s="6"/>
      <c r="BH318" s="7">
        <f>ROUND(8,2)</f>
        <v>8</v>
      </c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7">
        <f>ROUND(8,2)</f>
        <v>8</v>
      </c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7">
        <f>ROUND(32,2)</f>
        <v>32</v>
      </c>
      <c r="CQ318" s="7">
        <f>ROUND(1678.92,2)</f>
        <v>1678.92</v>
      </c>
      <c r="CR318" s="6"/>
      <c r="CS318" s="6"/>
      <c r="CT318" s="6"/>
      <c r="CU318" s="6"/>
      <c r="CV318" s="7">
        <f>ROUND(20514.17,2)</f>
        <v>20514.169999999998</v>
      </c>
      <c r="CW318" s="6"/>
      <c r="CX318" s="6"/>
      <c r="CY318" s="7">
        <f>ROUND(6557.46999999999,2)</f>
        <v>6557.47</v>
      </c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7">
        <f>ROUND(17710.4,2)</f>
        <v>17710.400000000001</v>
      </c>
      <c r="DO318" s="6"/>
      <c r="DP318" s="7">
        <f>ROUND(565.55,2)</f>
        <v>565.54999999999995</v>
      </c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7">
        <f>ROUND(1684.04,2)</f>
        <v>1684.04</v>
      </c>
      <c r="EE318" s="6"/>
      <c r="EF318" s="7">
        <f>ROUND(1042.24,2)</f>
        <v>1042.24</v>
      </c>
      <c r="EG318" s="6"/>
      <c r="EH318" s="7">
        <f>ROUND(6518.23,2)</f>
        <v>6518.23</v>
      </c>
      <c r="EI318" s="7">
        <f>ROUND(349.94,2)</f>
        <v>349.94</v>
      </c>
      <c r="EJ318" s="6"/>
      <c r="EK318" s="6"/>
      <c r="EL318" s="6"/>
      <c r="EM318" s="6"/>
      <c r="EN318" s="7">
        <f>ROUND(256.72,2)</f>
        <v>256.72000000000003</v>
      </c>
      <c r="EO318" s="6"/>
      <c r="EP318" s="6"/>
      <c r="EQ318" s="6"/>
      <c r="ER318" s="6"/>
      <c r="ES318" s="7">
        <f>ROUND(264.4,2)</f>
        <v>264.39999999999998</v>
      </c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7">
        <f>ROUND(1075,2)</f>
        <v>1075</v>
      </c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7">
        <f>ROUND(1057.6,2)</f>
        <v>1057.5999999999999</v>
      </c>
      <c r="FY318" s="7">
        <f>ROUND(57595.7599999999,2)</f>
        <v>57595.76</v>
      </c>
    </row>
    <row r="319" spans="1:181" x14ac:dyDescent="0.3">
      <c r="A319" s="4" t="s">
        <v>834</v>
      </c>
      <c r="B319" s="5"/>
      <c r="C319" s="5" t="s">
        <v>294</v>
      </c>
      <c r="D319" s="5" t="s">
        <v>768</v>
      </c>
      <c r="E319" s="5" t="s">
        <v>0</v>
      </c>
      <c r="F319" s="5" t="s">
        <v>0</v>
      </c>
      <c r="G319" s="5" t="s">
        <v>474</v>
      </c>
      <c r="H319" s="8">
        <f>ROUND(1396.44,2)</f>
        <v>1396.44</v>
      </c>
      <c r="I319" s="7">
        <f>ROUND(90813.5,2)</f>
        <v>90813.5</v>
      </c>
      <c r="J319" s="7">
        <f>ROUND(1672,2)</f>
        <v>1672</v>
      </c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7">
        <f>ROUND(-8,2)</f>
        <v>-8</v>
      </c>
      <c r="AC319" s="7">
        <f>ROUND(5,2)</f>
        <v>5</v>
      </c>
      <c r="AD319" s="7">
        <f>ROUND(30,2)</f>
        <v>30</v>
      </c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7">
        <f>ROUND(24,2)</f>
        <v>24</v>
      </c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7">
        <f>ROUND(56,2)</f>
        <v>56</v>
      </c>
      <c r="CI319" s="7">
        <f>ROUND(32,2)</f>
        <v>32</v>
      </c>
      <c r="CJ319" s="6"/>
      <c r="CK319" s="6"/>
      <c r="CL319" s="6"/>
      <c r="CM319" s="6"/>
      <c r="CN319" s="7">
        <f>ROUND(128,2)</f>
        <v>128</v>
      </c>
      <c r="CO319" s="6"/>
      <c r="CP319" s="6"/>
      <c r="CQ319" s="7">
        <f>ROUND(1939,2)</f>
        <v>1939</v>
      </c>
      <c r="CR319" s="7">
        <f>ROUND(70939.13,2)</f>
        <v>70939.13</v>
      </c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7">
        <f>ROUND(-279.29,2)</f>
        <v>-279.29000000000002</v>
      </c>
      <c r="DL319" s="7">
        <f>ROUND(1875,2)</f>
        <v>1875</v>
      </c>
      <c r="DM319" s="7">
        <f>ROUND(11250,2)</f>
        <v>11250</v>
      </c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7">
        <f>ROUND(325.72,2)</f>
        <v>325.72000000000003</v>
      </c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7">
        <f>ROUND(3351.46,2)</f>
        <v>3351.46</v>
      </c>
      <c r="FK319" s="6"/>
      <c r="FL319" s="6"/>
      <c r="FM319" s="6"/>
      <c r="FN319" s="7">
        <f>ROUND(837.87,2)</f>
        <v>837.87</v>
      </c>
      <c r="FO319" s="6"/>
      <c r="FP319" s="6"/>
      <c r="FQ319" s="6"/>
      <c r="FR319" s="6"/>
      <c r="FS319" s="6"/>
      <c r="FT319" s="6"/>
      <c r="FU319" s="6"/>
      <c r="FV319" s="7">
        <f>ROUND(2513.61,2)</f>
        <v>2513.61</v>
      </c>
      <c r="FW319" s="6"/>
      <c r="FX319" s="6"/>
      <c r="FY319" s="7">
        <f>ROUND(90813.5,2)</f>
        <v>90813.5</v>
      </c>
    </row>
    <row r="320" spans="1:181" x14ac:dyDescent="0.3">
      <c r="A320" s="4" t="s">
        <v>835</v>
      </c>
      <c r="B320" s="5" t="s">
        <v>1029</v>
      </c>
      <c r="C320" s="5" t="s">
        <v>181</v>
      </c>
      <c r="D320" s="5" t="s">
        <v>648</v>
      </c>
      <c r="E320" s="5" t="s">
        <v>0</v>
      </c>
      <c r="F320" s="5" t="s">
        <v>0</v>
      </c>
      <c r="G320" s="5" t="s">
        <v>183</v>
      </c>
      <c r="H320" s="8">
        <v>33.380000000000003</v>
      </c>
      <c r="I320" s="7">
        <f>ROUND(86263.6899999999,2)</f>
        <v>86263.69</v>
      </c>
      <c r="J320" s="6"/>
      <c r="K320" s="6"/>
      <c r="L320" s="6"/>
      <c r="M320" s="6"/>
      <c r="N320" s="7">
        <f>ROUND(1599.62,2)</f>
        <v>1599.62</v>
      </c>
      <c r="O320" s="6"/>
      <c r="P320" s="6"/>
      <c r="Q320" s="7">
        <f>ROUND(230.809999999999,2)</f>
        <v>230.81</v>
      </c>
      <c r="R320" s="6"/>
      <c r="S320" s="6"/>
      <c r="T320" s="6"/>
      <c r="U320" s="6"/>
      <c r="V320" s="7">
        <f>ROUND(17.2,2)</f>
        <v>17.2</v>
      </c>
      <c r="W320" s="6"/>
      <c r="X320" s="6"/>
      <c r="Y320" s="6"/>
      <c r="Z320" s="6"/>
      <c r="AA320" s="6"/>
      <c r="AB320" s="6"/>
      <c r="AC320" s="6"/>
      <c r="AD320" s="6"/>
      <c r="AE320" s="7">
        <f>ROUND(70.83,2)</f>
        <v>70.83</v>
      </c>
      <c r="AF320" s="6"/>
      <c r="AG320" s="7">
        <f>ROUND(9.92,2)</f>
        <v>9.92</v>
      </c>
      <c r="AH320" s="6"/>
      <c r="AI320" s="6"/>
      <c r="AJ320" s="6"/>
      <c r="AK320" s="6"/>
      <c r="AL320" s="6"/>
      <c r="AM320" s="6"/>
      <c r="AN320" s="6"/>
      <c r="AO320" s="6"/>
      <c r="AP320" s="7">
        <f>ROUND(197.19,2)</f>
        <v>197.19</v>
      </c>
      <c r="AQ320" s="6"/>
      <c r="AR320" s="7">
        <f>ROUND(3.66,2)</f>
        <v>3.66</v>
      </c>
      <c r="AS320" s="6"/>
      <c r="AT320" s="6"/>
      <c r="AU320" s="7">
        <f>ROUND(72,2)</f>
        <v>72</v>
      </c>
      <c r="AV320" s="6"/>
      <c r="AW320" s="7">
        <f>ROUND(39.67,2)</f>
        <v>39.67</v>
      </c>
      <c r="AX320" s="7">
        <f>ROUND(0.33,2)</f>
        <v>0.33</v>
      </c>
      <c r="AY320" s="7">
        <f>ROUND(88,2)</f>
        <v>88</v>
      </c>
      <c r="AZ320" s="6"/>
      <c r="BA320" s="6"/>
      <c r="BB320" s="7">
        <f>ROUND(8,2)</f>
        <v>8</v>
      </c>
      <c r="BC320" s="6"/>
      <c r="BD320" s="7">
        <f>ROUND(8,2)</f>
        <v>8</v>
      </c>
      <c r="BE320" s="7">
        <f>ROUND(2.38,2)</f>
        <v>2.38</v>
      </c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7">
        <f>ROUND(30,2)</f>
        <v>30</v>
      </c>
      <c r="BR320" s="6"/>
      <c r="BS320" s="6"/>
      <c r="BT320" s="6"/>
      <c r="BU320" s="6"/>
      <c r="BV320" s="6"/>
      <c r="BW320" s="6"/>
      <c r="BX320" s="6"/>
      <c r="BY320" s="7">
        <f>ROUND(8,2)</f>
        <v>8</v>
      </c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7">
        <f>ROUND(2385.61,2)</f>
        <v>2385.61</v>
      </c>
      <c r="CR320" s="6"/>
      <c r="CS320" s="6"/>
      <c r="CT320" s="6"/>
      <c r="CU320" s="6"/>
      <c r="CV320" s="7">
        <f>ROUND(52188.7499999999,2)</f>
        <v>52188.75</v>
      </c>
      <c r="CW320" s="6"/>
      <c r="CX320" s="6"/>
      <c r="CY320" s="7">
        <f>ROUND(11292.2799999999,2)</f>
        <v>11292.28</v>
      </c>
      <c r="CZ320" s="6"/>
      <c r="DA320" s="6"/>
      <c r="DB320" s="6"/>
      <c r="DC320" s="6"/>
      <c r="DD320" s="7">
        <f>ROUND(553.25,2)</f>
        <v>553.25</v>
      </c>
      <c r="DE320" s="6"/>
      <c r="DF320" s="6"/>
      <c r="DG320" s="6"/>
      <c r="DH320" s="6"/>
      <c r="DI320" s="6"/>
      <c r="DJ320" s="6"/>
      <c r="DK320" s="6"/>
      <c r="DL320" s="6"/>
      <c r="DM320" s="6"/>
      <c r="DN320" s="7">
        <f>ROUND(2338.29,2)</f>
        <v>2338.29</v>
      </c>
      <c r="DO320" s="6"/>
      <c r="DP320" s="7">
        <f>ROUND(482.65,2)</f>
        <v>482.65</v>
      </c>
      <c r="DQ320" s="6"/>
      <c r="DR320" s="6"/>
      <c r="DS320" s="6"/>
      <c r="DT320" s="6"/>
      <c r="DU320" s="6"/>
      <c r="DV320" s="6"/>
      <c r="DW320" s="6"/>
      <c r="DX320" s="6"/>
      <c r="DY320" s="7">
        <f>ROUND(6472.65,2)</f>
        <v>6472.65</v>
      </c>
      <c r="DZ320" s="6"/>
      <c r="EA320" s="7">
        <f>ROUND(181.44,2)</f>
        <v>181.44</v>
      </c>
      <c r="EB320" s="6"/>
      <c r="EC320" s="6"/>
      <c r="ED320" s="7">
        <f>ROUND(2348.34,2)</f>
        <v>2348.34</v>
      </c>
      <c r="EE320" s="6"/>
      <c r="EF320" s="7">
        <f>ROUND(1282.29,2)</f>
        <v>1282.29</v>
      </c>
      <c r="EG320" s="7">
        <f>ROUND(16.36,2)</f>
        <v>16.36</v>
      </c>
      <c r="EH320" s="7">
        <f>ROUND(2854.64,2)</f>
        <v>2854.64</v>
      </c>
      <c r="EI320" s="6"/>
      <c r="EJ320" s="6"/>
      <c r="EK320" s="7">
        <f>ROUND(256.72,2)</f>
        <v>256.72000000000003</v>
      </c>
      <c r="EL320" s="6"/>
      <c r="EM320" s="6"/>
      <c r="EN320" s="7">
        <f>ROUND(256.72,2)</f>
        <v>256.72000000000003</v>
      </c>
      <c r="EO320" s="7">
        <f>ROUND(78.81,2)</f>
        <v>78.81</v>
      </c>
      <c r="EP320" s="6"/>
      <c r="EQ320" s="6"/>
      <c r="ER320" s="7">
        <f>ROUND(344,2)</f>
        <v>344</v>
      </c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7">
        <f>ROUND(991.5,2)</f>
        <v>991.5</v>
      </c>
      <c r="FE320" s="6"/>
      <c r="FF320" s="6"/>
      <c r="FG320" s="6"/>
      <c r="FH320" s="6"/>
      <c r="FI320" s="6"/>
      <c r="FJ320" s="7">
        <f>ROUND(1325,2)</f>
        <v>1325</v>
      </c>
      <c r="FK320" s="6"/>
      <c r="FL320" s="6"/>
      <c r="FM320" s="6"/>
      <c r="FN320" s="6"/>
      <c r="FO320" s="6"/>
      <c r="FP320" s="6"/>
      <c r="FQ320" s="6"/>
      <c r="FR320" s="6"/>
      <c r="FS320" s="6"/>
      <c r="FT320" s="7">
        <f>ROUND(3000,2)</f>
        <v>3000</v>
      </c>
      <c r="FU320" s="6"/>
      <c r="FV320" s="6"/>
      <c r="FW320" s="6"/>
      <c r="FX320" s="6"/>
      <c r="FY320" s="7">
        <f>ROUND(86263.6899999999,2)</f>
        <v>86263.69</v>
      </c>
    </row>
    <row r="321" spans="1:181" x14ac:dyDescent="0.3">
      <c r="A321" s="4" t="s">
        <v>836</v>
      </c>
      <c r="B321" s="5" t="s">
        <v>1029</v>
      </c>
      <c r="C321" s="5" t="s">
        <v>181</v>
      </c>
      <c r="D321" s="5" t="s">
        <v>837</v>
      </c>
      <c r="E321" s="5" t="s">
        <v>0</v>
      </c>
      <c r="F321" s="5" t="s">
        <v>0</v>
      </c>
      <c r="G321" s="5" t="s">
        <v>183</v>
      </c>
      <c r="H321" s="6">
        <v>31.71</v>
      </c>
      <c r="I321" s="7">
        <f>ROUND(32824.34,2)</f>
        <v>32824.339999999997</v>
      </c>
      <c r="J321" s="6"/>
      <c r="K321" s="6"/>
      <c r="L321" s="6"/>
      <c r="M321" s="6"/>
      <c r="N321" s="7">
        <f>ROUND(847.95,2)</f>
        <v>847.95</v>
      </c>
      <c r="O321" s="6"/>
      <c r="P321" s="6"/>
      <c r="Q321" s="7">
        <f>ROUND(3.07,2)</f>
        <v>3.07</v>
      </c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7">
        <f>ROUND(36,2)</f>
        <v>36</v>
      </c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7">
        <f>ROUND(30,2)</f>
        <v>30</v>
      </c>
      <c r="AV321" s="6"/>
      <c r="AW321" s="6"/>
      <c r="AX321" s="6"/>
      <c r="AY321" s="6"/>
      <c r="AZ321" s="6"/>
      <c r="BA321" s="6"/>
      <c r="BB321" s="6"/>
      <c r="BC321" s="6"/>
      <c r="BD321" s="7">
        <f>ROUND(271.9,2)</f>
        <v>271.89999999999998</v>
      </c>
      <c r="BE321" s="6"/>
      <c r="BF321" s="7">
        <f>ROUND(10.23,2)</f>
        <v>10.23</v>
      </c>
      <c r="BG321" s="6"/>
      <c r="BH321" s="6"/>
      <c r="BI321" s="7">
        <f>ROUND(16,2)</f>
        <v>16</v>
      </c>
      <c r="BJ321" s="6"/>
      <c r="BK321" s="6"/>
      <c r="BL321" s="6"/>
      <c r="BM321" s="6"/>
      <c r="BN321" s="6"/>
      <c r="BO321" s="6"/>
      <c r="BP321" s="6"/>
      <c r="BQ321" s="7">
        <f>ROUND(65.17,2)</f>
        <v>65.17</v>
      </c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7">
        <f>ROUND(2.17,2)</f>
        <v>2.17</v>
      </c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7">
        <f>ROUND(15,2)</f>
        <v>15</v>
      </c>
      <c r="CQ321" s="7">
        <f>ROUND(1297.48999999999,2)</f>
        <v>1297.49</v>
      </c>
      <c r="CR321" s="6"/>
      <c r="CS321" s="6"/>
      <c r="CT321" s="6"/>
      <c r="CU321" s="6"/>
      <c r="CV321" s="7">
        <f>ROUND(21589.75,2)</f>
        <v>21589.75</v>
      </c>
      <c r="CW321" s="6"/>
      <c r="CX321" s="6"/>
      <c r="CY321" s="7">
        <f>ROUND(80.59,2)</f>
        <v>80.59</v>
      </c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7">
        <f>ROUND(951.839999999999,2)</f>
        <v>951.84</v>
      </c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7">
        <f>ROUND(721.7,2)</f>
        <v>721.7</v>
      </c>
      <c r="EE321" s="6"/>
      <c r="EF321" s="6"/>
      <c r="EG321" s="6"/>
      <c r="EH321" s="6"/>
      <c r="EI321" s="6"/>
      <c r="EJ321" s="6"/>
      <c r="EK321" s="6"/>
      <c r="EL321" s="6"/>
      <c r="EM321" s="6"/>
      <c r="EN321" s="7">
        <f>ROUND(4758.25,2)</f>
        <v>4758.25</v>
      </c>
      <c r="EO321" s="6"/>
      <c r="EP321" s="7">
        <f>ROUND(268.539999999999,2)</f>
        <v>268.54000000000002</v>
      </c>
      <c r="EQ321" s="6"/>
      <c r="ER321" s="6"/>
      <c r="ES321" s="6"/>
      <c r="ET321" s="7">
        <f>ROUND(280,2)</f>
        <v>280</v>
      </c>
      <c r="EU321" s="6"/>
      <c r="EV321" s="6"/>
      <c r="EW321" s="6"/>
      <c r="EX321" s="6"/>
      <c r="EY321" s="6"/>
      <c r="EZ321" s="6"/>
      <c r="FA321" s="6"/>
      <c r="FB321" s="6"/>
      <c r="FC321" s="6"/>
      <c r="FD321" s="7">
        <f>ROUND(1723.12,2)</f>
        <v>1723.12</v>
      </c>
      <c r="FE321" s="6"/>
      <c r="FF321" s="6"/>
      <c r="FG321" s="6"/>
      <c r="FH321" s="6"/>
      <c r="FI321" s="6"/>
      <c r="FJ321" s="7">
        <f>ROUND(525,2)</f>
        <v>525</v>
      </c>
      <c r="FK321" s="6"/>
      <c r="FL321" s="6"/>
      <c r="FM321" s="6"/>
      <c r="FN321" s="6"/>
      <c r="FO321" s="6"/>
      <c r="FP321" s="6"/>
      <c r="FQ321" s="6"/>
      <c r="FR321" s="6"/>
      <c r="FS321" s="6"/>
      <c r="FT321" s="7">
        <f>ROUND(1500,2)</f>
        <v>1500</v>
      </c>
      <c r="FU321" s="6"/>
      <c r="FV321" s="6"/>
      <c r="FW321" s="6"/>
      <c r="FX321" s="7">
        <f>ROUND(425.55,2)</f>
        <v>425.55</v>
      </c>
      <c r="FY321" s="7">
        <f>ROUND(32824.34,2)</f>
        <v>32824.339999999997</v>
      </c>
    </row>
    <row r="322" spans="1:181" x14ac:dyDescent="0.3">
      <c r="A322" s="4" t="s">
        <v>838</v>
      </c>
      <c r="B322" s="5" t="s">
        <v>1029</v>
      </c>
      <c r="C322" s="5" t="s">
        <v>236</v>
      </c>
      <c r="D322" s="5" t="s">
        <v>839</v>
      </c>
      <c r="E322" s="5" t="s">
        <v>0</v>
      </c>
      <c r="F322" s="5" t="s">
        <v>0</v>
      </c>
      <c r="G322" s="5" t="s">
        <v>238</v>
      </c>
      <c r="H322" s="8">
        <v>37.75</v>
      </c>
      <c r="I322" s="7">
        <f>ROUND(158709.33,2)</f>
        <v>158709.32999999999</v>
      </c>
      <c r="J322" s="6"/>
      <c r="K322" s="6"/>
      <c r="L322" s="7">
        <f>ROUND(1960,2)</f>
        <v>1960</v>
      </c>
      <c r="M322" s="7">
        <f>ROUND(1340.05,2)</f>
        <v>1340.05</v>
      </c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7">
        <f>ROUND(56,2)</f>
        <v>56</v>
      </c>
      <c r="AV322" s="6"/>
      <c r="AW322" s="7">
        <f>ROUND(64,2)</f>
        <v>64</v>
      </c>
      <c r="AX322" s="6"/>
      <c r="AY322" s="7">
        <f>ROUND(48,2)</f>
        <v>48</v>
      </c>
      <c r="AZ322" s="7">
        <f>ROUND(32,2)</f>
        <v>32</v>
      </c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7">
        <f>ROUND(0.5,2)</f>
        <v>0.5</v>
      </c>
      <c r="BU322" s="6"/>
      <c r="BV322" s="6"/>
      <c r="BW322" s="6"/>
      <c r="BX322" s="6"/>
      <c r="BY322" s="6"/>
      <c r="BZ322" s="6"/>
      <c r="CA322" s="7">
        <f>ROUND(8,2)</f>
        <v>8</v>
      </c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7">
        <f>ROUND(3508.55,2)</f>
        <v>3508.55</v>
      </c>
      <c r="CR322" s="6"/>
      <c r="CS322" s="6"/>
      <c r="CT322" s="7">
        <f>ROUND(72421.7799999999,2)</f>
        <v>72421.78</v>
      </c>
      <c r="CU322" s="7">
        <f>ROUND(74189.6299999999,2)</f>
        <v>74189.63</v>
      </c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7">
        <f>ROUND(2063.12,2)</f>
        <v>2063.12</v>
      </c>
      <c r="EE322" s="6"/>
      <c r="EF322" s="7">
        <f>ROUND(2368.08,2)</f>
        <v>2368.08</v>
      </c>
      <c r="EG322" s="6"/>
      <c r="EH322" s="7">
        <f>ROUND(1772.16,2)</f>
        <v>1772.16</v>
      </c>
      <c r="EI322" s="7">
        <f>ROUND(1744.56,2)</f>
        <v>1744.56</v>
      </c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7">
        <f>ROUND(1150,2)</f>
        <v>1150</v>
      </c>
      <c r="FK322" s="6"/>
      <c r="FL322" s="6"/>
      <c r="FM322" s="6"/>
      <c r="FN322" s="6"/>
      <c r="FO322" s="6"/>
      <c r="FP322" s="6"/>
      <c r="FQ322" s="6"/>
      <c r="FR322" s="6"/>
      <c r="FS322" s="6"/>
      <c r="FT322" s="7">
        <f>ROUND(3000,2)</f>
        <v>3000</v>
      </c>
      <c r="FU322" s="6"/>
      <c r="FV322" s="6"/>
      <c r="FW322" s="6"/>
      <c r="FX322" s="6"/>
      <c r="FY322" s="7">
        <f>ROUND(158709.33,2)</f>
        <v>158709.32999999999</v>
      </c>
    </row>
    <row r="323" spans="1:181" x14ac:dyDescent="0.3">
      <c r="A323" s="4" t="s">
        <v>840</v>
      </c>
      <c r="B323" s="5" t="s">
        <v>1029</v>
      </c>
      <c r="C323" s="5" t="s">
        <v>181</v>
      </c>
      <c r="D323" s="5" t="s">
        <v>841</v>
      </c>
      <c r="E323" s="5" t="s">
        <v>0</v>
      </c>
      <c r="F323" s="5" t="s">
        <v>0</v>
      </c>
      <c r="G323" s="5" t="s">
        <v>183</v>
      </c>
      <c r="H323" s="8">
        <v>34.04</v>
      </c>
      <c r="I323" s="7">
        <f>ROUND(73879.1299999999,2)</f>
        <v>73879.13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7">
        <f>ROUND(31.25,2)</f>
        <v>31.25</v>
      </c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7">
        <f>ROUND(68,2)</f>
        <v>68</v>
      </c>
      <c r="AV323" s="6"/>
      <c r="AW323" s="7">
        <f>ROUND(32,2)</f>
        <v>32</v>
      </c>
      <c r="AX323" s="6"/>
      <c r="AY323" s="7">
        <f>ROUND(240.75,2)</f>
        <v>240.75</v>
      </c>
      <c r="AZ323" s="7">
        <f>ROUND(1.25,2)</f>
        <v>1.25</v>
      </c>
      <c r="BA323" s="6"/>
      <c r="BB323" s="7">
        <f>ROUND(24,2)</f>
        <v>24</v>
      </c>
      <c r="BC323" s="6"/>
      <c r="BD323" s="7">
        <f>ROUND(8,2)</f>
        <v>8</v>
      </c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7">
        <f>ROUND(1714.75,2)</f>
        <v>1714.75</v>
      </c>
      <c r="BR323" s="7">
        <f>ROUND(0.58,2)</f>
        <v>0.57999999999999996</v>
      </c>
      <c r="BS323" s="6"/>
      <c r="BT323" s="7">
        <f>ROUND(5.25,2)</f>
        <v>5.25</v>
      </c>
      <c r="BU323" s="6"/>
      <c r="BV323" s="6"/>
      <c r="BW323" s="6"/>
      <c r="BX323" s="6"/>
      <c r="BY323" s="7">
        <f>ROUND(8,2)</f>
        <v>8</v>
      </c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7">
        <f>ROUND(16,2)</f>
        <v>16</v>
      </c>
      <c r="CQ323" s="7">
        <f>ROUND(2149.83,2)</f>
        <v>2149.83</v>
      </c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7">
        <f>ROUND(1002.81,2)</f>
        <v>1002.81</v>
      </c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7">
        <f>ROUND(2220.76,2)</f>
        <v>2220.7600000000002</v>
      </c>
      <c r="EE323" s="6"/>
      <c r="EF323" s="7">
        <f>ROUND(1049.92,2)</f>
        <v>1049.92</v>
      </c>
      <c r="EG323" s="6"/>
      <c r="EH323" s="7">
        <f>ROUND(7918.62999999999,2)</f>
        <v>7918.63</v>
      </c>
      <c r="EI323" s="7">
        <f>ROUND(60.17,2)</f>
        <v>60.17</v>
      </c>
      <c r="EJ323" s="6"/>
      <c r="EK323" s="7">
        <f>ROUND(793.44,2)</f>
        <v>793.44</v>
      </c>
      <c r="EL323" s="6"/>
      <c r="EM323" s="6"/>
      <c r="EN323" s="7">
        <f>ROUND(256.72,2)</f>
        <v>256.72000000000003</v>
      </c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7">
        <f>ROUND(55829.1299999999,2)</f>
        <v>55829.13</v>
      </c>
      <c r="FE323" s="7">
        <f>ROUND(27.91,2)</f>
        <v>27.91</v>
      </c>
      <c r="FF323" s="6"/>
      <c r="FG323" s="6"/>
      <c r="FH323" s="6"/>
      <c r="FI323" s="6"/>
      <c r="FJ323" s="7">
        <f>ROUND(1175,2)</f>
        <v>1175</v>
      </c>
      <c r="FK323" s="6"/>
      <c r="FL323" s="6"/>
      <c r="FM323" s="6"/>
      <c r="FN323" s="6"/>
      <c r="FO323" s="6"/>
      <c r="FP323" s="6"/>
      <c r="FQ323" s="6"/>
      <c r="FR323" s="6"/>
      <c r="FS323" s="6"/>
      <c r="FT323" s="7">
        <f>ROUND(3000,2)</f>
        <v>3000</v>
      </c>
      <c r="FU323" s="6"/>
      <c r="FV323" s="6"/>
      <c r="FW323" s="6"/>
      <c r="FX323" s="7">
        <f>ROUND(544.64,2)</f>
        <v>544.64</v>
      </c>
      <c r="FY323" s="7">
        <f>ROUND(73879.1299999999,2)</f>
        <v>73879.13</v>
      </c>
    </row>
    <row r="324" spans="1:181" x14ac:dyDescent="0.3">
      <c r="A324" s="4" t="s">
        <v>842</v>
      </c>
      <c r="B324" s="5" t="s">
        <v>1029</v>
      </c>
      <c r="C324" s="5" t="s">
        <v>181</v>
      </c>
      <c r="D324" s="5" t="s">
        <v>206</v>
      </c>
      <c r="E324" s="5" t="s">
        <v>0</v>
      </c>
      <c r="F324" s="5" t="s">
        <v>0</v>
      </c>
      <c r="G324" s="5" t="s">
        <v>183</v>
      </c>
      <c r="H324" s="8">
        <v>34.04</v>
      </c>
      <c r="I324" s="7">
        <f>ROUND(48844.69,2)</f>
        <v>48844.69</v>
      </c>
      <c r="J324" s="6"/>
      <c r="K324" s="6"/>
      <c r="L324" s="6"/>
      <c r="M324" s="6"/>
      <c r="N324" s="7">
        <f>ROUND(1300.11,2)</f>
        <v>1300.1099999999999</v>
      </c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7">
        <f>ROUND(40,2)</f>
        <v>40</v>
      </c>
      <c r="AV324" s="6"/>
      <c r="AW324" s="7">
        <f>ROUND(5,2)</f>
        <v>5</v>
      </c>
      <c r="AX324" s="6"/>
      <c r="AY324" s="7">
        <f>ROUND(75,2)</f>
        <v>75</v>
      </c>
      <c r="AZ324" s="6"/>
      <c r="BA324" s="6"/>
      <c r="BB324" s="6"/>
      <c r="BC324" s="6"/>
      <c r="BD324" s="7">
        <f>ROUND(8,2)</f>
        <v>8</v>
      </c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7">
        <f>ROUND(5,2)</f>
        <v>5</v>
      </c>
      <c r="BT324" s="6"/>
      <c r="BU324" s="6"/>
      <c r="BV324" s="6"/>
      <c r="BW324" s="6"/>
      <c r="BX324" s="6"/>
      <c r="BY324" s="7">
        <f>ROUND(5,2)</f>
        <v>5</v>
      </c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7">
        <f>ROUND(1438.11,2)</f>
        <v>1438.11</v>
      </c>
      <c r="CR324" s="6"/>
      <c r="CS324" s="6"/>
      <c r="CT324" s="6"/>
      <c r="CU324" s="6"/>
      <c r="CV324" s="7">
        <f>ROUND(42314.52,2)</f>
        <v>42314.52</v>
      </c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7">
        <f>ROUND(1304.45,2)</f>
        <v>1304.45</v>
      </c>
      <c r="EE324" s="6"/>
      <c r="EF324" s="7">
        <f>ROUND(165.25,2)</f>
        <v>165.25</v>
      </c>
      <c r="EG324" s="6"/>
      <c r="EH324" s="7">
        <f>ROUND(2478.75,2)</f>
        <v>2478.75</v>
      </c>
      <c r="EI324" s="6"/>
      <c r="EJ324" s="6"/>
      <c r="EK324" s="6"/>
      <c r="EL324" s="6"/>
      <c r="EM324" s="6"/>
      <c r="EN324" s="7">
        <f>ROUND(256.72,2)</f>
        <v>256.72000000000003</v>
      </c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7">
        <f>ROUND(825,2)</f>
        <v>825</v>
      </c>
      <c r="FK324" s="6"/>
      <c r="FL324" s="6"/>
      <c r="FM324" s="6"/>
      <c r="FN324" s="6"/>
      <c r="FO324" s="6"/>
      <c r="FP324" s="6"/>
      <c r="FQ324" s="6"/>
      <c r="FR324" s="6"/>
      <c r="FS324" s="6"/>
      <c r="FT324" s="7">
        <f>ROUND(1500,2)</f>
        <v>1500</v>
      </c>
      <c r="FU324" s="6"/>
      <c r="FV324" s="6"/>
      <c r="FW324" s="6"/>
      <c r="FX324" s="6"/>
      <c r="FY324" s="7">
        <f>ROUND(48844.69,2)</f>
        <v>48844.69</v>
      </c>
    </row>
    <row r="325" spans="1:181" ht="26.4" x14ac:dyDescent="0.3">
      <c r="A325" s="4" t="s">
        <v>843</v>
      </c>
      <c r="B325" s="5"/>
      <c r="C325" s="5" t="s">
        <v>201</v>
      </c>
      <c r="D325" s="5" t="s">
        <v>202</v>
      </c>
      <c r="E325" s="5" t="s">
        <v>0</v>
      </c>
      <c r="F325" s="5" t="s">
        <v>0</v>
      </c>
      <c r="G325" s="5" t="s">
        <v>203</v>
      </c>
      <c r="H325" s="8">
        <f>ROUND(18,2)</f>
        <v>18</v>
      </c>
      <c r="I325" s="7">
        <f>ROUND(7877.25,2)</f>
        <v>7877.25</v>
      </c>
      <c r="J325" s="7">
        <f>ROUND(407.25,2)</f>
        <v>407.25</v>
      </c>
      <c r="K325" s="7">
        <f>ROUND(1.25,2)</f>
        <v>1.25</v>
      </c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7">
        <f>ROUND(8,2)</f>
        <v>8</v>
      </c>
      <c r="CH325" s="7">
        <f>ROUND(8,2)</f>
        <v>8</v>
      </c>
      <c r="CI325" s="6"/>
      <c r="CJ325" s="6"/>
      <c r="CK325" s="6"/>
      <c r="CL325" s="6"/>
      <c r="CM325" s="6"/>
      <c r="CN325" s="6"/>
      <c r="CO325" s="6"/>
      <c r="CP325" s="6"/>
      <c r="CQ325" s="7">
        <f>ROUND(424.5,2)</f>
        <v>424.5</v>
      </c>
      <c r="CR325" s="7">
        <f>ROUND(7330.5,2)</f>
        <v>7330.5</v>
      </c>
      <c r="CS325" s="7">
        <f>ROUND(33.75,2)</f>
        <v>33.75</v>
      </c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7">
        <f>ROUND(225,2)</f>
        <v>225</v>
      </c>
      <c r="FK325" s="6"/>
      <c r="FL325" s="6"/>
      <c r="FM325" s="7">
        <f>ROUND(144,2)</f>
        <v>144</v>
      </c>
      <c r="FN325" s="7">
        <f>ROUND(144,2)</f>
        <v>144</v>
      </c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7">
        <f>ROUND(7877.25,2)</f>
        <v>7877.25</v>
      </c>
    </row>
    <row r="326" spans="1:181" x14ac:dyDescent="0.3">
      <c r="A326" s="4" t="s">
        <v>844</v>
      </c>
      <c r="B326" s="5" t="s">
        <v>1029</v>
      </c>
      <c r="C326" s="5" t="s">
        <v>181</v>
      </c>
      <c r="D326" s="5" t="s">
        <v>303</v>
      </c>
      <c r="E326" s="5" t="s">
        <v>0</v>
      </c>
      <c r="F326" s="5" t="s">
        <v>0</v>
      </c>
      <c r="G326" s="5" t="s">
        <v>183</v>
      </c>
      <c r="H326" s="6">
        <v>33.380000000000003</v>
      </c>
      <c r="I326" s="7">
        <f>ROUND(92472.6999999999,2)</f>
        <v>92472.7</v>
      </c>
      <c r="J326" s="6"/>
      <c r="K326" s="6"/>
      <c r="L326" s="6"/>
      <c r="M326" s="6"/>
      <c r="N326" s="7">
        <f>ROUND(1705.58,2)</f>
        <v>1705.58</v>
      </c>
      <c r="O326" s="6"/>
      <c r="P326" s="6"/>
      <c r="Q326" s="7">
        <f>ROUND(433.45,2)</f>
        <v>433.45</v>
      </c>
      <c r="R326" s="6"/>
      <c r="S326" s="6"/>
      <c r="T326" s="6"/>
      <c r="U326" s="6"/>
      <c r="V326" s="7">
        <f>ROUND(4.75,2)</f>
        <v>4.75</v>
      </c>
      <c r="W326" s="6"/>
      <c r="X326" s="6"/>
      <c r="Y326" s="6"/>
      <c r="Z326" s="6"/>
      <c r="AA326" s="6"/>
      <c r="AB326" s="6"/>
      <c r="AC326" s="6"/>
      <c r="AD326" s="6"/>
      <c r="AE326" s="7">
        <f>ROUND(123.6,2)</f>
        <v>123.6</v>
      </c>
      <c r="AF326" s="6"/>
      <c r="AG326" s="7">
        <f>ROUND(0.85,2)</f>
        <v>0.85</v>
      </c>
      <c r="AH326" s="6"/>
      <c r="AI326" s="6"/>
      <c r="AJ326" s="6"/>
      <c r="AK326" s="6"/>
      <c r="AL326" s="6"/>
      <c r="AM326" s="6"/>
      <c r="AN326" s="6"/>
      <c r="AO326" s="6"/>
      <c r="AP326" s="7">
        <f>ROUND(170.4,2)</f>
        <v>170.4</v>
      </c>
      <c r="AQ326" s="6"/>
      <c r="AR326" s="7">
        <f>ROUND(20.17,2)</f>
        <v>20.170000000000002</v>
      </c>
      <c r="AS326" s="6"/>
      <c r="AT326" s="6"/>
      <c r="AU326" s="7">
        <f>ROUND(68,2)</f>
        <v>68</v>
      </c>
      <c r="AV326" s="6"/>
      <c r="AW326" s="7">
        <f>ROUND(24,2)</f>
        <v>24</v>
      </c>
      <c r="AX326" s="7">
        <f>ROUND(8,2)</f>
        <v>8</v>
      </c>
      <c r="AY326" s="7">
        <f>ROUND(16,2)</f>
        <v>16</v>
      </c>
      <c r="AZ326" s="7">
        <f>ROUND(8,2)</f>
        <v>8</v>
      </c>
      <c r="BA326" s="6"/>
      <c r="BB326" s="7">
        <f>ROUND(24,2)</f>
        <v>24</v>
      </c>
      <c r="BC326" s="6"/>
      <c r="BD326" s="7">
        <f>ROUND(8,2)</f>
        <v>8</v>
      </c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7">
        <f>ROUND(5,2)</f>
        <v>5</v>
      </c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7">
        <f>ROUND(2619.8,2)</f>
        <v>2619.8000000000002</v>
      </c>
      <c r="CR326" s="6"/>
      <c r="CS326" s="6"/>
      <c r="CT326" s="6"/>
      <c r="CU326" s="6"/>
      <c r="CV326" s="7">
        <f>ROUND(52637.29,2)</f>
        <v>52637.29</v>
      </c>
      <c r="CW326" s="6"/>
      <c r="CX326" s="6"/>
      <c r="CY326" s="7">
        <f>ROUND(20194.5099999999,2)</f>
        <v>20194.509999999998</v>
      </c>
      <c r="CZ326" s="6"/>
      <c r="DA326" s="6"/>
      <c r="DB326" s="6"/>
      <c r="DC326" s="6"/>
      <c r="DD326" s="7">
        <f>ROUND(157.7,2)</f>
        <v>157.69999999999999</v>
      </c>
      <c r="DE326" s="6"/>
      <c r="DF326" s="6"/>
      <c r="DG326" s="6"/>
      <c r="DH326" s="6"/>
      <c r="DI326" s="6"/>
      <c r="DJ326" s="6"/>
      <c r="DK326" s="6"/>
      <c r="DL326" s="6"/>
      <c r="DM326" s="6"/>
      <c r="DN326" s="7">
        <f>ROUND(3690.45999999999,2)</f>
        <v>3690.46</v>
      </c>
      <c r="DO326" s="6"/>
      <c r="DP326" s="7">
        <f>ROUND(36.82,2)</f>
        <v>36.82</v>
      </c>
      <c r="DQ326" s="6"/>
      <c r="DR326" s="6"/>
      <c r="DS326" s="6"/>
      <c r="DT326" s="6"/>
      <c r="DU326" s="6"/>
      <c r="DV326" s="6"/>
      <c r="DW326" s="6"/>
      <c r="DX326" s="6"/>
      <c r="DY326" s="7">
        <f>ROUND(5183.59999999999,2)</f>
        <v>5183.6000000000004</v>
      </c>
      <c r="DZ326" s="6"/>
      <c r="EA326" s="7">
        <f>ROUND(990.4,2)</f>
        <v>990.4</v>
      </c>
      <c r="EB326" s="6"/>
      <c r="EC326" s="6"/>
      <c r="ED326" s="7">
        <f>ROUND(2086.4,2)</f>
        <v>2086.4</v>
      </c>
      <c r="EE326" s="6"/>
      <c r="EF326" s="7">
        <f>ROUND(739.04,2)</f>
        <v>739.04</v>
      </c>
      <c r="EG326" s="7">
        <f>ROUND(376.8,2)</f>
        <v>376.8</v>
      </c>
      <c r="EH326" s="7">
        <f>ROUND(502.4,2)</f>
        <v>502.4</v>
      </c>
      <c r="EI326" s="7">
        <f>ROUND(376.8,2)</f>
        <v>376.8</v>
      </c>
      <c r="EJ326" s="6"/>
      <c r="EK326" s="7">
        <f>ROUND(762.16,2)</f>
        <v>762.16</v>
      </c>
      <c r="EL326" s="6"/>
      <c r="EM326" s="6"/>
      <c r="EN326" s="7">
        <f>ROUND(243.92,2)</f>
        <v>243.92</v>
      </c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7">
        <f>ROUND(144.4,2)</f>
        <v>144.4</v>
      </c>
      <c r="FC326" s="6"/>
      <c r="FD326" s="6"/>
      <c r="FE326" s="6"/>
      <c r="FF326" s="6"/>
      <c r="FG326" s="6"/>
      <c r="FH326" s="6"/>
      <c r="FI326" s="6"/>
      <c r="FJ326" s="7">
        <f>ROUND(1350,2)</f>
        <v>1350</v>
      </c>
      <c r="FK326" s="6"/>
      <c r="FL326" s="6"/>
      <c r="FM326" s="6"/>
      <c r="FN326" s="6"/>
      <c r="FO326" s="6"/>
      <c r="FP326" s="6"/>
      <c r="FQ326" s="6"/>
      <c r="FR326" s="6"/>
      <c r="FS326" s="6"/>
      <c r="FT326" s="7">
        <f>ROUND(3000,2)</f>
        <v>3000</v>
      </c>
      <c r="FU326" s="6"/>
      <c r="FV326" s="6"/>
      <c r="FW326" s="6"/>
      <c r="FX326" s="6"/>
      <c r="FY326" s="7">
        <f>ROUND(92472.6999999999,2)</f>
        <v>92472.7</v>
      </c>
    </row>
    <row r="327" spans="1:181" x14ac:dyDescent="0.3">
      <c r="A327" s="4" t="s">
        <v>845</v>
      </c>
      <c r="B327" s="5" t="s">
        <v>1029</v>
      </c>
      <c r="C327" s="5" t="s">
        <v>181</v>
      </c>
      <c r="D327" s="5" t="s">
        <v>471</v>
      </c>
      <c r="E327" s="5" t="s">
        <v>0</v>
      </c>
      <c r="F327" s="5" t="s">
        <v>0</v>
      </c>
      <c r="G327" s="5" t="s">
        <v>183</v>
      </c>
      <c r="H327" s="6">
        <v>31.71</v>
      </c>
      <c r="I327" s="7">
        <f>ROUND(37833.8599999999,2)</f>
        <v>37833.86</v>
      </c>
      <c r="J327" s="6"/>
      <c r="K327" s="6"/>
      <c r="L327" s="6"/>
      <c r="M327" s="6"/>
      <c r="N327" s="7">
        <f>ROUND(993.42,2)</f>
        <v>993.42</v>
      </c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7">
        <f>ROUND(85.45,2)</f>
        <v>85.45</v>
      </c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7">
        <f>ROUND(25,2)</f>
        <v>25</v>
      </c>
      <c r="AV327" s="6"/>
      <c r="AW327" s="6"/>
      <c r="AX327" s="6"/>
      <c r="AY327" s="6"/>
      <c r="AZ327" s="6"/>
      <c r="BA327" s="6"/>
      <c r="BB327" s="6"/>
      <c r="BC327" s="6"/>
      <c r="BD327" s="7">
        <f>ROUND(321.03,2)</f>
        <v>321.02999999999997</v>
      </c>
      <c r="BE327" s="7">
        <f>ROUND(1.2,2)</f>
        <v>1.2</v>
      </c>
      <c r="BF327" s="7">
        <f>ROUND(6.4,2)</f>
        <v>6.4</v>
      </c>
      <c r="BG327" s="6"/>
      <c r="BH327" s="6"/>
      <c r="BI327" s="7">
        <f>ROUND(6.97,2)</f>
        <v>6.97</v>
      </c>
      <c r="BJ327" s="7">
        <f>ROUND(12.78,2)</f>
        <v>12.78</v>
      </c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7">
        <f>ROUND(5,2)</f>
        <v>5</v>
      </c>
      <c r="BX327" s="6"/>
      <c r="BY327" s="7">
        <f>ROUND(5,2)</f>
        <v>5</v>
      </c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7">
        <f>ROUND(15,2)</f>
        <v>15</v>
      </c>
      <c r="CQ327" s="7">
        <f>ROUND(1477.24999999999,2)</f>
        <v>1477.25</v>
      </c>
      <c r="CR327" s="6"/>
      <c r="CS327" s="6"/>
      <c r="CT327" s="6"/>
      <c r="CU327" s="6"/>
      <c r="CV327" s="7">
        <f>ROUND(25894.11,2)</f>
        <v>25894.11</v>
      </c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7">
        <f>ROUND(2370.6,2)</f>
        <v>2370.6</v>
      </c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7">
        <f>ROUND(628.949999999999,2)</f>
        <v>628.95000000000005</v>
      </c>
      <c r="EE327" s="6"/>
      <c r="EF327" s="6"/>
      <c r="EG327" s="6"/>
      <c r="EH327" s="6"/>
      <c r="EI327" s="6"/>
      <c r="EJ327" s="6"/>
      <c r="EK327" s="6"/>
      <c r="EL327" s="6"/>
      <c r="EM327" s="6"/>
      <c r="EN327" s="7">
        <f>ROUND(5683.38999999999,2)</f>
        <v>5683.39</v>
      </c>
      <c r="EO327" s="7">
        <f>ROUND(30.8,2)</f>
        <v>30.8</v>
      </c>
      <c r="EP327" s="7">
        <f>ROUND(168,2)</f>
        <v>168</v>
      </c>
      <c r="EQ327" s="6"/>
      <c r="ER327" s="6"/>
      <c r="ES327" s="6"/>
      <c r="ET327" s="7">
        <f>ROUND(121.98,2)</f>
        <v>121.98</v>
      </c>
      <c r="EU327" s="7">
        <f>ROUND(335.48,2)</f>
        <v>335.48</v>
      </c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7">
        <f>ROUND(675,2)</f>
        <v>675</v>
      </c>
      <c r="FK327" s="6"/>
      <c r="FL327" s="6"/>
      <c r="FM327" s="6"/>
      <c r="FN327" s="6"/>
      <c r="FO327" s="6"/>
      <c r="FP327" s="6"/>
      <c r="FQ327" s="6"/>
      <c r="FR327" s="6"/>
      <c r="FS327" s="6"/>
      <c r="FT327" s="7">
        <f>ROUND(1500,2)</f>
        <v>1500</v>
      </c>
      <c r="FU327" s="6"/>
      <c r="FV327" s="6"/>
      <c r="FW327" s="6"/>
      <c r="FX327" s="7">
        <f>ROUND(425.55,2)</f>
        <v>425.55</v>
      </c>
      <c r="FY327" s="7">
        <f>ROUND(37833.8599999999,2)</f>
        <v>37833.86</v>
      </c>
    </row>
    <row r="328" spans="1:181" x14ac:dyDescent="0.3">
      <c r="A328" s="4" t="s">
        <v>846</v>
      </c>
      <c r="B328" s="5" t="s">
        <v>1029</v>
      </c>
      <c r="C328" s="5" t="s">
        <v>181</v>
      </c>
      <c r="D328" s="5" t="s">
        <v>387</v>
      </c>
      <c r="E328" s="5" t="s">
        <v>0</v>
      </c>
      <c r="F328" s="5" t="s">
        <v>0</v>
      </c>
      <c r="G328" s="5" t="s">
        <v>183</v>
      </c>
      <c r="H328" s="8">
        <v>34.04</v>
      </c>
      <c r="I328" s="7">
        <f>ROUND(97888.0599999999,2)</f>
        <v>97888.06</v>
      </c>
      <c r="J328" s="6"/>
      <c r="K328" s="6"/>
      <c r="L328" s="6"/>
      <c r="M328" s="6"/>
      <c r="N328" s="7">
        <f>ROUND(1168,2)</f>
        <v>1168</v>
      </c>
      <c r="O328" s="6"/>
      <c r="P328" s="6"/>
      <c r="Q328" s="7">
        <f>ROUND(334.489999999999,2)</f>
        <v>334.49</v>
      </c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7">
        <f>ROUND(688,2)</f>
        <v>688</v>
      </c>
      <c r="AF328" s="6"/>
      <c r="AG328" s="7">
        <f>ROUND(117.039999999999,2)</f>
        <v>117.04</v>
      </c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7">
        <f>ROUND(60,2)</f>
        <v>60</v>
      </c>
      <c r="AV328" s="7">
        <f>ROUND(8,2)</f>
        <v>8</v>
      </c>
      <c r="AW328" s="7">
        <f>ROUND(32,2)</f>
        <v>32</v>
      </c>
      <c r="AX328" s="6"/>
      <c r="AY328" s="7">
        <f>ROUND(184,2)</f>
        <v>184</v>
      </c>
      <c r="AZ328" s="6"/>
      <c r="BA328" s="6"/>
      <c r="BB328" s="6"/>
      <c r="BC328" s="6"/>
      <c r="BD328" s="6"/>
      <c r="BE328" s="6"/>
      <c r="BF328" s="7">
        <f>ROUND(8,2)</f>
        <v>8</v>
      </c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7">
        <f>ROUND(16,2)</f>
        <v>16</v>
      </c>
      <c r="CQ328" s="7">
        <f>ROUND(2615.52999999999,2)</f>
        <v>2615.5300000000002</v>
      </c>
      <c r="CR328" s="6"/>
      <c r="CS328" s="6"/>
      <c r="CT328" s="6"/>
      <c r="CU328" s="6"/>
      <c r="CV328" s="7">
        <f>ROUND(38034.4099999999,2)</f>
        <v>38034.410000000003</v>
      </c>
      <c r="CW328" s="6"/>
      <c r="CX328" s="6"/>
      <c r="CY328" s="7">
        <f>ROUND(16330.4899999999,2)</f>
        <v>16330.49</v>
      </c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7">
        <f>ROUND(22427.6,2)</f>
        <v>22427.599999999999</v>
      </c>
      <c r="DO328" s="6"/>
      <c r="DP328" s="7">
        <f>ROUND(5754.67999999999,2)</f>
        <v>5754.68</v>
      </c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7">
        <f>ROUND(1955.08,2)</f>
        <v>1955.08</v>
      </c>
      <c r="EE328" s="7">
        <f>ROUND(396.64,2)</f>
        <v>396.64</v>
      </c>
      <c r="EF328" s="7">
        <f>ROUND(1057.6,2)</f>
        <v>1057.5999999999999</v>
      </c>
      <c r="EG328" s="6"/>
      <c r="EH328" s="7">
        <f>ROUND(6004.4,2)</f>
        <v>6004.4</v>
      </c>
      <c r="EI328" s="6"/>
      <c r="EJ328" s="6"/>
      <c r="EK328" s="6"/>
      <c r="EL328" s="6"/>
      <c r="EM328" s="6"/>
      <c r="EN328" s="6"/>
      <c r="EO328" s="6"/>
      <c r="EP328" s="7">
        <f>ROUND(385.08,2)</f>
        <v>385.08</v>
      </c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7">
        <f>ROUND(2000,2)</f>
        <v>2000</v>
      </c>
      <c r="FK328" s="6"/>
      <c r="FL328" s="6"/>
      <c r="FM328" s="6"/>
      <c r="FN328" s="6"/>
      <c r="FO328" s="6"/>
      <c r="FP328" s="6"/>
      <c r="FQ328" s="6"/>
      <c r="FR328" s="6"/>
      <c r="FS328" s="6"/>
      <c r="FT328" s="7">
        <f>ROUND(3000,2)</f>
        <v>3000</v>
      </c>
      <c r="FU328" s="6"/>
      <c r="FV328" s="6"/>
      <c r="FW328" s="6"/>
      <c r="FX328" s="7">
        <f>ROUND(542.08,2)</f>
        <v>542.08000000000004</v>
      </c>
      <c r="FY328" s="7">
        <f>ROUND(97888.0599999999,2)</f>
        <v>97888.06</v>
      </c>
    </row>
    <row r="329" spans="1:181" ht="26.4" x14ac:dyDescent="0.3">
      <c r="A329" s="4" t="s">
        <v>847</v>
      </c>
      <c r="B329" s="5"/>
      <c r="C329" s="5" t="s">
        <v>201</v>
      </c>
      <c r="D329" s="5" t="s">
        <v>609</v>
      </c>
      <c r="E329" s="5" t="s">
        <v>848</v>
      </c>
      <c r="F329" s="5" t="s">
        <v>0</v>
      </c>
      <c r="G329" s="5" t="s">
        <v>203</v>
      </c>
      <c r="H329" s="8">
        <f>ROUND(18,2)</f>
        <v>18</v>
      </c>
      <c r="I329" s="7">
        <f>ROUND(24736.5,2)</f>
        <v>24736.5</v>
      </c>
      <c r="J329" s="7">
        <f>ROUND(1114.25,2)</f>
        <v>1114.25</v>
      </c>
      <c r="K329" s="7">
        <f>ROUND(59.5,2)</f>
        <v>59.5</v>
      </c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7">
        <f>ROUND(-2.25,2)</f>
        <v>-2.25</v>
      </c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7">
        <f>ROUND(16,2)</f>
        <v>16</v>
      </c>
      <c r="BX329" s="6"/>
      <c r="BY329" s="6"/>
      <c r="BZ329" s="6"/>
      <c r="CA329" s="6"/>
      <c r="CB329" s="6"/>
      <c r="CC329" s="6"/>
      <c r="CD329" s="6"/>
      <c r="CE329" s="6"/>
      <c r="CF329" s="7">
        <f>ROUND(40,2)</f>
        <v>40</v>
      </c>
      <c r="CG329" s="7">
        <f>ROUND(25,2)</f>
        <v>25</v>
      </c>
      <c r="CH329" s="7">
        <f>ROUND(24,2)</f>
        <v>24</v>
      </c>
      <c r="CI329" s="7">
        <f>ROUND(16,2)</f>
        <v>16</v>
      </c>
      <c r="CJ329" s="6"/>
      <c r="CK329" s="6"/>
      <c r="CL329" s="7">
        <f>ROUND(12,2)</f>
        <v>12</v>
      </c>
      <c r="CM329" s="6"/>
      <c r="CN329" s="7">
        <f>ROUND(40,2)</f>
        <v>40</v>
      </c>
      <c r="CO329" s="6"/>
      <c r="CP329" s="6"/>
      <c r="CQ329" s="7">
        <f>ROUND(1344.5,2)</f>
        <v>1344.5</v>
      </c>
      <c r="CR329" s="7">
        <f>ROUND(20056.5,2)</f>
        <v>20056.5</v>
      </c>
      <c r="CS329" s="7">
        <f>ROUND(1606.5,2)</f>
        <v>1606.5</v>
      </c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7">
        <f>ROUND(-40.5,2)</f>
        <v>-40.5</v>
      </c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7">
        <f>ROUND(288,2)</f>
        <v>288</v>
      </c>
      <c r="FH329" s="6"/>
      <c r="FI329" s="6"/>
      <c r="FJ329" s="6"/>
      <c r="FK329" s="6"/>
      <c r="FL329" s="7">
        <f>ROUND(720,2)</f>
        <v>720</v>
      </c>
      <c r="FM329" s="7">
        <f>ROUND(450,2)</f>
        <v>450</v>
      </c>
      <c r="FN329" s="7">
        <f>ROUND(432,2)</f>
        <v>432</v>
      </c>
      <c r="FO329" s="7">
        <f>ROUND(288,2)</f>
        <v>288</v>
      </c>
      <c r="FP329" s="6"/>
      <c r="FQ329" s="6"/>
      <c r="FR329" s="6"/>
      <c r="FS329" s="7">
        <f>ROUND(216,2)</f>
        <v>216</v>
      </c>
      <c r="FT329" s="6"/>
      <c r="FU329" s="6"/>
      <c r="FV329" s="7">
        <f>ROUND(720,2)</f>
        <v>720</v>
      </c>
      <c r="FW329" s="6"/>
      <c r="FX329" s="6"/>
      <c r="FY329" s="7">
        <f>ROUND(24736.5,2)</f>
        <v>24736.5</v>
      </c>
    </row>
    <row r="330" spans="1:181" x14ac:dyDescent="0.3">
      <c r="A330" s="4" t="s">
        <v>849</v>
      </c>
      <c r="B330" s="5" t="s">
        <v>1029</v>
      </c>
      <c r="C330" s="5" t="s">
        <v>181</v>
      </c>
      <c r="D330" s="5" t="s">
        <v>215</v>
      </c>
      <c r="E330" s="5" t="s">
        <v>0</v>
      </c>
      <c r="F330" s="5" t="s">
        <v>0</v>
      </c>
      <c r="G330" s="5" t="s">
        <v>183</v>
      </c>
      <c r="H330" s="8">
        <v>33.880000000000003</v>
      </c>
      <c r="I330" s="7">
        <f>ROUND(85489.23,2)</f>
        <v>85489.23</v>
      </c>
      <c r="J330" s="6"/>
      <c r="K330" s="6"/>
      <c r="L330" s="6"/>
      <c r="M330" s="6"/>
      <c r="N330" s="7">
        <f>ROUND(1430.81,2)</f>
        <v>1430.81</v>
      </c>
      <c r="O330" s="6"/>
      <c r="P330" s="6"/>
      <c r="Q330" s="7">
        <f>ROUND(188.699999999999,2)</f>
        <v>188.7</v>
      </c>
      <c r="R330" s="6"/>
      <c r="S330" s="6"/>
      <c r="T330" s="6"/>
      <c r="U330" s="6"/>
      <c r="V330" s="7">
        <f>ROUND(1.75,2)</f>
        <v>1.75</v>
      </c>
      <c r="W330" s="6"/>
      <c r="X330" s="6"/>
      <c r="Y330" s="6"/>
      <c r="Z330" s="6"/>
      <c r="AA330" s="6"/>
      <c r="AB330" s="6"/>
      <c r="AC330" s="6"/>
      <c r="AD330" s="6"/>
      <c r="AE330" s="7">
        <f>ROUND(152.51,2)</f>
        <v>152.51</v>
      </c>
      <c r="AF330" s="6"/>
      <c r="AG330" s="7">
        <f>ROUND(2.92,2)</f>
        <v>2.92</v>
      </c>
      <c r="AH330" s="6"/>
      <c r="AI330" s="6"/>
      <c r="AJ330" s="6"/>
      <c r="AK330" s="6"/>
      <c r="AL330" s="6"/>
      <c r="AM330" s="6"/>
      <c r="AN330" s="6"/>
      <c r="AO330" s="6"/>
      <c r="AP330" s="7">
        <f>ROUND(328.02,2)</f>
        <v>328.02</v>
      </c>
      <c r="AQ330" s="6"/>
      <c r="AR330" s="7">
        <f>ROUND(10.8,2)</f>
        <v>10.8</v>
      </c>
      <c r="AS330" s="6"/>
      <c r="AT330" s="6"/>
      <c r="AU330" s="7">
        <f>ROUND(68,2)</f>
        <v>68</v>
      </c>
      <c r="AV330" s="7">
        <f>ROUND(8,2)</f>
        <v>8</v>
      </c>
      <c r="AW330" s="7">
        <f>ROUND(33.33,2)</f>
        <v>33.33</v>
      </c>
      <c r="AX330" s="7">
        <f>ROUND(2.67,2)</f>
        <v>2.67</v>
      </c>
      <c r="AY330" s="7">
        <f>ROUND(68,2)</f>
        <v>68</v>
      </c>
      <c r="AZ330" s="7">
        <f>ROUND(4,2)</f>
        <v>4</v>
      </c>
      <c r="BA330" s="6"/>
      <c r="BB330" s="7">
        <f>ROUND(40,2)</f>
        <v>40</v>
      </c>
      <c r="BC330" s="6"/>
      <c r="BD330" s="7">
        <f>ROUND(8,2)</f>
        <v>8</v>
      </c>
      <c r="BE330" s="7">
        <f>ROUND(0.75,2)</f>
        <v>0.75</v>
      </c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7">
        <f>ROUND(20,2)</f>
        <v>20</v>
      </c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7">
        <f>ROUND(8,2)</f>
        <v>8</v>
      </c>
      <c r="CQ330" s="7">
        <f>ROUND(2376.26,2)</f>
        <v>2376.2600000000002</v>
      </c>
      <c r="CR330" s="6"/>
      <c r="CS330" s="6"/>
      <c r="CT330" s="6"/>
      <c r="CU330" s="6"/>
      <c r="CV330" s="7">
        <f>ROUND(46882.7,2)</f>
        <v>46882.7</v>
      </c>
      <c r="CW330" s="6"/>
      <c r="CX330" s="6"/>
      <c r="CY330" s="7">
        <f>ROUND(9292.04,2)</f>
        <v>9292.0400000000009</v>
      </c>
      <c r="CZ330" s="6"/>
      <c r="DA330" s="6"/>
      <c r="DB330" s="6"/>
      <c r="DC330" s="6"/>
      <c r="DD330" s="7">
        <f>ROUND(58.42,2)</f>
        <v>58.42</v>
      </c>
      <c r="DE330" s="6"/>
      <c r="DF330" s="6"/>
      <c r="DG330" s="6"/>
      <c r="DH330" s="6"/>
      <c r="DI330" s="6"/>
      <c r="DJ330" s="6"/>
      <c r="DK330" s="6"/>
      <c r="DL330" s="6"/>
      <c r="DM330" s="6"/>
      <c r="DN330" s="7">
        <f>ROUND(4973.04,2)</f>
        <v>4973.04</v>
      </c>
      <c r="DO330" s="6"/>
      <c r="DP330" s="7">
        <f>ROUND(141.23,2)</f>
        <v>141.22999999999999</v>
      </c>
      <c r="DQ330" s="6"/>
      <c r="DR330" s="6"/>
      <c r="DS330" s="6"/>
      <c r="DT330" s="6"/>
      <c r="DU330" s="6"/>
      <c r="DV330" s="6"/>
      <c r="DW330" s="6"/>
      <c r="DX330" s="6"/>
      <c r="DY330" s="7">
        <f>ROUND(10654.83,2)</f>
        <v>10654.83</v>
      </c>
      <c r="DZ330" s="6"/>
      <c r="EA330" s="7">
        <f>ROUND(521.01,2)</f>
        <v>521.01</v>
      </c>
      <c r="EB330" s="6"/>
      <c r="EC330" s="6"/>
      <c r="ED330" s="7">
        <f>ROUND(2210.38,2)</f>
        <v>2210.38</v>
      </c>
      <c r="EE330" s="7">
        <f>ROUND(396.64,2)</f>
        <v>396.64</v>
      </c>
      <c r="EF330" s="7">
        <f>ROUND(1069.56,2)</f>
        <v>1069.56</v>
      </c>
      <c r="EG330" s="7">
        <f>ROUND(128.52,2)</f>
        <v>128.52000000000001</v>
      </c>
      <c r="EH330" s="7">
        <f>ROUND(2201.32,2)</f>
        <v>2201.3200000000002</v>
      </c>
      <c r="EI330" s="7">
        <f>ROUND(198.3,2)</f>
        <v>198.3</v>
      </c>
      <c r="EJ330" s="6"/>
      <c r="EK330" s="7">
        <f>ROUND(1283.6,2)</f>
        <v>1283.5999999999999</v>
      </c>
      <c r="EL330" s="6"/>
      <c r="EM330" s="6"/>
      <c r="EN330" s="7">
        <f>ROUND(256.72,2)</f>
        <v>256.72000000000003</v>
      </c>
      <c r="EO330" s="7">
        <f>ROUND(24.18,2)</f>
        <v>24.18</v>
      </c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7">
        <f>ROUND(654.7,2)</f>
        <v>654.70000000000005</v>
      </c>
      <c r="FE330" s="6"/>
      <c r="FF330" s="6"/>
      <c r="FG330" s="6"/>
      <c r="FH330" s="6"/>
      <c r="FI330" s="6"/>
      <c r="FJ330" s="7">
        <f>ROUND(1275,2)</f>
        <v>1275</v>
      </c>
      <c r="FK330" s="6"/>
      <c r="FL330" s="6"/>
      <c r="FM330" s="6"/>
      <c r="FN330" s="6"/>
      <c r="FO330" s="6"/>
      <c r="FP330" s="6"/>
      <c r="FQ330" s="6"/>
      <c r="FR330" s="6"/>
      <c r="FS330" s="6"/>
      <c r="FT330" s="7">
        <f>ROUND(3000,2)</f>
        <v>3000</v>
      </c>
      <c r="FU330" s="6"/>
      <c r="FV330" s="6"/>
      <c r="FW330" s="6"/>
      <c r="FX330" s="7">
        <f>ROUND(267.04,2)</f>
        <v>267.04000000000002</v>
      </c>
      <c r="FY330" s="7">
        <f>ROUND(85489.2299999999,2)</f>
        <v>85489.23</v>
      </c>
    </row>
    <row r="331" spans="1:181" x14ac:dyDescent="0.3">
      <c r="A331" s="4" t="s">
        <v>850</v>
      </c>
      <c r="B331" s="5" t="s">
        <v>1029</v>
      </c>
      <c r="C331" s="5" t="s">
        <v>181</v>
      </c>
      <c r="D331" s="5" t="s">
        <v>368</v>
      </c>
      <c r="E331" s="5" t="s">
        <v>0</v>
      </c>
      <c r="F331" s="5" t="s">
        <v>0</v>
      </c>
      <c r="G331" s="5" t="s">
        <v>183</v>
      </c>
      <c r="H331" s="8">
        <v>34.04</v>
      </c>
      <c r="I331" s="7">
        <f>ROUND(104735.81,2)</f>
        <v>104735.81</v>
      </c>
      <c r="J331" s="6"/>
      <c r="K331" s="6"/>
      <c r="L331" s="6"/>
      <c r="M331" s="6"/>
      <c r="N331" s="7">
        <f>ROUND(1951.57,2)</f>
        <v>1951.57</v>
      </c>
      <c r="O331" s="6"/>
      <c r="P331" s="6"/>
      <c r="Q331" s="7">
        <f>ROUND(484.02,2)</f>
        <v>484.02</v>
      </c>
      <c r="R331" s="6"/>
      <c r="S331" s="6"/>
      <c r="T331" s="6"/>
      <c r="U331" s="6"/>
      <c r="V331" s="7">
        <f>ROUND(7.05,2)</f>
        <v>7.05</v>
      </c>
      <c r="W331" s="7">
        <f>ROUND(38.2699999999999,2)</f>
        <v>38.270000000000003</v>
      </c>
      <c r="X331" s="7">
        <f>ROUND(17.16,2)</f>
        <v>17.16</v>
      </c>
      <c r="Y331" s="7">
        <f>ROUND(0.58,2)</f>
        <v>0.57999999999999996</v>
      </c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7">
        <f>ROUND(25,2)</f>
        <v>25</v>
      </c>
      <c r="AS331" s="6"/>
      <c r="AT331" s="6"/>
      <c r="AU331" s="7">
        <f>ROUND(65.62,2)</f>
        <v>65.62</v>
      </c>
      <c r="AV331" s="7">
        <f>ROUND(2.38,2)</f>
        <v>2.38</v>
      </c>
      <c r="AW331" s="7">
        <f>ROUND(8,2)</f>
        <v>8</v>
      </c>
      <c r="AX331" s="7">
        <f>ROUND(16,2)</f>
        <v>16</v>
      </c>
      <c r="AY331" s="7">
        <f>ROUND(80,2)</f>
        <v>80</v>
      </c>
      <c r="AZ331" s="6"/>
      <c r="BA331" s="6"/>
      <c r="BB331" s="7">
        <f>ROUND(8,2)</f>
        <v>8</v>
      </c>
      <c r="BC331" s="6"/>
      <c r="BD331" s="7">
        <f>ROUND(8,2)</f>
        <v>8</v>
      </c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7">
        <f>ROUND(80,2)</f>
        <v>80</v>
      </c>
      <c r="CQ331" s="7">
        <f>ROUND(2791.65,2)</f>
        <v>2791.65</v>
      </c>
      <c r="CR331" s="6"/>
      <c r="CS331" s="6"/>
      <c r="CT331" s="6"/>
      <c r="CU331" s="6"/>
      <c r="CV331" s="7">
        <f>ROUND(63581.9,2)</f>
        <v>63581.9</v>
      </c>
      <c r="CW331" s="6"/>
      <c r="CX331" s="6"/>
      <c r="CY331" s="7">
        <f>ROUND(23628.74,2)</f>
        <v>23628.74</v>
      </c>
      <c r="CZ331" s="6"/>
      <c r="DA331" s="6"/>
      <c r="DB331" s="6"/>
      <c r="DC331" s="6"/>
      <c r="DD331" s="7">
        <f>ROUND(234.06,2)</f>
        <v>234.06</v>
      </c>
      <c r="DE331" s="7">
        <f>ROUND(1892.6,2)</f>
        <v>1892.6</v>
      </c>
      <c r="DF331" s="7">
        <f>ROUND(555.52,2)</f>
        <v>555.52</v>
      </c>
      <c r="DG331" s="7">
        <f>ROUND(27.92,2)</f>
        <v>27.92</v>
      </c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7">
        <f>ROUND(1232.49,2)</f>
        <v>1232.49</v>
      </c>
      <c r="EB331" s="6"/>
      <c r="EC331" s="6"/>
      <c r="ED331" s="7">
        <f>ROUND(2136.82,2)</f>
        <v>2136.8200000000002</v>
      </c>
      <c r="EE331" s="7">
        <f>ROUND(118,2)</f>
        <v>118</v>
      </c>
      <c r="EF331" s="7">
        <f>ROUND(264.4,2)</f>
        <v>264.39999999999998</v>
      </c>
      <c r="EG331" s="7">
        <f>ROUND(793.2,2)</f>
        <v>793.2</v>
      </c>
      <c r="EH331" s="7">
        <f>ROUND(2636.31999999999,2)</f>
        <v>2636.32</v>
      </c>
      <c r="EI331" s="6"/>
      <c r="EJ331" s="6"/>
      <c r="EK331" s="7">
        <f>ROUND(256.72,2)</f>
        <v>256.72000000000003</v>
      </c>
      <c r="EL331" s="6"/>
      <c r="EM331" s="6"/>
      <c r="EN331" s="7">
        <f>ROUND(256.72,2)</f>
        <v>256.72000000000003</v>
      </c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7">
        <f>ROUND(1450,2)</f>
        <v>1450</v>
      </c>
      <c r="FK331" s="6"/>
      <c r="FL331" s="6"/>
      <c r="FM331" s="6"/>
      <c r="FN331" s="6"/>
      <c r="FO331" s="6"/>
      <c r="FP331" s="6"/>
      <c r="FQ331" s="6"/>
      <c r="FR331" s="6"/>
      <c r="FS331" s="6"/>
      <c r="FT331" s="7">
        <f>ROUND(3000,2)</f>
        <v>3000</v>
      </c>
      <c r="FU331" s="6"/>
      <c r="FV331" s="6"/>
      <c r="FW331" s="6"/>
      <c r="FX331" s="7">
        <f>ROUND(2670.4,2)</f>
        <v>2670.4</v>
      </c>
      <c r="FY331" s="7">
        <f>ROUND(104735.81,2)</f>
        <v>104735.81</v>
      </c>
    </row>
    <row r="332" spans="1:181" x14ac:dyDescent="0.3">
      <c r="A332" s="4" t="s">
        <v>851</v>
      </c>
      <c r="B332" s="5" t="s">
        <v>1029</v>
      </c>
      <c r="C332" s="5" t="s">
        <v>181</v>
      </c>
      <c r="D332" s="5" t="s">
        <v>196</v>
      </c>
      <c r="E332" s="5" t="s">
        <v>0</v>
      </c>
      <c r="F332" s="5" t="s">
        <v>0</v>
      </c>
      <c r="G332" s="5" t="s">
        <v>183</v>
      </c>
      <c r="H332" s="8">
        <v>33.380000000000003</v>
      </c>
      <c r="I332" s="7">
        <f>ROUND(44006.85,2)</f>
        <v>44006.85</v>
      </c>
      <c r="J332" s="6"/>
      <c r="K332" s="6"/>
      <c r="L332" s="6"/>
      <c r="M332" s="6"/>
      <c r="N332" s="7">
        <f>ROUND(973.08,2)</f>
        <v>973.08</v>
      </c>
      <c r="O332" s="6"/>
      <c r="P332" s="6"/>
      <c r="Q332" s="7">
        <f>ROUND(31.82,2)</f>
        <v>31.82</v>
      </c>
      <c r="R332" s="6"/>
      <c r="S332" s="6"/>
      <c r="T332" s="6"/>
      <c r="U332" s="6"/>
      <c r="V332" s="7">
        <f>ROUND(7.5,2)</f>
        <v>7.5</v>
      </c>
      <c r="W332" s="7">
        <f>ROUND(8.67,2)</f>
        <v>8.67</v>
      </c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7">
        <f>ROUND(0.5,2)</f>
        <v>0.5</v>
      </c>
      <c r="AQ332" s="6"/>
      <c r="AR332" s="7">
        <f>ROUND(5.5,2)</f>
        <v>5.5</v>
      </c>
      <c r="AS332" s="6"/>
      <c r="AT332" s="6"/>
      <c r="AU332" s="7">
        <f>ROUND(40,2)</f>
        <v>40</v>
      </c>
      <c r="AV332" s="6"/>
      <c r="AW332" s="7">
        <f>ROUND(34,2)</f>
        <v>34</v>
      </c>
      <c r="AX332" s="6"/>
      <c r="AY332" s="7">
        <f>ROUND(72,2)</f>
        <v>72</v>
      </c>
      <c r="AZ332" s="6"/>
      <c r="BA332" s="6"/>
      <c r="BB332" s="7">
        <f>ROUND(8,2)</f>
        <v>8</v>
      </c>
      <c r="BC332" s="6"/>
      <c r="BD332" s="7">
        <f>ROUND(9,2)</f>
        <v>9</v>
      </c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7">
        <f>ROUND(824,2)</f>
        <v>824</v>
      </c>
      <c r="BT332" s="7">
        <f>ROUND(3.92,2)</f>
        <v>3.92</v>
      </c>
      <c r="BU332" s="6"/>
      <c r="BV332" s="6"/>
      <c r="BW332" s="7">
        <f>ROUND(24,2)</f>
        <v>24</v>
      </c>
      <c r="BX332" s="6"/>
      <c r="BY332" s="7">
        <f>ROUND(32,2)</f>
        <v>32</v>
      </c>
      <c r="BZ332" s="6"/>
      <c r="CA332" s="7">
        <f>ROUND(64,2)</f>
        <v>64</v>
      </c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7">
        <f>ROUND(2137.99,2)</f>
        <v>2137.9899999999998</v>
      </c>
      <c r="CR332" s="6"/>
      <c r="CS332" s="6"/>
      <c r="CT332" s="6"/>
      <c r="CU332" s="6"/>
      <c r="CV332" s="7">
        <f>ROUND(32200.59,2)</f>
        <v>32200.59</v>
      </c>
      <c r="CW332" s="6"/>
      <c r="CX332" s="6"/>
      <c r="CY332" s="7">
        <f>ROUND(1584.72,2)</f>
        <v>1584.72</v>
      </c>
      <c r="CZ332" s="6"/>
      <c r="DA332" s="6"/>
      <c r="DB332" s="6"/>
      <c r="DC332" s="6"/>
      <c r="DD332" s="7">
        <f>ROUND(247.88,2)</f>
        <v>247.88</v>
      </c>
      <c r="DE332" s="7">
        <f>ROUND(431.77,2)</f>
        <v>431.77</v>
      </c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7">
        <f>ROUND(16.6,2)</f>
        <v>16.600000000000001</v>
      </c>
      <c r="DZ332" s="6"/>
      <c r="EA332" s="7">
        <f>ROUND(273.9,2)</f>
        <v>273.89999999999998</v>
      </c>
      <c r="EB332" s="6"/>
      <c r="EC332" s="6"/>
      <c r="ED332" s="7">
        <f>ROUND(1309.28,2)</f>
        <v>1309.28</v>
      </c>
      <c r="EE332" s="6"/>
      <c r="EF332" s="7">
        <f>ROUND(1123.69999999999,2)</f>
        <v>1123.7</v>
      </c>
      <c r="EG332" s="6"/>
      <c r="EH332" s="7">
        <f>ROUND(2356.56,2)</f>
        <v>2356.56</v>
      </c>
      <c r="EI332" s="6"/>
      <c r="EJ332" s="6"/>
      <c r="EK332" s="7">
        <f>ROUND(264.4,2)</f>
        <v>264.39999999999998</v>
      </c>
      <c r="EL332" s="6"/>
      <c r="EM332" s="6"/>
      <c r="EN332" s="7">
        <f>ROUND(297.45,2)</f>
        <v>297.45</v>
      </c>
      <c r="EO332" s="6"/>
      <c r="EP332" s="6"/>
      <c r="EQ332" s="6"/>
      <c r="ER332" s="6"/>
      <c r="ES332" s="6"/>
      <c r="ET332" s="6"/>
      <c r="EU332" s="6"/>
      <c r="EV332" s="7">
        <f>ROUND(500,2)</f>
        <v>500</v>
      </c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7">
        <f>ROUND(400,2)</f>
        <v>400</v>
      </c>
      <c r="FK332" s="6"/>
      <c r="FL332" s="6"/>
      <c r="FM332" s="6"/>
      <c r="FN332" s="6"/>
      <c r="FO332" s="6"/>
      <c r="FP332" s="6"/>
      <c r="FQ332" s="6"/>
      <c r="FR332" s="6"/>
      <c r="FS332" s="6"/>
      <c r="FT332" s="7">
        <f>ROUND(3000,2)</f>
        <v>3000</v>
      </c>
      <c r="FU332" s="6"/>
      <c r="FV332" s="6"/>
      <c r="FW332" s="6"/>
      <c r="FX332" s="6"/>
      <c r="FY332" s="7">
        <f>ROUND(44006.85,2)</f>
        <v>44006.85</v>
      </c>
    </row>
    <row r="333" spans="1:181" x14ac:dyDescent="0.3">
      <c r="A333" s="4" t="s">
        <v>852</v>
      </c>
      <c r="B333" s="5" t="s">
        <v>1029</v>
      </c>
      <c r="C333" s="5" t="s">
        <v>181</v>
      </c>
      <c r="D333" s="5" t="s">
        <v>390</v>
      </c>
      <c r="E333" s="5" t="s">
        <v>0</v>
      </c>
      <c r="F333" s="5" t="s">
        <v>0</v>
      </c>
      <c r="G333" s="5" t="s">
        <v>183</v>
      </c>
      <c r="H333" s="9">
        <v>33.380000000000003</v>
      </c>
      <c r="I333" s="7">
        <f>ROUND(92050.22,2)</f>
        <v>92050.22</v>
      </c>
      <c r="J333" s="6"/>
      <c r="K333" s="6"/>
      <c r="L333" s="6"/>
      <c r="M333" s="6"/>
      <c r="N333" s="7">
        <f>ROUND(913.07,2)</f>
        <v>913.07</v>
      </c>
      <c r="O333" s="6"/>
      <c r="P333" s="6"/>
      <c r="Q333" s="7">
        <f>ROUND(241.92,2)</f>
        <v>241.92</v>
      </c>
      <c r="R333" s="6"/>
      <c r="S333" s="6"/>
      <c r="T333" s="6"/>
      <c r="U333" s="6"/>
      <c r="V333" s="7">
        <f>ROUND(24.92,2)</f>
        <v>24.92</v>
      </c>
      <c r="W333" s="7">
        <f>ROUND(35.14,2)</f>
        <v>35.14</v>
      </c>
      <c r="X333" s="7">
        <f>ROUND(1.97,2)</f>
        <v>1.97</v>
      </c>
      <c r="Y333" s="7">
        <f>ROUND(0.78,2)</f>
        <v>0.78</v>
      </c>
      <c r="Z333" s="6"/>
      <c r="AA333" s="6"/>
      <c r="AB333" s="6"/>
      <c r="AC333" s="6"/>
      <c r="AD333" s="6"/>
      <c r="AE333" s="7">
        <f>ROUND(277.88,2)</f>
        <v>277.88</v>
      </c>
      <c r="AF333" s="6"/>
      <c r="AG333" s="7">
        <f>ROUND(77.78,2)</f>
        <v>77.78</v>
      </c>
      <c r="AH333" s="6"/>
      <c r="AI333" s="6"/>
      <c r="AJ333" s="6"/>
      <c r="AK333" s="6"/>
      <c r="AL333" s="6"/>
      <c r="AM333" s="6"/>
      <c r="AN333" s="6"/>
      <c r="AO333" s="6"/>
      <c r="AP333" s="7">
        <f>ROUND(623.73,2)</f>
        <v>623.73</v>
      </c>
      <c r="AQ333" s="6"/>
      <c r="AR333" s="7">
        <f>ROUND(107.71,2)</f>
        <v>107.71</v>
      </c>
      <c r="AS333" s="6"/>
      <c r="AT333" s="6"/>
      <c r="AU333" s="7">
        <f>ROUND(66,2)</f>
        <v>66</v>
      </c>
      <c r="AV333" s="6"/>
      <c r="AW333" s="7">
        <f>ROUND(36,2)</f>
        <v>36</v>
      </c>
      <c r="AX333" s="6"/>
      <c r="AY333" s="7">
        <f>ROUND(47.08,2)</f>
        <v>47.08</v>
      </c>
      <c r="AZ333" s="7">
        <f>ROUND(0.92,2)</f>
        <v>0.92</v>
      </c>
      <c r="BA333" s="6"/>
      <c r="BB333" s="6"/>
      <c r="BC333" s="6"/>
      <c r="BD333" s="7">
        <f>ROUND(8,2)</f>
        <v>8</v>
      </c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7">
        <f>ROUND(33.87,2)</f>
        <v>33.869999999999997</v>
      </c>
      <c r="BP333" s="6"/>
      <c r="BQ333" s="7">
        <f>ROUND(28.08,2)</f>
        <v>28.08</v>
      </c>
      <c r="BR333" s="6"/>
      <c r="BS333" s="6"/>
      <c r="BT333" s="6"/>
      <c r="BU333" s="6"/>
      <c r="BV333" s="6"/>
      <c r="BW333" s="7">
        <f>ROUND(8,2)</f>
        <v>8</v>
      </c>
      <c r="BX333" s="7">
        <f>ROUND(24,2)</f>
        <v>24</v>
      </c>
      <c r="BY333" s="7">
        <f>ROUND(40,2)</f>
        <v>40</v>
      </c>
      <c r="BZ333" s="6"/>
      <c r="CA333" s="7">
        <f>ROUND(8,2)</f>
        <v>8</v>
      </c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7">
        <f>ROUND(2604.85,2)</f>
        <v>2604.85</v>
      </c>
      <c r="CR333" s="6"/>
      <c r="CS333" s="6"/>
      <c r="CT333" s="6"/>
      <c r="CU333" s="6"/>
      <c r="CV333" s="7">
        <f>ROUND(29063.72,2)</f>
        <v>29063.72</v>
      </c>
      <c r="CW333" s="6"/>
      <c r="CX333" s="6"/>
      <c r="CY333" s="7">
        <f>ROUND(11620.82,2)</f>
        <v>11620.82</v>
      </c>
      <c r="CZ333" s="6"/>
      <c r="DA333" s="6"/>
      <c r="DB333" s="6"/>
      <c r="DC333" s="6"/>
      <c r="DD333" s="7">
        <f>ROUND(819.469999999999,2)</f>
        <v>819.47</v>
      </c>
      <c r="DE333" s="7">
        <f>ROUND(1674.08,2)</f>
        <v>1674.08</v>
      </c>
      <c r="DF333" s="7">
        <f>ROUND(62.76,2)</f>
        <v>62.76</v>
      </c>
      <c r="DG333" s="7">
        <f>ROUND(35.67,2)</f>
        <v>35.67</v>
      </c>
      <c r="DH333" s="6"/>
      <c r="DI333" s="6"/>
      <c r="DJ333" s="6"/>
      <c r="DK333" s="6"/>
      <c r="DL333" s="6"/>
      <c r="DM333" s="6"/>
      <c r="DN333" s="7">
        <f>ROUND(8918.52,2)</f>
        <v>8918.52</v>
      </c>
      <c r="DO333" s="6"/>
      <c r="DP333" s="7">
        <f>ROUND(3735.29999999999,2)</f>
        <v>3735.3</v>
      </c>
      <c r="DQ333" s="6"/>
      <c r="DR333" s="6"/>
      <c r="DS333" s="6"/>
      <c r="DT333" s="6"/>
      <c r="DU333" s="6"/>
      <c r="DV333" s="6"/>
      <c r="DW333" s="6"/>
      <c r="DX333" s="6"/>
      <c r="DY333" s="7">
        <f>ROUND(19645.92,2)</f>
        <v>19645.919999999998</v>
      </c>
      <c r="DZ333" s="6"/>
      <c r="EA333" s="7">
        <f>ROUND(5072.68,2)</f>
        <v>5072.68</v>
      </c>
      <c r="EB333" s="6"/>
      <c r="EC333" s="6"/>
      <c r="ED333" s="7">
        <f>ROUND(2044.22,2)</f>
        <v>2044.22</v>
      </c>
      <c r="EE333" s="6"/>
      <c r="EF333" s="7">
        <f>ROUND(1097.63999999999,2)</f>
        <v>1097.6400000000001</v>
      </c>
      <c r="EG333" s="6"/>
      <c r="EH333" s="7">
        <f>ROUND(1435.46999999999,2)</f>
        <v>1435.47</v>
      </c>
      <c r="EI333" s="7">
        <f>ROUND(42.08,2)</f>
        <v>42.08</v>
      </c>
      <c r="EJ333" s="6"/>
      <c r="EK333" s="6"/>
      <c r="EL333" s="6"/>
      <c r="EM333" s="6"/>
      <c r="EN333" s="7">
        <f>ROUND(243.92,2)</f>
        <v>243.92</v>
      </c>
      <c r="EO333" s="6"/>
      <c r="EP333" s="6"/>
      <c r="EQ333" s="6"/>
      <c r="ER333" s="6"/>
      <c r="ES333" s="6"/>
      <c r="ET333" s="6"/>
      <c r="EU333" s="6"/>
      <c r="EV333" s="7">
        <f>ROUND(500,2)</f>
        <v>500</v>
      </c>
      <c r="EW333" s="6"/>
      <c r="EX333" s="6"/>
      <c r="EY333" s="6"/>
      <c r="EZ333" s="6"/>
      <c r="FA333" s="6"/>
      <c r="FB333" s="7">
        <f>ROUND(1106.61,2)</f>
        <v>1106.6099999999999</v>
      </c>
      <c r="FC333" s="6"/>
      <c r="FD333" s="7">
        <f>ROUND(931.34,2)</f>
        <v>931.34</v>
      </c>
      <c r="FE333" s="6"/>
      <c r="FF333" s="6"/>
      <c r="FG333" s="6"/>
      <c r="FH333" s="6"/>
      <c r="FI333" s="6"/>
      <c r="FJ333" s="7">
        <f>ROUND(1000,2)</f>
        <v>1000</v>
      </c>
      <c r="FK333" s="6"/>
      <c r="FL333" s="6"/>
      <c r="FM333" s="6"/>
      <c r="FN333" s="6"/>
      <c r="FO333" s="6"/>
      <c r="FP333" s="6"/>
      <c r="FQ333" s="6"/>
      <c r="FR333" s="6"/>
      <c r="FS333" s="6"/>
      <c r="FT333" s="7">
        <f>ROUND(3000,2)</f>
        <v>3000</v>
      </c>
      <c r="FU333" s="6"/>
      <c r="FV333" s="6"/>
      <c r="FW333" s="6"/>
      <c r="FX333" s="6"/>
      <c r="FY333" s="7">
        <f>ROUND(92050.22,2)</f>
        <v>92050.22</v>
      </c>
    </row>
    <row r="334" spans="1:181" x14ac:dyDescent="0.3">
      <c r="A334" s="4" t="s">
        <v>853</v>
      </c>
      <c r="B334" s="5" t="s">
        <v>1029</v>
      </c>
      <c r="C334" s="5" t="s">
        <v>236</v>
      </c>
      <c r="D334" s="5" t="s">
        <v>854</v>
      </c>
      <c r="E334" s="5" t="s">
        <v>0</v>
      </c>
      <c r="F334" s="5" t="s">
        <v>0</v>
      </c>
      <c r="G334" s="5" t="s">
        <v>330</v>
      </c>
      <c r="H334" s="8">
        <v>28.28</v>
      </c>
      <c r="I334" s="7">
        <f>ROUND(77851.64,2)</f>
        <v>77851.64</v>
      </c>
      <c r="J334" s="6"/>
      <c r="K334" s="6"/>
      <c r="L334" s="6"/>
      <c r="M334" s="6"/>
      <c r="N334" s="6"/>
      <c r="O334" s="6"/>
      <c r="P334" s="6"/>
      <c r="Q334" s="6"/>
      <c r="R334" s="7">
        <f>ROUND(1944,2)</f>
        <v>1944</v>
      </c>
      <c r="S334" s="7">
        <f>ROUND(312,2)</f>
        <v>312</v>
      </c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7">
        <f>ROUND(56,2)</f>
        <v>56</v>
      </c>
      <c r="AV334" s="6"/>
      <c r="AW334" s="7">
        <f>ROUND(24,2)</f>
        <v>24</v>
      </c>
      <c r="AX334" s="7">
        <f>ROUND(24,2)</f>
        <v>24</v>
      </c>
      <c r="AY334" s="7">
        <f>ROUND(72,2)</f>
        <v>72</v>
      </c>
      <c r="AZ334" s="7">
        <f>ROUND(8,2)</f>
        <v>8</v>
      </c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7">
        <f>ROUND(24,2)</f>
        <v>24</v>
      </c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7">
        <f>ROUND(2464,2)</f>
        <v>2464</v>
      </c>
      <c r="CR334" s="6"/>
      <c r="CS334" s="6"/>
      <c r="CT334" s="6"/>
      <c r="CU334" s="6"/>
      <c r="CV334" s="6"/>
      <c r="CW334" s="6"/>
      <c r="CX334" s="6"/>
      <c r="CY334" s="6"/>
      <c r="CZ334" s="7">
        <f>ROUND(54786.88,2)</f>
        <v>54786.879999999997</v>
      </c>
      <c r="DA334" s="7">
        <f>ROUND(13187.5199999999,2)</f>
        <v>13187.52</v>
      </c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7">
        <f>ROUND(1570.24,2)</f>
        <v>1570.24</v>
      </c>
      <c r="EE334" s="6"/>
      <c r="EF334" s="7">
        <f>ROUND(672,2)</f>
        <v>672</v>
      </c>
      <c r="EG334" s="7">
        <f>ROUND(1008,2)</f>
        <v>1008</v>
      </c>
      <c r="EH334" s="7">
        <f>ROUND(2016,2)</f>
        <v>2016</v>
      </c>
      <c r="EI334" s="7">
        <f>ROUND(336,2)</f>
        <v>336</v>
      </c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7">
        <f>ROUND(1275,2)</f>
        <v>1275</v>
      </c>
      <c r="FK334" s="6"/>
      <c r="FL334" s="6"/>
      <c r="FM334" s="6"/>
      <c r="FN334" s="6"/>
      <c r="FO334" s="6"/>
      <c r="FP334" s="6"/>
      <c r="FQ334" s="6"/>
      <c r="FR334" s="6"/>
      <c r="FS334" s="6"/>
      <c r="FT334" s="7">
        <f>ROUND(3000,2)</f>
        <v>3000</v>
      </c>
      <c r="FU334" s="6"/>
      <c r="FV334" s="6"/>
      <c r="FW334" s="6"/>
      <c r="FX334" s="6"/>
      <c r="FY334" s="7">
        <f>ROUND(77851.64,2)</f>
        <v>77851.64</v>
      </c>
    </row>
    <row r="335" spans="1:181" ht="26.4" x14ac:dyDescent="0.3">
      <c r="A335" s="4" t="s">
        <v>855</v>
      </c>
      <c r="B335" s="5"/>
      <c r="C335" s="5" t="s">
        <v>223</v>
      </c>
      <c r="D335" s="5" t="s">
        <v>856</v>
      </c>
      <c r="E335" s="5" t="s">
        <v>857</v>
      </c>
      <c r="F335" s="5" t="s">
        <v>856</v>
      </c>
      <c r="G335" s="5" t="s">
        <v>858</v>
      </c>
      <c r="H335" s="8">
        <f>ROUND(2997.05,2)</f>
        <v>2997.05</v>
      </c>
      <c r="I335" s="7">
        <f>ROUND(115595.93,2)</f>
        <v>115595.93</v>
      </c>
      <c r="J335" s="7">
        <f>ROUND(800,2)</f>
        <v>800</v>
      </c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7">
        <f>ROUND(32,2)</f>
        <v>32</v>
      </c>
      <c r="CI335" s="6"/>
      <c r="CJ335" s="6"/>
      <c r="CK335" s="6"/>
      <c r="CL335" s="6"/>
      <c r="CM335" s="6"/>
      <c r="CN335" s="7">
        <f>ROUND(40,2)</f>
        <v>40</v>
      </c>
      <c r="CO335" s="6"/>
      <c r="CP335" s="7">
        <f>ROUND(320,2)</f>
        <v>320</v>
      </c>
      <c r="CQ335" s="7">
        <f>ROUND(1192,2)</f>
        <v>1192</v>
      </c>
      <c r="CR335" s="7">
        <f>ROUND(86914.45,2)</f>
        <v>86914.45</v>
      </c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7">
        <f>ROUND(295,2)</f>
        <v>295</v>
      </c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7">
        <f>ROUND(4408.88,2)</f>
        <v>4408.88</v>
      </c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7">
        <f>ROUND(23977.6,2)</f>
        <v>23977.599999999999</v>
      </c>
      <c r="FY335" s="7">
        <f>ROUND(115595.93,2)</f>
        <v>115595.93</v>
      </c>
    </row>
    <row r="336" spans="1:181" x14ac:dyDescent="0.3">
      <c r="A336" s="4" t="s">
        <v>859</v>
      </c>
      <c r="B336" s="5" t="s">
        <v>1029</v>
      </c>
      <c r="C336" s="5" t="s">
        <v>181</v>
      </c>
      <c r="D336" s="5" t="s">
        <v>249</v>
      </c>
      <c r="E336" s="5" t="s">
        <v>0</v>
      </c>
      <c r="F336" s="5" t="s">
        <v>0</v>
      </c>
      <c r="G336" s="5" t="s">
        <v>183</v>
      </c>
      <c r="H336" s="8">
        <v>33.380000000000003</v>
      </c>
      <c r="I336" s="7">
        <f>ROUND(46711.9799999999,2)</f>
        <v>46711.98</v>
      </c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7">
        <f>ROUND(40,2)</f>
        <v>40</v>
      </c>
      <c r="AV336" s="6"/>
      <c r="AW336" s="6"/>
      <c r="AX336" s="6"/>
      <c r="AY336" s="7">
        <f>ROUND(85,2)</f>
        <v>85</v>
      </c>
      <c r="AZ336" s="6"/>
      <c r="BA336" s="6"/>
      <c r="BB336" s="6"/>
      <c r="BC336" s="6"/>
      <c r="BD336" s="7">
        <f>ROUND(8,2)</f>
        <v>8</v>
      </c>
      <c r="BE336" s="6"/>
      <c r="BF336" s="6"/>
      <c r="BG336" s="7">
        <f>ROUND(15,2)</f>
        <v>15</v>
      </c>
      <c r="BH336" s="6"/>
      <c r="BI336" s="6"/>
      <c r="BJ336" s="6"/>
      <c r="BK336" s="6"/>
      <c r="BL336" s="6"/>
      <c r="BM336" s="6"/>
      <c r="BN336" s="6"/>
      <c r="BO336" s="7">
        <f>ROUND(811.05,2)</f>
        <v>811.05</v>
      </c>
      <c r="BP336" s="6"/>
      <c r="BQ336" s="7">
        <f>ROUND(408.159999999999,2)</f>
        <v>408.16</v>
      </c>
      <c r="BR336" s="6"/>
      <c r="BS336" s="7">
        <f>ROUND(4.67,2)</f>
        <v>4.67</v>
      </c>
      <c r="BT336" s="7">
        <f>ROUND(2.25,2)</f>
        <v>2.25</v>
      </c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7">
        <f>ROUND(1374.13,2)</f>
        <v>1374.13</v>
      </c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7">
        <f>ROUND(1304.45,2)</f>
        <v>1304.45</v>
      </c>
      <c r="EE336" s="6"/>
      <c r="EF336" s="6"/>
      <c r="EG336" s="6"/>
      <c r="EH336" s="7">
        <f>ROUND(2814.5,2)</f>
        <v>2814.5</v>
      </c>
      <c r="EI336" s="6"/>
      <c r="EJ336" s="6"/>
      <c r="EK336" s="6"/>
      <c r="EL336" s="6"/>
      <c r="EM336" s="6"/>
      <c r="EN336" s="7">
        <f>ROUND(256.72,2)</f>
        <v>256.72000000000003</v>
      </c>
      <c r="EO336" s="6"/>
      <c r="EP336" s="6"/>
      <c r="EQ336" s="7">
        <f>ROUND(481.349999999999,2)</f>
        <v>481.35</v>
      </c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7">
        <f>ROUND(26557.0799999999,2)</f>
        <v>26557.08</v>
      </c>
      <c r="FC336" s="6"/>
      <c r="FD336" s="7">
        <f>ROUND(13097.88,2)</f>
        <v>13097.88</v>
      </c>
      <c r="FE336" s="6"/>
      <c r="FF336" s="6"/>
      <c r="FG336" s="6"/>
      <c r="FH336" s="6"/>
      <c r="FI336" s="6"/>
      <c r="FJ336" s="7">
        <f>ROUND(700,2)</f>
        <v>700</v>
      </c>
      <c r="FK336" s="6"/>
      <c r="FL336" s="6"/>
      <c r="FM336" s="6"/>
      <c r="FN336" s="6"/>
      <c r="FO336" s="6"/>
      <c r="FP336" s="6"/>
      <c r="FQ336" s="6"/>
      <c r="FR336" s="6"/>
      <c r="FS336" s="6"/>
      <c r="FT336" s="7">
        <f>ROUND(1500,2)</f>
        <v>1500</v>
      </c>
      <c r="FU336" s="6"/>
      <c r="FV336" s="6"/>
      <c r="FW336" s="6"/>
      <c r="FX336" s="6"/>
      <c r="FY336" s="7">
        <f>ROUND(46711.9799999999,2)</f>
        <v>46711.98</v>
      </c>
    </row>
    <row r="337" spans="1:181" x14ac:dyDescent="0.3">
      <c r="A337" s="4" t="s">
        <v>860</v>
      </c>
      <c r="B337" s="5" t="s">
        <v>1029</v>
      </c>
      <c r="C337" s="5" t="s">
        <v>236</v>
      </c>
      <c r="D337" s="5" t="s">
        <v>861</v>
      </c>
      <c r="E337" s="5" t="s">
        <v>0</v>
      </c>
      <c r="F337" s="5" t="s">
        <v>0</v>
      </c>
      <c r="G337" s="5" t="s">
        <v>238</v>
      </c>
      <c r="H337" s="8">
        <v>37.75</v>
      </c>
      <c r="I337" s="7">
        <f>ROUND(120999.51,2)</f>
        <v>120999.51</v>
      </c>
      <c r="J337" s="6"/>
      <c r="K337" s="6"/>
      <c r="L337" s="7">
        <f>ROUND(1942,2)</f>
        <v>1942</v>
      </c>
      <c r="M337" s="7">
        <f>ROUND(670,2)</f>
        <v>670</v>
      </c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7">
        <f>ROUND(56,2)</f>
        <v>56</v>
      </c>
      <c r="AV337" s="6"/>
      <c r="AW337" s="7">
        <f>ROUND(24,2)</f>
        <v>24</v>
      </c>
      <c r="AX337" s="7">
        <f>ROUND(8,2)</f>
        <v>8</v>
      </c>
      <c r="AY337" s="7">
        <f>ROUND(98,2)</f>
        <v>98</v>
      </c>
      <c r="AZ337" s="7">
        <f>ROUND(6,2)</f>
        <v>6</v>
      </c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7">
        <f>ROUND(2804,2)</f>
        <v>2804</v>
      </c>
      <c r="CR337" s="6"/>
      <c r="CS337" s="6"/>
      <c r="CT337" s="7">
        <f>ROUND(71569.4699999999,2)</f>
        <v>71569.47</v>
      </c>
      <c r="CU337" s="7">
        <f>ROUND(37070.86,2)</f>
        <v>37070.86</v>
      </c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7">
        <f>ROUND(2063.12,2)</f>
        <v>2063.12</v>
      </c>
      <c r="EE337" s="6"/>
      <c r="EF337" s="7">
        <f>ROUND(886.08,2)</f>
        <v>886.08</v>
      </c>
      <c r="EG337" s="7">
        <f>ROUND(448.56,2)</f>
        <v>448.56</v>
      </c>
      <c r="EH337" s="7">
        <f>ROUND(3625,2)</f>
        <v>3625</v>
      </c>
      <c r="EI337" s="7">
        <f>ROUND(336.42,2)</f>
        <v>336.42</v>
      </c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7">
        <f>ROUND(2000,2)</f>
        <v>2000</v>
      </c>
      <c r="FK337" s="6"/>
      <c r="FL337" s="6"/>
      <c r="FM337" s="6"/>
      <c r="FN337" s="6"/>
      <c r="FO337" s="6"/>
      <c r="FP337" s="6"/>
      <c r="FQ337" s="6"/>
      <c r="FR337" s="6"/>
      <c r="FS337" s="6"/>
      <c r="FT337" s="7">
        <f>ROUND(3000,2)</f>
        <v>3000</v>
      </c>
      <c r="FU337" s="6"/>
      <c r="FV337" s="6"/>
      <c r="FW337" s="6"/>
      <c r="FX337" s="6"/>
      <c r="FY337" s="7">
        <f>ROUND(120999.51,2)</f>
        <v>120999.51</v>
      </c>
    </row>
    <row r="338" spans="1:181" ht="26.4" x14ac:dyDescent="0.3">
      <c r="A338" s="4" t="s">
        <v>862</v>
      </c>
      <c r="B338" s="5"/>
      <c r="C338" s="5" t="s">
        <v>201</v>
      </c>
      <c r="D338" s="5" t="s">
        <v>863</v>
      </c>
      <c r="E338" s="5" t="s">
        <v>0</v>
      </c>
      <c r="F338" s="5" t="s">
        <v>0</v>
      </c>
      <c r="G338" s="5" t="s">
        <v>864</v>
      </c>
      <c r="H338" s="8">
        <f>ROUND(1465.2,2)</f>
        <v>1465.2</v>
      </c>
      <c r="I338" s="7">
        <f>ROUND(76684.4199999999,2)</f>
        <v>76684.42</v>
      </c>
      <c r="J338" s="7">
        <f>ROUND(1673,2)</f>
        <v>1673</v>
      </c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7">
        <f>ROUND(-8,2)</f>
        <v>-8</v>
      </c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7">
        <f>ROUND(8,2)</f>
        <v>8</v>
      </c>
      <c r="BX338" s="6"/>
      <c r="BY338" s="6"/>
      <c r="BZ338" s="6"/>
      <c r="CA338" s="6"/>
      <c r="CB338" s="6"/>
      <c r="CC338" s="6"/>
      <c r="CD338" s="6"/>
      <c r="CE338" s="6"/>
      <c r="CF338" s="6"/>
      <c r="CG338" s="7">
        <f>ROUND(31,2)</f>
        <v>31</v>
      </c>
      <c r="CH338" s="7">
        <f>ROUND(56,2)</f>
        <v>56</v>
      </c>
      <c r="CI338" s="7">
        <f>ROUND(32,2)</f>
        <v>32</v>
      </c>
      <c r="CJ338" s="6"/>
      <c r="CK338" s="6"/>
      <c r="CL338" s="6"/>
      <c r="CM338" s="6"/>
      <c r="CN338" s="7">
        <f>ROUND(128,2)</f>
        <v>128</v>
      </c>
      <c r="CO338" s="6"/>
      <c r="CP338" s="6"/>
      <c r="CQ338" s="7">
        <f>ROUND(1920,2)</f>
        <v>1920</v>
      </c>
      <c r="CR338" s="7">
        <f>ROUND(70007.5299999999,2)</f>
        <v>70007.53</v>
      </c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7">
        <f>ROUND(-293.04,2)</f>
        <v>-293.04000000000002</v>
      </c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7">
        <f>ROUND(3516.48,2)</f>
        <v>3516.48</v>
      </c>
      <c r="FK338" s="6"/>
      <c r="FL338" s="6"/>
      <c r="FM338" s="7">
        <f>ROUND(842.49,2)</f>
        <v>842.49</v>
      </c>
      <c r="FN338" s="7">
        <f>ROUND(879.12,2)</f>
        <v>879.12</v>
      </c>
      <c r="FO338" s="6"/>
      <c r="FP338" s="6"/>
      <c r="FQ338" s="6"/>
      <c r="FR338" s="6"/>
      <c r="FS338" s="6"/>
      <c r="FT338" s="6"/>
      <c r="FU338" s="6"/>
      <c r="FV338" s="7">
        <f>ROUND(1731.84,2)</f>
        <v>1731.84</v>
      </c>
      <c r="FW338" s="6"/>
      <c r="FX338" s="6"/>
      <c r="FY338" s="7">
        <f>ROUND(76684.4199999999,2)</f>
        <v>76684.42</v>
      </c>
    </row>
    <row r="339" spans="1:181" x14ac:dyDescent="0.3">
      <c r="A339" s="4" t="s">
        <v>865</v>
      </c>
      <c r="B339" s="5"/>
      <c r="C339" s="5" t="s">
        <v>201</v>
      </c>
      <c r="D339" s="5" t="s">
        <v>866</v>
      </c>
      <c r="E339" s="5" t="s">
        <v>867</v>
      </c>
      <c r="F339" s="5" t="s">
        <v>0</v>
      </c>
      <c r="G339" s="5" t="s">
        <v>265</v>
      </c>
      <c r="H339" s="8">
        <f>ROUND(16.9744,2)</f>
        <v>16.97</v>
      </c>
      <c r="I339" s="7">
        <f>ROUND(271.6,2)</f>
        <v>271.60000000000002</v>
      </c>
      <c r="J339" s="7">
        <f>ROUND(16,2)</f>
        <v>16</v>
      </c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7">
        <f>ROUND(16,2)</f>
        <v>16</v>
      </c>
      <c r="CR339" s="7">
        <f>ROUND(271.6,2)</f>
        <v>271.60000000000002</v>
      </c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7">
        <f>ROUND(271.6,2)</f>
        <v>271.60000000000002</v>
      </c>
    </row>
    <row r="340" spans="1:181" x14ac:dyDescent="0.3">
      <c r="A340" s="4" t="s">
        <v>868</v>
      </c>
      <c r="B340" s="5" t="s">
        <v>1029</v>
      </c>
      <c r="C340" s="5" t="s">
        <v>181</v>
      </c>
      <c r="D340" s="5" t="s">
        <v>869</v>
      </c>
      <c r="E340" s="5" t="s">
        <v>0</v>
      </c>
      <c r="F340" s="5" t="s">
        <v>0</v>
      </c>
      <c r="G340" s="5" t="s">
        <v>183</v>
      </c>
      <c r="H340" s="8">
        <v>34.04</v>
      </c>
      <c r="I340" s="7">
        <f>ROUND(81598.5699999999,2)</f>
        <v>81598.570000000007</v>
      </c>
      <c r="J340" s="6"/>
      <c r="K340" s="6"/>
      <c r="L340" s="6"/>
      <c r="M340" s="6"/>
      <c r="N340" s="7">
        <f>ROUND(1772.58,2)</f>
        <v>1772.58</v>
      </c>
      <c r="O340" s="6"/>
      <c r="P340" s="6"/>
      <c r="Q340" s="7">
        <f>ROUND(104.32,2)</f>
        <v>104.32</v>
      </c>
      <c r="R340" s="6"/>
      <c r="S340" s="6"/>
      <c r="T340" s="6"/>
      <c r="U340" s="6"/>
      <c r="V340" s="6"/>
      <c r="W340" s="6"/>
      <c r="X340" s="6"/>
      <c r="Y340" s="6"/>
      <c r="Z340" s="7">
        <f>ROUND(0.42,2)</f>
        <v>0.42</v>
      </c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7">
        <f>ROUND(65.5,2)</f>
        <v>65.5</v>
      </c>
      <c r="AV340" s="7">
        <f>ROUND(2.5,2)</f>
        <v>2.5</v>
      </c>
      <c r="AW340" s="7">
        <f>ROUND(38.25,2)</f>
        <v>38.25</v>
      </c>
      <c r="AX340" s="7">
        <f>ROUND(1.75,2)</f>
        <v>1.75</v>
      </c>
      <c r="AY340" s="7">
        <f>ROUND(182.329999999999,2)</f>
        <v>182.33</v>
      </c>
      <c r="AZ340" s="7">
        <f>ROUND(1.67,2)</f>
        <v>1.67</v>
      </c>
      <c r="BA340" s="6"/>
      <c r="BB340" s="7">
        <f>ROUND(32,2)</f>
        <v>32</v>
      </c>
      <c r="BC340" s="6"/>
      <c r="BD340" s="7">
        <f>ROUND(8,2)</f>
        <v>8</v>
      </c>
      <c r="BE340" s="6"/>
      <c r="BF340" s="6"/>
      <c r="BG340" s="7">
        <f>ROUND(41.67,2)</f>
        <v>41.67</v>
      </c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7">
        <f>ROUND(64,2)</f>
        <v>64</v>
      </c>
      <c r="CQ340" s="7">
        <f>ROUND(2314.99,2)</f>
        <v>2314.9899999999998</v>
      </c>
      <c r="CR340" s="6"/>
      <c r="CS340" s="6"/>
      <c r="CT340" s="6"/>
      <c r="CU340" s="6"/>
      <c r="CV340" s="7">
        <f>ROUND(57828.6799999999,2)</f>
        <v>57828.68</v>
      </c>
      <c r="CW340" s="6"/>
      <c r="CX340" s="6"/>
      <c r="CY340" s="7">
        <f>ROUND(5102.18999999999,2)</f>
        <v>5102.1899999999996</v>
      </c>
      <c r="CZ340" s="6"/>
      <c r="DA340" s="6"/>
      <c r="DB340" s="6"/>
      <c r="DC340" s="6"/>
      <c r="DD340" s="6"/>
      <c r="DE340" s="6"/>
      <c r="DF340" s="6"/>
      <c r="DG340" s="6"/>
      <c r="DH340" s="7">
        <f>ROUND(27.76,2)</f>
        <v>27.76</v>
      </c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7">
        <f>ROUND(2138.14,2)</f>
        <v>2138.14</v>
      </c>
      <c r="EE340" s="7">
        <f>ROUND(123.95,2)</f>
        <v>123.95</v>
      </c>
      <c r="EF340" s="7">
        <f>ROUND(1256.48,2)</f>
        <v>1256.48</v>
      </c>
      <c r="EG340" s="7">
        <f>ROUND(86.76,2)</f>
        <v>86.76</v>
      </c>
      <c r="EH340" s="7">
        <f>ROUND(5909.63,2)</f>
        <v>5909.63</v>
      </c>
      <c r="EI340" s="7">
        <f>ROUND(85.27,2)</f>
        <v>85.27</v>
      </c>
      <c r="EJ340" s="6"/>
      <c r="EK340" s="7">
        <f>ROUND(1042.24,2)</f>
        <v>1042.24</v>
      </c>
      <c r="EL340" s="6"/>
      <c r="EM340" s="6"/>
      <c r="EN340" s="7">
        <f>ROUND(256.72,2)</f>
        <v>256.72000000000003</v>
      </c>
      <c r="EO340" s="6"/>
      <c r="EP340" s="6"/>
      <c r="EQ340" s="7">
        <f>ROUND(1337.19,2)</f>
        <v>1337.19</v>
      </c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7">
        <f>ROUND(1225,2)</f>
        <v>1225</v>
      </c>
      <c r="FK340" s="6"/>
      <c r="FL340" s="6"/>
      <c r="FM340" s="6"/>
      <c r="FN340" s="6"/>
      <c r="FO340" s="6"/>
      <c r="FP340" s="6"/>
      <c r="FQ340" s="6"/>
      <c r="FR340" s="6"/>
      <c r="FS340" s="6"/>
      <c r="FT340" s="7">
        <f>ROUND(3000,2)</f>
        <v>3000</v>
      </c>
      <c r="FU340" s="6"/>
      <c r="FV340" s="6"/>
      <c r="FW340" s="6"/>
      <c r="FX340" s="7">
        <f>ROUND(2178.56,2)</f>
        <v>2178.56</v>
      </c>
      <c r="FY340" s="7">
        <f>ROUND(81598.5699999999,2)</f>
        <v>81598.570000000007</v>
      </c>
    </row>
    <row r="341" spans="1:181" x14ac:dyDescent="0.3">
      <c r="A341" s="4" t="s">
        <v>870</v>
      </c>
      <c r="B341" s="5" t="s">
        <v>1029</v>
      </c>
      <c r="C341" s="5" t="s">
        <v>181</v>
      </c>
      <c r="D341" s="5" t="s">
        <v>185</v>
      </c>
      <c r="E341" s="5" t="s">
        <v>0</v>
      </c>
      <c r="F341" s="5" t="s">
        <v>0</v>
      </c>
      <c r="G341" s="5" t="s">
        <v>183</v>
      </c>
      <c r="H341" s="8">
        <v>34.04</v>
      </c>
      <c r="I341" s="7">
        <f>ROUND(90267.54,2)</f>
        <v>90267.54</v>
      </c>
      <c r="J341" s="6"/>
      <c r="K341" s="6"/>
      <c r="L341" s="6"/>
      <c r="M341" s="6"/>
      <c r="N341" s="7">
        <f>ROUND(2.75,2)</f>
        <v>2.75</v>
      </c>
      <c r="O341" s="6"/>
      <c r="P341" s="6"/>
      <c r="Q341" s="7">
        <f>ROUND(15,2)</f>
        <v>15</v>
      </c>
      <c r="R341" s="6"/>
      <c r="S341" s="6"/>
      <c r="T341" s="6"/>
      <c r="U341" s="6"/>
      <c r="V341" s="6"/>
      <c r="W341" s="7">
        <f>ROUND(5,2)</f>
        <v>5</v>
      </c>
      <c r="X341" s="6"/>
      <c r="Y341" s="6"/>
      <c r="Z341" s="6"/>
      <c r="AA341" s="6"/>
      <c r="AB341" s="6"/>
      <c r="AC341" s="6"/>
      <c r="AD341" s="6"/>
      <c r="AE341" s="7">
        <f>ROUND(1711.67999999999,2)</f>
        <v>1711.68</v>
      </c>
      <c r="AF341" s="6"/>
      <c r="AG341" s="7">
        <f>ROUND(370.469999999999,2)</f>
        <v>370.47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7">
        <f>ROUND(52,2)</f>
        <v>52</v>
      </c>
      <c r="AV341" s="6"/>
      <c r="AW341" s="7">
        <f>ROUND(20.75,2)</f>
        <v>20.75</v>
      </c>
      <c r="AX341" s="7">
        <f>ROUND(19.25,2)</f>
        <v>19.25</v>
      </c>
      <c r="AY341" s="7">
        <f>ROUND(138.55,2)</f>
        <v>138.55000000000001</v>
      </c>
      <c r="AZ341" s="7">
        <f>ROUND(13.45,2)</f>
        <v>13.45</v>
      </c>
      <c r="BA341" s="6"/>
      <c r="BB341" s="7">
        <f>ROUND(40,2)</f>
        <v>40</v>
      </c>
      <c r="BC341" s="6"/>
      <c r="BD341" s="7">
        <f>ROUND(8,2)</f>
        <v>8</v>
      </c>
      <c r="BE341" s="7">
        <f>ROUND(3.13,2)</f>
        <v>3.13</v>
      </c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7">
        <f>ROUND(24,2)</f>
        <v>24</v>
      </c>
      <c r="BT341" s="7">
        <f>ROUND(1.58,2)</f>
        <v>1.58</v>
      </c>
      <c r="BU341" s="7">
        <f>ROUND(32,2)</f>
        <v>32</v>
      </c>
      <c r="BV341" s="6"/>
      <c r="BW341" s="7">
        <f>ROUND(16,2)</f>
        <v>16</v>
      </c>
      <c r="BX341" s="6"/>
      <c r="BY341" s="6"/>
      <c r="BZ341" s="6"/>
      <c r="CA341" s="7">
        <f>ROUND(32,2)</f>
        <v>32</v>
      </c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7">
        <f>ROUND(16,2)</f>
        <v>16</v>
      </c>
      <c r="CQ341" s="7">
        <f>ROUND(2521.61,2)</f>
        <v>2521.61</v>
      </c>
      <c r="CR341" s="6"/>
      <c r="CS341" s="6"/>
      <c r="CT341" s="6"/>
      <c r="CU341" s="6"/>
      <c r="CV341" s="7">
        <f>ROUND(88.25,2)</f>
        <v>88.25</v>
      </c>
      <c r="CW341" s="6"/>
      <c r="CX341" s="6"/>
      <c r="CY341" s="7">
        <f>ROUND(743.86,2)</f>
        <v>743.86</v>
      </c>
      <c r="CZ341" s="6"/>
      <c r="DA341" s="6"/>
      <c r="DB341" s="6"/>
      <c r="DC341" s="6"/>
      <c r="DD341" s="6"/>
      <c r="DE341" s="7">
        <f>ROUND(240.68,2)</f>
        <v>240.68</v>
      </c>
      <c r="DF341" s="6"/>
      <c r="DG341" s="6"/>
      <c r="DH341" s="6"/>
      <c r="DI341" s="6"/>
      <c r="DJ341" s="6"/>
      <c r="DK341" s="6"/>
      <c r="DL341" s="6"/>
      <c r="DM341" s="6"/>
      <c r="DN341" s="7">
        <f>ROUND(55755.1299999999,2)</f>
        <v>55755.13</v>
      </c>
      <c r="DO341" s="6"/>
      <c r="DP341" s="7">
        <f>ROUND(18126.72,2)</f>
        <v>18126.72</v>
      </c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7">
        <f>ROUND(1699.64,2)</f>
        <v>1699.64</v>
      </c>
      <c r="EE341" s="6"/>
      <c r="EF341" s="7">
        <f>ROUND(670.75,2)</f>
        <v>670.75</v>
      </c>
      <c r="EG341" s="7">
        <f>ROUND(954.199999999999,2)</f>
        <v>954.2</v>
      </c>
      <c r="EH341" s="7">
        <f>ROUND(4510.44,2)</f>
        <v>4510.4399999999996</v>
      </c>
      <c r="EI341" s="7">
        <f>ROUND(654.9,2)</f>
        <v>654.9</v>
      </c>
      <c r="EJ341" s="6"/>
      <c r="EK341" s="7">
        <f>ROUND(1283.6,2)</f>
        <v>1283.5999999999999</v>
      </c>
      <c r="EL341" s="6"/>
      <c r="EM341" s="6"/>
      <c r="EN341" s="7">
        <f>ROUND(256.72,2)</f>
        <v>256.72000000000003</v>
      </c>
      <c r="EO341" s="7">
        <f>ROUND(103.45,2)</f>
        <v>103.45</v>
      </c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7">
        <f>ROUND(1034.56,2)</f>
        <v>1034.56</v>
      </c>
      <c r="FG341" s="6"/>
      <c r="FH341" s="6"/>
      <c r="FI341" s="6"/>
      <c r="FJ341" s="7">
        <f>ROUND(600,2)</f>
        <v>600</v>
      </c>
      <c r="FK341" s="6"/>
      <c r="FL341" s="6"/>
      <c r="FM341" s="6"/>
      <c r="FN341" s="6"/>
      <c r="FO341" s="6"/>
      <c r="FP341" s="6"/>
      <c r="FQ341" s="6"/>
      <c r="FR341" s="6"/>
      <c r="FS341" s="6"/>
      <c r="FT341" s="7">
        <f>ROUND(3000,2)</f>
        <v>3000</v>
      </c>
      <c r="FU341" s="6"/>
      <c r="FV341" s="6"/>
      <c r="FW341" s="6"/>
      <c r="FX341" s="7">
        <f>ROUND(544.64,2)</f>
        <v>544.64</v>
      </c>
      <c r="FY341" s="7">
        <f>ROUND(90267.54,2)</f>
        <v>90267.54</v>
      </c>
    </row>
    <row r="342" spans="1:181" x14ac:dyDescent="0.3">
      <c r="A342" s="4" t="s">
        <v>871</v>
      </c>
      <c r="B342" s="5" t="s">
        <v>1029</v>
      </c>
      <c r="C342" s="5" t="s">
        <v>181</v>
      </c>
      <c r="D342" s="5" t="s">
        <v>276</v>
      </c>
      <c r="E342" s="5" t="s">
        <v>0</v>
      </c>
      <c r="F342" s="5" t="s">
        <v>0</v>
      </c>
      <c r="G342" s="5" t="s">
        <v>183</v>
      </c>
      <c r="H342" s="8">
        <v>33.33</v>
      </c>
      <c r="I342" s="7">
        <f>ROUND(65092.6499999999,2)</f>
        <v>65092.65</v>
      </c>
      <c r="J342" s="6"/>
      <c r="K342" s="6"/>
      <c r="L342" s="6"/>
      <c r="M342" s="6"/>
      <c r="N342" s="7">
        <f>ROUND(1310.86,2)</f>
        <v>1310.86</v>
      </c>
      <c r="O342" s="6"/>
      <c r="P342" s="6"/>
      <c r="Q342" s="7">
        <f>ROUND(43.8699999999999,2)</f>
        <v>43.87</v>
      </c>
      <c r="R342" s="6"/>
      <c r="S342" s="6"/>
      <c r="T342" s="6"/>
      <c r="U342" s="6"/>
      <c r="V342" s="7">
        <f>ROUND(25.03,2)</f>
        <v>25.03</v>
      </c>
      <c r="W342" s="6"/>
      <c r="X342" s="7">
        <f>ROUND(0.17,2)</f>
        <v>0.17</v>
      </c>
      <c r="Y342" s="6"/>
      <c r="Z342" s="6"/>
      <c r="AA342" s="6"/>
      <c r="AB342" s="6"/>
      <c r="AC342" s="6"/>
      <c r="AD342" s="6"/>
      <c r="AE342" s="7">
        <f>ROUND(70.17,2)</f>
        <v>70.17</v>
      </c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7">
        <f>ROUND(267.63,2)</f>
        <v>267.63</v>
      </c>
      <c r="AQ342" s="6"/>
      <c r="AR342" s="7">
        <f>ROUND(0.7,2)</f>
        <v>0.7</v>
      </c>
      <c r="AS342" s="6"/>
      <c r="AT342" s="6"/>
      <c r="AU342" s="7">
        <f>ROUND(60,2)</f>
        <v>60</v>
      </c>
      <c r="AV342" s="7">
        <f>ROUND(8,2)</f>
        <v>8</v>
      </c>
      <c r="AW342" s="6"/>
      <c r="AX342" s="6"/>
      <c r="AY342" s="7">
        <f>ROUND(48,2)</f>
        <v>48</v>
      </c>
      <c r="AZ342" s="6"/>
      <c r="BA342" s="6"/>
      <c r="BB342" s="7">
        <f>ROUND(42,2)</f>
        <v>42</v>
      </c>
      <c r="BC342" s="6"/>
      <c r="BD342" s="7">
        <f>ROUND(48,2)</f>
        <v>48</v>
      </c>
      <c r="BE342" s="7">
        <f>ROUND(1.33,2)</f>
        <v>1.33</v>
      </c>
      <c r="BF342" s="6"/>
      <c r="BG342" s="6"/>
      <c r="BH342" s="6"/>
      <c r="BI342" s="6"/>
      <c r="BJ342" s="6"/>
      <c r="BK342" s="6"/>
      <c r="BL342" s="6"/>
      <c r="BM342" s="6"/>
      <c r="BN342" s="6"/>
      <c r="BO342" s="7">
        <f>ROUND(6.75,2)</f>
        <v>6.75</v>
      </c>
      <c r="BP342" s="7">
        <f>ROUND(1.25,2)</f>
        <v>1.25</v>
      </c>
      <c r="BQ342" s="7">
        <f>ROUND(5.42,2)</f>
        <v>5.42</v>
      </c>
      <c r="BR342" s="6"/>
      <c r="BS342" s="7">
        <f>ROUND(16,2)</f>
        <v>16</v>
      </c>
      <c r="BT342" s="7">
        <f>ROUND(2.25,2)</f>
        <v>2.25</v>
      </c>
      <c r="BU342" s="6"/>
      <c r="BV342" s="6"/>
      <c r="BW342" s="6"/>
      <c r="BX342" s="6"/>
      <c r="BY342" s="6"/>
      <c r="BZ342" s="7">
        <f>ROUND(120,2)</f>
        <v>120</v>
      </c>
      <c r="CA342" s="7">
        <f>ROUND(0.03,2)</f>
        <v>0.03</v>
      </c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7">
        <f>ROUND(2077.46,2)</f>
        <v>2077.46</v>
      </c>
      <c r="CR342" s="6"/>
      <c r="CS342" s="6"/>
      <c r="CT342" s="6"/>
      <c r="CU342" s="6"/>
      <c r="CV342" s="7">
        <f>ROUND(42722.5099999999,2)</f>
        <v>42722.51</v>
      </c>
      <c r="CW342" s="6"/>
      <c r="CX342" s="6"/>
      <c r="CY342" s="7">
        <f>ROUND(2135.17999999999,2)</f>
        <v>2135.1799999999998</v>
      </c>
      <c r="CZ342" s="6"/>
      <c r="DA342" s="6"/>
      <c r="DB342" s="6"/>
      <c r="DC342" s="6"/>
      <c r="DD342" s="7">
        <f>ROUND(803.21,2)</f>
        <v>803.21</v>
      </c>
      <c r="DE342" s="6"/>
      <c r="DF342" s="7">
        <f>ROUND(5.64,2)</f>
        <v>5.64</v>
      </c>
      <c r="DG342" s="6"/>
      <c r="DH342" s="6"/>
      <c r="DI342" s="6"/>
      <c r="DJ342" s="6"/>
      <c r="DK342" s="6"/>
      <c r="DL342" s="6"/>
      <c r="DM342" s="6"/>
      <c r="DN342" s="7">
        <f>ROUND(2274.41,2)</f>
        <v>2274.41</v>
      </c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7">
        <f>ROUND(8699.17,2)</f>
        <v>8699.17</v>
      </c>
      <c r="DZ342" s="6"/>
      <c r="EA342" s="7">
        <f>ROUND(33.69,2)</f>
        <v>33.69</v>
      </c>
      <c r="EB342" s="6"/>
      <c r="EC342" s="6"/>
      <c r="ED342" s="7">
        <f>ROUND(1945.98,2)</f>
        <v>1945.98</v>
      </c>
      <c r="EE342" s="7">
        <f>ROUND(396.64,2)</f>
        <v>396.64</v>
      </c>
      <c r="EF342" s="6"/>
      <c r="EG342" s="6"/>
      <c r="EH342" s="7">
        <f>ROUND(1586.4,2)</f>
        <v>1586.4</v>
      </c>
      <c r="EI342" s="6"/>
      <c r="EJ342" s="6"/>
      <c r="EK342" s="7">
        <f>ROUND(1378.5,2)</f>
        <v>1378.5</v>
      </c>
      <c r="EL342" s="6"/>
      <c r="EM342" s="6"/>
      <c r="EN342" s="7">
        <f>ROUND(1591.92,2)</f>
        <v>1591.92</v>
      </c>
      <c r="EO342" s="7">
        <f>ROUND(42.88,2)</f>
        <v>42.88</v>
      </c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7">
        <f>ROUND(216.61,2)</f>
        <v>216.61</v>
      </c>
      <c r="FC342" s="7">
        <f>ROUND(60.17,2)</f>
        <v>60.17</v>
      </c>
      <c r="FD342" s="7">
        <f>ROUND(174.74,2)</f>
        <v>174.74</v>
      </c>
      <c r="FE342" s="6"/>
      <c r="FF342" s="6"/>
      <c r="FG342" s="6"/>
      <c r="FH342" s="6"/>
      <c r="FI342" s="6"/>
      <c r="FJ342" s="7">
        <f>ROUND(1025,2)</f>
        <v>1025</v>
      </c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7">
        <f>ROUND(65092.6499999999,2)</f>
        <v>65092.65</v>
      </c>
    </row>
    <row r="343" spans="1:181" x14ac:dyDescent="0.3">
      <c r="A343" s="4" t="s">
        <v>872</v>
      </c>
      <c r="B343" s="5" t="s">
        <v>1029</v>
      </c>
      <c r="C343" s="5" t="s">
        <v>181</v>
      </c>
      <c r="D343" s="5" t="s">
        <v>219</v>
      </c>
      <c r="E343" s="5" t="s">
        <v>0</v>
      </c>
      <c r="F343" s="5" t="s">
        <v>0</v>
      </c>
      <c r="G343" s="5" t="s">
        <v>183</v>
      </c>
      <c r="H343" s="8">
        <v>33.380000000000003</v>
      </c>
      <c r="I343" s="7">
        <f>ROUND(60831.62,2)</f>
        <v>60831.62</v>
      </c>
      <c r="J343" s="6"/>
      <c r="K343" s="6"/>
      <c r="L343" s="6"/>
      <c r="M343" s="6"/>
      <c r="N343" s="7">
        <f>ROUND(609.459999999999,2)</f>
        <v>609.46</v>
      </c>
      <c r="O343" s="6"/>
      <c r="P343" s="6"/>
      <c r="Q343" s="7">
        <f>ROUND(70.0099999999999,2)</f>
        <v>70.010000000000005</v>
      </c>
      <c r="R343" s="6"/>
      <c r="S343" s="6"/>
      <c r="T343" s="6"/>
      <c r="U343" s="6"/>
      <c r="V343" s="7">
        <f>ROUND(6.9,2)</f>
        <v>6.9</v>
      </c>
      <c r="W343" s="7">
        <f>ROUND(12.4,2)</f>
        <v>12.4</v>
      </c>
      <c r="X343" s="7">
        <f>ROUND(0.67,2)</f>
        <v>0.67</v>
      </c>
      <c r="Y343" s="7">
        <f>ROUND(0.03,2)</f>
        <v>0.03</v>
      </c>
      <c r="Z343" s="6"/>
      <c r="AA343" s="6"/>
      <c r="AB343" s="6"/>
      <c r="AC343" s="6"/>
      <c r="AD343" s="6"/>
      <c r="AE343" s="7">
        <f>ROUND(195.729999999999,2)</f>
        <v>195.73</v>
      </c>
      <c r="AF343" s="6"/>
      <c r="AG343" s="7">
        <f>ROUND(17.24,2)</f>
        <v>17.239999999999998</v>
      </c>
      <c r="AH343" s="6"/>
      <c r="AI343" s="6"/>
      <c r="AJ343" s="6"/>
      <c r="AK343" s="6"/>
      <c r="AL343" s="6"/>
      <c r="AM343" s="6"/>
      <c r="AN343" s="6"/>
      <c r="AO343" s="6"/>
      <c r="AP343" s="7">
        <f>ROUND(521.42,2)</f>
        <v>521.41999999999996</v>
      </c>
      <c r="AQ343" s="6"/>
      <c r="AR343" s="7">
        <f>ROUND(11.4799999999999,2)</f>
        <v>11.48</v>
      </c>
      <c r="AS343" s="6"/>
      <c r="AT343" s="6"/>
      <c r="AU343" s="7">
        <f>ROUND(54,2)</f>
        <v>54</v>
      </c>
      <c r="AV343" s="6"/>
      <c r="AW343" s="7">
        <f>ROUND(38,2)</f>
        <v>38</v>
      </c>
      <c r="AX343" s="6"/>
      <c r="AY343" s="7">
        <f>ROUND(40,2)</f>
        <v>40</v>
      </c>
      <c r="AZ343" s="6"/>
      <c r="BA343" s="6"/>
      <c r="BB343" s="7">
        <f>ROUND(40,2)</f>
        <v>40</v>
      </c>
      <c r="BC343" s="6"/>
      <c r="BD343" s="7">
        <f>ROUND(8,2)</f>
        <v>8</v>
      </c>
      <c r="BE343" s="6"/>
      <c r="BF343" s="6"/>
      <c r="BG343" s="7">
        <f>ROUND(40,2)</f>
        <v>40</v>
      </c>
      <c r="BH343" s="6"/>
      <c r="BI343" s="6"/>
      <c r="BJ343" s="6"/>
      <c r="BK343" s="6"/>
      <c r="BL343" s="6"/>
      <c r="BM343" s="6"/>
      <c r="BN343" s="6"/>
      <c r="BO343" s="7">
        <f>ROUND(24.7299999999999,2)</f>
        <v>24.73</v>
      </c>
      <c r="BP343" s="7">
        <f>ROUND(3.52,2)</f>
        <v>3.52</v>
      </c>
      <c r="BQ343" s="7">
        <f>ROUND(20,2)</f>
        <v>20</v>
      </c>
      <c r="BR343" s="6"/>
      <c r="BS343" s="7">
        <f>ROUND(90,2)</f>
        <v>90</v>
      </c>
      <c r="BT343" s="7">
        <f>ROUND(20.47,2)</f>
        <v>20.47</v>
      </c>
      <c r="BU343" s="7">
        <f>ROUND(230,2)</f>
        <v>230</v>
      </c>
      <c r="BV343" s="6"/>
      <c r="BW343" s="7">
        <f>ROUND(16,2)</f>
        <v>16</v>
      </c>
      <c r="BX343" s="7">
        <f>ROUND(158,2)</f>
        <v>158</v>
      </c>
      <c r="BY343" s="6"/>
      <c r="BZ343" s="6"/>
      <c r="CA343" s="7">
        <f>ROUND(85,2)</f>
        <v>85</v>
      </c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7">
        <f>ROUND(2313.05999999999,2)</f>
        <v>2313.06</v>
      </c>
      <c r="CR343" s="6"/>
      <c r="CS343" s="6"/>
      <c r="CT343" s="6"/>
      <c r="CU343" s="6"/>
      <c r="CV343" s="7">
        <f>ROUND(19920.9699999999,2)</f>
        <v>19920.97</v>
      </c>
      <c r="CW343" s="6"/>
      <c r="CX343" s="6"/>
      <c r="CY343" s="7">
        <f>ROUND(3413.08,2)</f>
        <v>3413.08</v>
      </c>
      <c r="CZ343" s="6"/>
      <c r="DA343" s="6"/>
      <c r="DB343" s="6"/>
      <c r="DC343" s="6"/>
      <c r="DD343" s="7">
        <f>ROUND(224.14,2)</f>
        <v>224.14</v>
      </c>
      <c r="DE343" s="7">
        <f>ROUND(616.46,2)</f>
        <v>616.46</v>
      </c>
      <c r="DF343" s="7">
        <f>ROUND(22.15,2)</f>
        <v>22.15</v>
      </c>
      <c r="DG343" s="7">
        <f>ROUND(1.44,2)</f>
        <v>1.44</v>
      </c>
      <c r="DH343" s="6"/>
      <c r="DI343" s="6"/>
      <c r="DJ343" s="6"/>
      <c r="DK343" s="6"/>
      <c r="DL343" s="6"/>
      <c r="DM343" s="6"/>
      <c r="DN343" s="7">
        <f>ROUND(6388.89999999999,2)</f>
        <v>6388.9</v>
      </c>
      <c r="DO343" s="6"/>
      <c r="DP343" s="7">
        <f>ROUND(844.61,2)</f>
        <v>844.61</v>
      </c>
      <c r="DQ343" s="6"/>
      <c r="DR343" s="6"/>
      <c r="DS343" s="6"/>
      <c r="DT343" s="6"/>
      <c r="DU343" s="6"/>
      <c r="DV343" s="6"/>
      <c r="DW343" s="6"/>
      <c r="DX343" s="6"/>
      <c r="DY343" s="7">
        <f>ROUND(16982.6499999999,2)</f>
        <v>16982.650000000001</v>
      </c>
      <c r="DZ343" s="6"/>
      <c r="EA343" s="7">
        <f>ROUND(568.199999999999,2)</f>
        <v>568.20000000000005</v>
      </c>
      <c r="EB343" s="6"/>
      <c r="EC343" s="6"/>
      <c r="ED343" s="7">
        <f>ROUND(1757.82,2)</f>
        <v>1757.82</v>
      </c>
      <c r="EE343" s="6"/>
      <c r="EF343" s="7">
        <f>ROUND(1219.42,2)</f>
        <v>1219.42</v>
      </c>
      <c r="EG343" s="6"/>
      <c r="EH343" s="7">
        <f>ROUND(1322,2)</f>
        <v>1322</v>
      </c>
      <c r="EI343" s="6"/>
      <c r="EJ343" s="6"/>
      <c r="EK343" s="7">
        <f>ROUND(1283.6,2)</f>
        <v>1283.5999999999999</v>
      </c>
      <c r="EL343" s="6"/>
      <c r="EM343" s="6"/>
      <c r="EN343" s="7">
        <f>ROUND(256.72,2)</f>
        <v>256.72000000000003</v>
      </c>
      <c r="EO343" s="6"/>
      <c r="EP343" s="6"/>
      <c r="EQ343" s="7">
        <f>ROUND(1298.96,2)</f>
        <v>1298.96</v>
      </c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7">
        <f>ROUND(809.74,2)</f>
        <v>809.74</v>
      </c>
      <c r="FC343" s="7">
        <f>ROUND(174.36,2)</f>
        <v>174.36</v>
      </c>
      <c r="FD343" s="7">
        <f>ROUND(651.4,2)</f>
        <v>651.4</v>
      </c>
      <c r="FE343" s="6"/>
      <c r="FF343" s="6"/>
      <c r="FG343" s="6"/>
      <c r="FH343" s="6"/>
      <c r="FI343" s="6"/>
      <c r="FJ343" s="7">
        <f>ROUND(75,2)</f>
        <v>75</v>
      </c>
      <c r="FK343" s="6"/>
      <c r="FL343" s="6"/>
      <c r="FM343" s="6"/>
      <c r="FN343" s="6"/>
      <c r="FO343" s="6"/>
      <c r="FP343" s="6"/>
      <c r="FQ343" s="6"/>
      <c r="FR343" s="6"/>
      <c r="FS343" s="6"/>
      <c r="FT343" s="7">
        <f>ROUND(3000,2)</f>
        <v>3000</v>
      </c>
      <c r="FU343" s="6"/>
      <c r="FV343" s="6"/>
      <c r="FW343" s="6"/>
      <c r="FX343" s="6"/>
      <c r="FY343" s="7">
        <f>ROUND(60831.62,2)</f>
        <v>60831.62</v>
      </c>
    </row>
    <row r="344" spans="1:181" x14ac:dyDescent="0.3">
      <c r="A344" s="4" t="s">
        <v>873</v>
      </c>
      <c r="B344" s="5" t="s">
        <v>1029</v>
      </c>
      <c r="C344" s="5" t="s">
        <v>236</v>
      </c>
      <c r="D344" s="5" t="s">
        <v>837</v>
      </c>
      <c r="E344" s="5" t="s">
        <v>0</v>
      </c>
      <c r="F344" s="5" t="s">
        <v>0</v>
      </c>
      <c r="G344" s="5" t="s">
        <v>330</v>
      </c>
      <c r="H344" s="9">
        <v>24.03</v>
      </c>
      <c r="I344" s="7">
        <f>ROUND(43124.6599999999,2)</f>
        <v>43124.66</v>
      </c>
      <c r="J344" s="6"/>
      <c r="K344" s="6"/>
      <c r="L344" s="6"/>
      <c r="M344" s="6"/>
      <c r="N344" s="6"/>
      <c r="O344" s="6"/>
      <c r="P344" s="6"/>
      <c r="Q344" s="6"/>
      <c r="R344" s="7">
        <f>ROUND(1600,2)</f>
        <v>1600</v>
      </c>
      <c r="S344" s="7">
        <f>ROUND(88.21,2)</f>
        <v>88.21</v>
      </c>
      <c r="T344" s="7">
        <f>ROUND(0.42,2)</f>
        <v>0.42</v>
      </c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7">
        <f>ROUND(48,2)</f>
        <v>48</v>
      </c>
      <c r="AV344" s="6"/>
      <c r="AW344" s="7">
        <f>ROUND(16,2)</f>
        <v>16</v>
      </c>
      <c r="AX344" s="6"/>
      <c r="AY344" s="7">
        <f>ROUND(24,2)</f>
        <v>24</v>
      </c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7">
        <f>ROUND(1776.63,2)</f>
        <v>1776.63</v>
      </c>
      <c r="CR344" s="6"/>
      <c r="CS344" s="6"/>
      <c r="CT344" s="6"/>
      <c r="CU344" s="6"/>
      <c r="CV344" s="6"/>
      <c r="CW344" s="6"/>
      <c r="CX344" s="6"/>
      <c r="CY344" s="6"/>
      <c r="CZ344" s="7">
        <f>ROUND(34365.44,2)</f>
        <v>34365.440000000002</v>
      </c>
      <c r="DA344" s="7">
        <f>ROUND(3068.41,2)</f>
        <v>3068.41</v>
      </c>
      <c r="DB344" s="7">
        <f>ROUND(14.09,2)</f>
        <v>14.09</v>
      </c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7">
        <f>ROUND(1021.04,2)</f>
        <v>1021.04</v>
      </c>
      <c r="EE344" s="6"/>
      <c r="EF344" s="7">
        <f>ROUND(380.8,2)</f>
        <v>380.8</v>
      </c>
      <c r="EG344" s="6"/>
      <c r="EH344" s="7">
        <f>ROUND(574.88,2)</f>
        <v>574.88</v>
      </c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7">
        <f>ROUND(700,2)</f>
        <v>700</v>
      </c>
      <c r="FK344" s="6"/>
      <c r="FL344" s="6"/>
      <c r="FM344" s="6"/>
      <c r="FN344" s="6"/>
      <c r="FO344" s="6"/>
      <c r="FP344" s="6"/>
      <c r="FQ344" s="6"/>
      <c r="FR344" s="6"/>
      <c r="FS344" s="6"/>
      <c r="FT344" s="7">
        <f>ROUND(3000,2)</f>
        <v>3000</v>
      </c>
      <c r="FU344" s="6"/>
      <c r="FV344" s="6"/>
      <c r="FW344" s="6"/>
      <c r="FX344" s="6"/>
      <c r="FY344" s="7">
        <f>ROUND(43124.6599999999,2)</f>
        <v>43124.66</v>
      </c>
    </row>
    <row r="345" spans="1:181" x14ac:dyDescent="0.3">
      <c r="A345" s="4" t="s">
        <v>874</v>
      </c>
      <c r="B345" s="5" t="s">
        <v>1029</v>
      </c>
      <c r="C345" s="5" t="s">
        <v>181</v>
      </c>
      <c r="D345" s="5" t="s">
        <v>461</v>
      </c>
      <c r="E345" s="5" t="s">
        <v>0</v>
      </c>
      <c r="F345" s="5" t="s">
        <v>0</v>
      </c>
      <c r="G345" s="5" t="s">
        <v>183</v>
      </c>
      <c r="H345" s="8">
        <v>33.880000000000003</v>
      </c>
      <c r="I345" s="7">
        <f>ROUND(50070.35,2)</f>
        <v>50070.35</v>
      </c>
      <c r="J345" s="6"/>
      <c r="K345" s="6"/>
      <c r="L345" s="6"/>
      <c r="M345" s="6"/>
      <c r="N345" s="7">
        <f>ROUND(1332.81999999999,2)</f>
        <v>1332.82</v>
      </c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7">
        <f>ROUND(40,2)</f>
        <v>40</v>
      </c>
      <c r="AV345" s="6"/>
      <c r="AW345" s="7">
        <f>ROUND(10,2)</f>
        <v>10</v>
      </c>
      <c r="AX345" s="6"/>
      <c r="AY345" s="7">
        <f>ROUND(5,2)</f>
        <v>5</v>
      </c>
      <c r="AZ345" s="6"/>
      <c r="BA345" s="6"/>
      <c r="BB345" s="7">
        <f>ROUND(10,2)</f>
        <v>10</v>
      </c>
      <c r="BC345" s="6"/>
      <c r="BD345" s="7">
        <f>ROUND(8,2)</f>
        <v>8</v>
      </c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7">
        <f>ROUND(5,2)</f>
        <v>5</v>
      </c>
      <c r="BT345" s="6"/>
      <c r="BU345" s="6"/>
      <c r="BV345" s="6"/>
      <c r="BW345" s="6"/>
      <c r="BX345" s="6"/>
      <c r="BY345" s="7">
        <f>ROUND(5,2)</f>
        <v>5</v>
      </c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7">
        <f>ROUND(60,2)</f>
        <v>60</v>
      </c>
      <c r="CQ345" s="7">
        <f>ROUND(1475.82,2)</f>
        <v>1475.82</v>
      </c>
      <c r="CR345" s="6"/>
      <c r="CS345" s="6"/>
      <c r="CT345" s="6"/>
      <c r="CU345" s="6"/>
      <c r="CV345" s="7">
        <f>ROUND(43383.28,2)</f>
        <v>43383.28</v>
      </c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7">
        <f>ROUND(1304.45,2)</f>
        <v>1304.45</v>
      </c>
      <c r="EE345" s="6"/>
      <c r="EF345" s="7">
        <f>ROUND(327.35,2)</f>
        <v>327.35000000000002</v>
      </c>
      <c r="EG345" s="6"/>
      <c r="EH345" s="7">
        <f>ROUND(165.25,2)</f>
        <v>165.25</v>
      </c>
      <c r="EI345" s="6"/>
      <c r="EJ345" s="6"/>
      <c r="EK345" s="7">
        <f>ROUND(330.5,2)</f>
        <v>330.5</v>
      </c>
      <c r="EL345" s="6"/>
      <c r="EM345" s="6"/>
      <c r="EN345" s="7">
        <f>ROUND(256.72,2)</f>
        <v>256.72000000000003</v>
      </c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7">
        <f>ROUND(800,2)</f>
        <v>800</v>
      </c>
      <c r="FK345" s="6"/>
      <c r="FL345" s="6"/>
      <c r="FM345" s="6"/>
      <c r="FN345" s="6"/>
      <c r="FO345" s="6"/>
      <c r="FP345" s="6"/>
      <c r="FQ345" s="6"/>
      <c r="FR345" s="6"/>
      <c r="FS345" s="6"/>
      <c r="FT345" s="7">
        <f>ROUND(1500,2)</f>
        <v>1500</v>
      </c>
      <c r="FU345" s="6"/>
      <c r="FV345" s="6"/>
      <c r="FW345" s="6"/>
      <c r="FX345" s="7">
        <f>ROUND(2002.8,2)</f>
        <v>2002.8</v>
      </c>
      <c r="FY345" s="7">
        <f>ROUND(50070.35,2)</f>
        <v>50070.35</v>
      </c>
    </row>
    <row r="346" spans="1:181" x14ac:dyDescent="0.3">
      <c r="A346" s="4" t="s">
        <v>875</v>
      </c>
      <c r="B346" s="5" t="s">
        <v>1029</v>
      </c>
      <c r="C346" s="5" t="s">
        <v>181</v>
      </c>
      <c r="D346" s="5" t="s">
        <v>354</v>
      </c>
      <c r="E346" s="5" t="s">
        <v>0</v>
      </c>
      <c r="F346" s="5" t="s">
        <v>0</v>
      </c>
      <c r="G346" s="5" t="s">
        <v>183</v>
      </c>
      <c r="H346" s="6">
        <v>33.380000000000003</v>
      </c>
      <c r="I346" s="7">
        <f>ROUND(64258.4499999999,2)</f>
        <v>64258.45</v>
      </c>
      <c r="J346" s="6"/>
      <c r="K346" s="6"/>
      <c r="L346" s="6"/>
      <c r="M346" s="6"/>
      <c r="N346" s="7">
        <f>ROUND(1133.90999999999,2)</f>
        <v>1133.9100000000001</v>
      </c>
      <c r="O346" s="6"/>
      <c r="P346" s="6"/>
      <c r="Q346" s="7">
        <f>ROUND(85.6999999999999,2)</f>
        <v>85.7</v>
      </c>
      <c r="R346" s="6"/>
      <c r="S346" s="6"/>
      <c r="T346" s="6"/>
      <c r="U346" s="6"/>
      <c r="V346" s="7">
        <f>ROUND(21.42,2)</f>
        <v>21.42</v>
      </c>
      <c r="W346" s="7">
        <f>ROUND(6.27,2)</f>
        <v>6.27</v>
      </c>
      <c r="X346" s="7">
        <f>ROUND(1.89,2)</f>
        <v>1.89</v>
      </c>
      <c r="Y346" s="7">
        <f>ROUND(1,2)</f>
        <v>1</v>
      </c>
      <c r="Z346" s="6"/>
      <c r="AA346" s="6"/>
      <c r="AB346" s="6"/>
      <c r="AC346" s="6"/>
      <c r="AD346" s="6"/>
      <c r="AE346" s="7">
        <f>ROUND(126.249999999999,2)</f>
        <v>126.25</v>
      </c>
      <c r="AF346" s="6"/>
      <c r="AG346" s="7">
        <f>ROUND(44.8,2)</f>
        <v>44.8</v>
      </c>
      <c r="AH346" s="6"/>
      <c r="AI346" s="6"/>
      <c r="AJ346" s="6"/>
      <c r="AK346" s="6"/>
      <c r="AL346" s="6"/>
      <c r="AM346" s="6"/>
      <c r="AN346" s="6"/>
      <c r="AO346" s="6"/>
      <c r="AP346" s="7">
        <f>ROUND(255.1,2)</f>
        <v>255.1</v>
      </c>
      <c r="AQ346" s="6"/>
      <c r="AR346" s="7">
        <f>ROUND(104.23,2)</f>
        <v>104.23</v>
      </c>
      <c r="AS346" s="6"/>
      <c r="AT346" s="6"/>
      <c r="AU346" s="7">
        <f>ROUND(49,2)</f>
        <v>49</v>
      </c>
      <c r="AV346" s="6"/>
      <c r="AW346" s="7">
        <f>ROUND(5,2)</f>
        <v>5</v>
      </c>
      <c r="AX346" s="6"/>
      <c r="AY346" s="7">
        <f>ROUND(5,2)</f>
        <v>5</v>
      </c>
      <c r="AZ346" s="6"/>
      <c r="BA346" s="6"/>
      <c r="BB346" s="7">
        <f>ROUND(28,2)</f>
        <v>28</v>
      </c>
      <c r="BC346" s="6"/>
      <c r="BD346" s="7">
        <f>ROUND(8,2)</f>
        <v>8</v>
      </c>
      <c r="BE346" s="6"/>
      <c r="BF346" s="6"/>
      <c r="BG346" s="7">
        <f>ROUND(50.33,2)</f>
        <v>50.33</v>
      </c>
      <c r="BH346" s="6"/>
      <c r="BI346" s="6"/>
      <c r="BJ346" s="6"/>
      <c r="BK346" s="6"/>
      <c r="BL346" s="6"/>
      <c r="BM346" s="6"/>
      <c r="BN346" s="6"/>
      <c r="BO346" s="7">
        <f>ROUND(10.88,2)</f>
        <v>10.88</v>
      </c>
      <c r="BP346" s="6"/>
      <c r="BQ346" s="7">
        <f>ROUND(8.08,2)</f>
        <v>8.08</v>
      </c>
      <c r="BR346" s="7">
        <f>ROUND(9,2)</f>
        <v>9</v>
      </c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7">
        <f>ROUND(5,2)</f>
        <v>5</v>
      </c>
      <c r="CQ346" s="7">
        <f>ROUND(1958.85999999999,2)</f>
        <v>1958.86</v>
      </c>
      <c r="CR346" s="6"/>
      <c r="CS346" s="6"/>
      <c r="CT346" s="6"/>
      <c r="CU346" s="6"/>
      <c r="CV346" s="7">
        <f>ROUND(32257.7799999999,2)</f>
        <v>32257.78</v>
      </c>
      <c r="CW346" s="6"/>
      <c r="CX346" s="6"/>
      <c r="CY346" s="7">
        <f>ROUND(3835.87999999999,2)</f>
        <v>3835.88</v>
      </c>
      <c r="CZ346" s="6"/>
      <c r="DA346" s="6"/>
      <c r="DB346" s="6"/>
      <c r="DC346" s="6"/>
      <c r="DD346" s="7">
        <f>ROUND(640.46,2)</f>
        <v>640.46</v>
      </c>
      <c r="DE346" s="7">
        <f>ROUND(281.21,2)</f>
        <v>281.20999999999998</v>
      </c>
      <c r="DF346" s="7">
        <f>ROUND(56.3199999999999,2)</f>
        <v>56.32</v>
      </c>
      <c r="DG346" s="7">
        <f>ROUND(44.63,2)</f>
        <v>44.63</v>
      </c>
      <c r="DH346" s="6"/>
      <c r="DI346" s="6"/>
      <c r="DJ346" s="6"/>
      <c r="DK346" s="6"/>
      <c r="DL346" s="6"/>
      <c r="DM346" s="6"/>
      <c r="DN346" s="7">
        <f>ROUND(3646.79999999999,2)</f>
        <v>3646.8</v>
      </c>
      <c r="DO346" s="6"/>
      <c r="DP346" s="7">
        <f>ROUND(2012.38,2)</f>
        <v>2012.38</v>
      </c>
      <c r="DQ346" s="6"/>
      <c r="DR346" s="6"/>
      <c r="DS346" s="6"/>
      <c r="DT346" s="6"/>
      <c r="DU346" s="6"/>
      <c r="DV346" s="6"/>
      <c r="DW346" s="6"/>
      <c r="DX346" s="6"/>
      <c r="DY346" s="7">
        <f>ROUND(7651.05,2)</f>
        <v>7651.05</v>
      </c>
      <c r="DZ346" s="6"/>
      <c r="EA346" s="7">
        <f>ROUND(4693.56,2)</f>
        <v>4693.5600000000004</v>
      </c>
      <c r="EB346" s="6"/>
      <c r="EC346" s="6"/>
      <c r="ED346" s="7">
        <f>ROUND(1424.03,2)</f>
        <v>1424.03</v>
      </c>
      <c r="EE346" s="6"/>
      <c r="EF346" s="7">
        <f>ROUND(148.75,2)</f>
        <v>148.75</v>
      </c>
      <c r="EG346" s="6"/>
      <c r="EH346" s="7">
        <f>ROUND(136.4,2)</f>
        <v>136.4</v>
      </c>
      <c r="EI346" s="6"/>
      <c r="EJ346" s="6"/>
      <c r="EK346" s="7">
        <f>ROUND(798.27,2)</f>
        <v>798.27</v>
      </c>
      <c r="EL346" s="6"/>
      <c r="EM346" s="6"/>
      <c r="EN346" s="7">
        <f>ROUND(218.24,2)</f>
        <v>218.24</v>
      </c>
      <c r="EO346" s="6"/>
      <c r="EP346" s="6"/>
      <c r="EQ346" s="7">
        <f>ROUND(1471.8,2)</f>
        <v>1471.8</v>
      </c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7">
        <f>ROUND(323.68,2)</f>
        <v>323.68</v>
      </c>
      <c r="FC346" s="6"/>
      <c r="FD346" s="7">
        <f>ROUND(240.38,2)</f>
        <v>240.38</v>
      </c>
      <c r="FE346" s="7">
        <f>ROUND(401.63,2)</f>
        <v>401.63</v>
      </c>
      <c r="FF346" s="6"/>
      <c r="FG346" s="6"/>
      <c r="FH346" s="6"/>
      <c r="FI346" s="6"/>
      <c r="FJ346" s="7">
        <f>ROUND(825,2)</f>
        <v>825</v>
      </c>
      <c r="FK346" s="6"/>
      <c r="FL346" s="6"/>
      <c r="FM346" s="6"/>
      <c r="FN346" s="6"/>
      <c r="FO346" s="6"/>
      <c r="FP346" s="6"/>
      <c r="FQ346" s="6"/>
      <c r="FR346" s="6"/>
      <c r="FS346" s="6"/>
      <c r="FT346" s="7">
        <f t="shared" ref="FT346:FT358" si="5">ROUND(3000,2)</f>
        <v>3000</v>
      </c>
      <c r="FU346" s="6"/>
      <c r="FV346" s="6"/>
      <c r="FW346" s="6"/>
      <c r="FX346" s="7">
        <f>ROUND(150.2,2)</f>
        <v>150.19999999999999</v>
      </c>
      <c r="FY346" s="7">
        <f>ROUND(64258.45,2)</f>
        <v>64258.45</v>
      </c>
    </row>
    <row r="347" spans="1:181" x14ac:dyDescent="0.3">
      <c r="A347" s="4" t="s">
        <v>876</v>
      </c>
      <c r="B347" s="5" t="s">
        <v>1029</v>
      </c>
      <c r="C347" s="5" t="s">
        <v>181</v>
      </c>
      <c r="D347" s="5" t="s">
        <v>877</v>
      </c>
      <c r="E347" s="5" t="s">
        <v>0</v>
      </c>
      <c r="F347" s="5" t="s">
        <v>0</v>
      </c>
      <c r="G347" s="5" t="s">
        <v>183</v>
      </c>
      <c r="H347" s="8">
        <v>33.880000000000003</v>
      </c>
      <c r="I347" s="7">
        <f>ROUND(93805.24,2)</f>
        <v>93805.24</v>
      </c>
      <c r="J347" s="6"/>
      <c r="K347" s="6"/>
      <c r="L347" s="6"/>
      <c r="M347" s="6"/>
      <c r="N347" s="7">
        <f>ROUND(1828.58,2)</f>
        <v>1828.58</v>
      </c>
      <c r="O347" s="6"/>
      <c r="P347" s="6"/>
      <c r="Q347" s="7">
        <f>ROUND(360.07,2)</f>
        <v>360.07</v>
      </c>
      <c r="R347" s="6"/>
      <c r="S347" s="6"/>
      <c r="T347" s="6"/>
      <c r="U347" s="6"/>
      <c r="V347" s="6"/>
      <c r="W347" s="6"/>
      <c r="X347" s="6"/>
      <c r="Y347" s="6"/>
      <c r="Z347" s="7">
        <f>ROUND(0.25,2)</f>
        <v>0.25</v>
      </c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7">
        <f>ROUND(63.67,2)</f>
        <v>63.67</v>
      </c>
      <c r="AV347" s="7">
        <f>ROUND(4.33,2)</f>
        <v>4.33</v>
      </c>
      <c r="AW347" s="7">
        <f>ROUND(16,2)</f>
        <v>16</v>
      </c>
      <c r="AX347" s="7">
        <f>ROUND(8,2)</f>
        <v>8</v>
      </c>
      <c r="AY347" s="7">
        <f>ROUND(211.25,2)</f>
        <v>211.25</v>
      </c>
      <c r="AZ347" s="7">
        <f>ROUND(4.75,2)</f>
        <v>4.75</v>
      </c>
      <c r="BA347" s="6"/>
      <c r="BB347" s="7">
        <f>ROUND(40,2)</f>
        <v>40</v>
      </c>
      <c r="BC347" s="6"/>
      <c r="BD347" s="7">
        <f>ROUND(8,2)</f>
        <v>8</v>
      </c>
      <c r="BE347" s="7">
        <f>ROUND(1.83,2)</f>
        <v>1.83</v>
      </c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7">
        <f>ROUND(8,2)</f>
        <v>8</v>
      </c>
      <c r="CQ347" s="7">
        <f>ROUND(2554.73,2)</f>
        <v>2554.73</v>
      </c>
      <c r="CR347" s="6"/>
      <c r="CS347" s="6"/>
      <c r="CT347" s="6"/>
      <c r="CU347" s="6"/>
      <c r="CV347" s="7">
        <f>ROUND(59572.1199999999,2)</f>
        <v>59572.12</v>
      </c>
      <c r="CW347" s="6"/>
      <c r="CX347" s="6"/>
      <c r="CY347" s="7">
        <f>ROUND(17673.76,2)</f>
        <v>17673.759999999998</v>
      </c>
      <c r="CZ347" s="6"/>
      <c r="DA347" s="6"/>
      <c r="DB347" s="6"/>
      <c r="DC347" s="6"/>
      <c r="DD347" s="6"/>
      <c r="DE347" s="6"/>
      <c r="DF347" s="6"/>
      <c r="DG347" s="6"/>
      <c r="DH347" s="7">
        <f>ROUND(16.53,2)</f>
        <v>16.53</v>
      </c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7">
        <f>ROUND(2077.65,2)</f>
        <v>2077.65</v>
      </c>
      <c r="EE347" s="7">
        <f>ROUND(214.68,2)</f>
        <v>214.68</v>
      </c>
      <c r="EF347" s="7">
        <f>ROUND(513.44,2)</f>
        <v>513.44000000000005</v>
      </c>
      <c r="EG347" s="7">
        <f>ROUND(396.6,2)</f>
        <v>396.6</v>
      </c>
      <c r="EH347" s="7">
        <f>ROUND(6929.25,2)</f>
        <v>6929.25</v>
      </c>
      <c r="EI347" s="7">
        <f>ROUND(235.48,2)</f>
        <v>235.48</v>
      </c>
      <c r="EJ347" s="6"/>
      <c r="EK347" s="7">
        <f>ROUND(1283.6,2)</f>
        <v>1283.5999999999999</v>
      </c>
      <c r="EL347" s="6"/>
      <c r="EM347" s="6"/>
      <c r="EN347" s="7">
        <f>ROUND(256.72,2)</f>
        <v>256.72000000000003</v>
      </c>
      <c r="EO347" s="7">
        <f>ROUND(88.09,2)</f>
        <v>88.09</v>
      </c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7">
        <f>ROUND(1275,2)</f>
        <v>1275</v>
      </c>
      <c r="FK347" s="6"/>
      <c r="FL347" s="6"/>
      <c r="FM347" s="6"/>
      <c r="FN347" s="6"/>
      <c r="FO347" s="6"/>
      <c r="FP347" s="6"/>
      <c r="FQ347" s="6"/>
      <c r="FR347" s="6"/>
      <c r="FS347" s="6"/>
      <c r="FT347" s="7">
        <f t="shared" si="5"/>
        <v>3000</v>
      </c>
      <c r="FU347" s="6"/>
      <c r="FV347" s="6"/>
      <c r="FW347" s="6"/>
      <c r="FX347" s="7">
        <f>ROUND(272.32,2)</f>
        <v>272.32</v>
      </c>
      <c r="FY347" s="7">
        <f>ROUND(93805.24,2)</f>
        <v>93805.24</v>
      </c>
    </row>
    <row r="348" spans="1:181" x14ac:dyDescent="0.3">
      <c r="A348" s="4" t="s">
        <v>878</v>
      </c>
      <c r="B348" s="5" t="s">
        <v>1029</v>
      </c>
      <c r="C348" s="5" t="s">
        <v>236</v>
      </c>
      <c r="D348" s="5" t="s">
        <v>879</v>
      </c>
      <c r="E348" s="5" t="s">
        <v>0</v>
      </c>
      <c r="F348" s="5" t="s">
        <v>0</v>
      </c>
      <c r="G348" s="5" t="s">
        <v>238</v>
      </c>
      <c r="H348" s="8">
        <v>37.75</v>
      </c>
      <c r="I348" s="7">
        <f>ROUND(126070.129999999,2)</f>
        <v>126070.13</v>
      </c>
      <c r="J348" s="6"/>
      <c r="K348" s="6"/>
      <c r="L348" s="7">
        <f>ROUND(1963.5,2)</f>
        <v>1963.5</v>
      </c>
      <c r="M348" s="7">
        <f>ROUND(710.5,2)</f>
        <v>710.5</v>
      </c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7">
        <f>ROUND(64,2)</f>
        <v>64</v>
      </c>
      <c r="AV348" s="6"/>
      <c r="AW348" s="7">
        <f>ROUND(32,2)</f>
        <v>32</v>
      </c>
      <c r="AX348" s="7">
        <f>ROUND(24,2)</f>
        <v>24</v>
      </c>
      <c r="AY348" s="7">
        <f>ROUND(64,2)</f>
        <v>64</v>
      </c>
      <c r="AZ348" s="7">
        <f>ROUND(56,2)</f>
        <v>56</v>
      </c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7">
        <f>ROUND(2914,2)</f>
        <v>2914</v>
      </c>
      <c r="CR348" s="6"/>
      <c r="CS348" s="6"/>
      <c r="CT348" s="7">
        <f>ROUND(72187.74,2)</f>
        <v>72187.740000000005</v>
      </c>
      <c r="CU348" s="7">
        <f>ROUND(39201.79,2)</f>
        <v>39201.79</v>
      </c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7">
        <f>ROUND(2351.12,2)</f>
        <v>2351.12</v>
      </c>
      <c r="EE348" s="6"/>
      <c r="EF348" s="7">
        <f>ROUND(1185.12,2)</f>
        <v>1185.1199999999999</v>
      </c>
      <c r="EG348" s="7">
        <f>ROUND(1350.12,2)</f>
        <v>1350.12</v>
      </c>
      <c r="EH348" s="7">
        <f>ROUND(2370.24,2)</f>
        <v>2370.2399999999998</v>
      </c>
      <c r="EI348" s="7">
        <f>ROUND(3024,2)</f>
        <v>3024</v>
      </c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7">
        <f>ROUND(1400,2)</f>
        <v>1400</v>
      </c>
      <c r="FK348" s="6"/>
      <c r="FL348" s="6"/>
      <c r="FM348" s="6"/>
      <c r="FN348" s="6"/>
      <c r="FO348" s="6"/>
      <c r="FP348" s="6"/>
      <c r="FQ348" s="6"/>
      <c r="FR348" s="6"/>
      <c r="FS348" s="6"/>
      <c r="FT348" s="7">
        <f t="shared" si="5"/>
        <v>3000</v>
      </c>
      <c r="FU348" s="6"/>
      <c r="FV348" s="6"/>
      <c r="FW348" s="6"/>
      <c r="FX348" s="6"/>
      <c r="FY348" s="7">
        <f>ROUND(126070.129999999,2)</f>
        <v>126070.13</v>
      </c>
    </row>
    <row r="349" spans="1:181" x14ac:dyDescent="0.3">
      <c r="A349" s="4" t="s">
        <v>880</v>
      </c>
      <c r="B349" s="5" t="s">
        <v>1029</v>
      </c>
      <c r="C349" s="5" t="s">
        <v>181</v>
      </c>
      <c r="D349" s="5" t="s">
        <v>209</v>
      </c>
      <c r="E349" s="5" t="s">
        <v>0</v>
      </c>
      <c r="F349" s="5" t="s">
        <v>0</v>
      </c>
      <c r="G349" s="5" t="s">
        <v>183</v>
      </c>
      <c r="H349" s="8">
        <v>33.380000000000003</v>
      </c>
      <c r="I349" s="7">
        <f>ROUND(100387.63,2)</f>
        <v>100387.63</v>
      </c>
      <c r="J349" s="6"/>
      <c r="K349" s="6"/>
      <c r="L349" s="6"/>
      <c r="M349" s="6"/>
      <c r="N349" s="7">
        <f>ROUND(490.05,2)</f>
        <v>490.05</v>
      </c>
      <c r="O349" s="6"/>
      <c r="P349" s="6"/>
      <c r="Q349" s="7">
        <f>ROUND(226.989999999999,2)</f>
        <v>226.99</v>
      </c>
      <c r="R349" s="6"/>
      <c r="S349" s="6"/>
      <c r="T349" s="6"/>
      <c r="U349" s="6"/>
      <c r="V349" s="7">
        <f>ROUND(6.67,2)</f>
        <v>6.67</v>
      </c>
      <c r="W349" s="7">
        <f>ROUND(41.3,2)</f>
        <v>41.3</v>
      </c>
      <c r="X349" s="7">
        <f>ROUND(0.83,2)</f>
        <v>0.83</v>
      </c>
      <c r="Y349" s="7">
        <f>ROUND(1.87,2)</f>
        <v>1.87</v>
      </c>
      <c r="Z349" s="6"/>
      <c r="AA349" s="6"/>
      <c r="AB349" s="6"/>
      <c r="AC349" s="6"/>
      <c r="AD349" s="6"/>
      <c r="AE349" s="7">
        <f>ROUND(1336.98999999999,2)</f>
        <v>1336.99</v>
      </c>
      <c r="AF349" s="6"/>
      <c r="AG349" s="7">
        <f>ROUND(95.5,2)</f>
        <v>95.5</v>
      </c>
      <c r="AH349" s="6"/>
      <c r="AI349" s="6"/>
      <c r="AJ349" s="6"/>
      <c r="AK349" s="6"/>
      <c r="AL349" s="6"/>
      <c r="AM349" s="6"/>
      <c r="AN349" s="6"/>
      <c r="AO349" s="6"/>
      <c r="AP349" s="7">
        <f>ROUND(70.46,2)</f>
        <v>70.459999999999994</v>
      </c>
      <c r="AQ349" s="6"/>
      <c r="AR349" s="7">
        <f>ROUND(165.489999999999,2)</f>
        <v>165.49</v>
      </c>
      <c r="AS349" s="6"/>
      <c r="AT349" s="6"/>
      <c r="AU349" s="7">
        <f>ROUND(72,2)</f>
        <v>72</v>
      </c>
      <c r="AV349" s="6"/>
      <c r="AW349" s="7">
        <f>ROUND(36,2)</f>
        <v>36</v>
      </c>
      <c r="AX349" s="6"/>
      <c r="AY349" s="7">
        <f>ROUND(88,2)</f>
        <v>88</v>
      </c>
      <c r="AZ349" s="6"/>
      <c r="BA349" s="6"/>
      <c r="BB349" s="7">
        <f>ROUND(10,2)</f>
        <v>10</v>
      </c>
      <c r="BC349" s="6"/>
      <c r="BD349" s="7">
        <f>ROUND(8,2)</f>
        <v>8</v>
      </c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>
        <f>ROUND(5,2)</f>
        <v>5</v>
      </c>
      <c r="BP349" s="6"/>
      <c r="BQ349" s="7">
        <f>ROUND(18,2)</f>
        <v>18</v>
      </c>
      <c r="BR349" s="6"/>
      <c r="BS349" s="7">
        <f>ROUND(8,2)</f>
        <v>8</v>
      </c>
      <c r="BT349" s="6"/>
      <c r="BU349" s="6"/>
      <c r="BV349" s="6"/>
      <c r="BW349" s="6"/>
      <c r="BX349" s="6"/>
      <c r="BY349" s="6"/>
      <c r="BZ349" s="6"/>
      <c r="CA349" s="7">
        <f>ROUND(6.25,2)</f>
        <v>6.25</v>
      </c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7">
        <f>ROUND(2687.39999999999,2)</f>
        <v>2687.4</v>
      </c>
      <c r="CR349" s="6"/>
      <c r="CS349" s="6"/>
      <c r="CT349" s="6"/>
      <c r="CU349" s="6"/>
      <c r="CV349" s="7">
        <f>ROUND(16174.56,2)</f>
        <v>16174.56</v>
      </c>
      <c r="CW349" s="6"/>
      <c r="CX349" s="6"/>
      <c r="CY349" s="7">
        <f>ROUND(11181.87,2)</f>
        <v>11181.87</v>
      </c>
      <c r="CZ349" s="6"/>
      <c r="DA349" s="6"/>
      <c r="DB349" s="6"/>
      <c r="DC349" s="6"/>
      <c r="DD349" s="7">
        <f>ROUND(215.04,2)</f>
        <v>215.04</v>
      </c>
      <c r="DE349" s="7">
        <f>ROUND(2039.46,2)</f>
        <v>2039.46</v>
      </c>
      <c r="DF349" s="7">
        <f>ROUND(27.47,2)</f>
        <v>27.47</v>
      </c>
      <c r="DG349" s="7">
        <f>ROUND(92.1799999999999,2)</f>
        <v>92.18</v>
      </c>
      <c r="DH349" s="6"/>
      <c r="DI349" s="6"/>
      <c r="DJ349" s="6"/>
      <c r="DK349" s="6"/>
      <c r="DL349" s="6"/>
      <c r="DM349" s="6"/>
      <c r="DN349" s="7">
        <f>ROUND(43523.1899999999,2)</f>
        <v>43523.19</v>
      </c>
      <c r="DO349" s="6"/>
      <c r="DP349" s="7">
        <f>ROUND(4642.36,2)</f>
        <v>4642.3599999999997</v>
      </c>
      <c r="DQ349" s="6"/>
      <c r="DR349" s="6"/>
      <c r="DS349" s="6"/>
      <c r="DT349" s="6"/>
      <c r="DU349" s="6"/>
      <c r="DV349" s="6"/>
      <c r="DW349" s="6"/>
      <c r="DX349" s="6"/>
      <c r="DY349" s="7">
        <f>ROUND(2317.5,2)</f>
        <v>2317.5</v>
      </c>
      <c r="DZ349" s="6"/>
      <c r="EA349" s="7">
        <f>ROUND(8083.19,2)</f>
        <v>8083.19</v>
      </c>
      <c r="EB349" s="6"/>
      <c r="EC349" s="6"/>
      <c r="ED349" s="7">
        <f>ROUND(2343.84,2)</f>
        <v>2343.84</v>
      </c>
      <c r="EE349" s="6"/>
      <c r="EF349" s="7">
        <f>ROUND(1182.12,2)</f>
        <v>1182.1199999999999</v>
      </c>
      <c r="EG349" s="6"/>
      <c r="EH349" s="7">
        <f>ROUND(2908.4,2)</f>
        <v>2908.4</v>
      </c>
      <c r="EI349" s="6"/>
      <c r="EJ349" s="6"/>
      <c r="EK349" s="7">
        <f>ROUND(330.5,2)</f>
        <v>330.5</v>
      </c>
      <c r="EL349" s="6"/>
      <c r="EM349" s="6"/>
      <c r="EN349" s="7">
        <f>ROUND(256.72,2)</f>
        <v>256.72000000000003</v>
      </c>
      <c r="EO349" s="6"/>
      <c r="EP349" s="6"/>
      <c r="EQ349" s="6"/>
      <c r="ER349" s="6"/>
      <c r="ES349" s="6"/>
      <c r="ET349" s="6"/>
      <c r="EU349" s="6"/>
      <c r="EV349" s="7">
        <f>ROUND(83.33,2)</f>
        <v>83.33</v>
      </c>
      <c r="EW349" s="6"/>
      <c r="EX349" s="6"/>
      <c r="EY349" s="6"/>
      <c r="EZ349" s="6"/>
      <c r="FA349" s="6"/>
      <c r="FB349" s="7">
        <f>ROUND(166,2)</f>
        <v>166</v>
      </c>
      <c r="FC349" s="6"/>
      <c r="FD349" s="7">
        <f>ROUND(594.9,2)</f>
        <v>594.9</v>
      </c>
      <c r="FE349" s="6"/>
      <c r="FF349" s="6"/>
      <c r="FG349" s="6"/>
      <c r="FH349" s="6"/>
      <c r="FI349" s="6"/>
      <c r="FJ349" s="7">
        <f>ROUND(1225,2)</f>
        <v>1225</v>
      </c>
      <c r="FK349" s="6"/>
      <c r="FL349" s="6"/>
      <c r="FM349" s="6"/>
      <c r="FN349" s="6"/>
      <c r="FO349" s="6"/>
      <c r="FP349" s="6"/>
      <c r="FQ349" s="6"/>
      <c r="FR349" s="6"/>
      <c r="FS349" s="6"/>
      <c r="FT349" s="7">
        <f t="shared" si="5"/>
        <v>3000</v>
      </c>
      <c r="FU349" s="6"/>
      <c r="FV349" s="6"/>
      <c r="FW349" s="6"/>
      <c r="FX349" s="6"/>
      <c r="FY349" s="7">
        <f>ROUND(100387.63,2)</f>
        <v>100387.63</v>
      </c>
    </row>
    <row r="350" spans="1:181" x14ac:dyDescent="0.3">
      <c r="A350" s="4" t="s">
        <v>881</v>
      </c>
      <c r="B350" s="5" t="s">
        <v>1029</v>
      </c>
      <c r="C350" s="5" t="s">
        <v>181</v>
      </c>
      <c r="D350" s="5" t="s">
        <v>194</v>
      </c>
      <c r="E350" s="5" t="s">
        <v>882</v>
      </c>
      <c r="F350" s="5" t="s">
        <v>0</v>
      </c>
      <c r="G350" s="5" t="s">
        <v>183</v>
      </c>
      <c r="H350" s="8">
        <v>33.380000000000003</v>
      </c>
      <c r="I350" s="7">
        <f>ROUND(87679.6599999999,2)</f>
        <v>87679.66</v>
      </c>
      <c r="J350" s="6"/>
      <c r="K350" s="6"/>
      <c r="L350" s="6"/>
      <c r="M350" s="6"/>
      <c r="N350" s="7">
        <f>ROUND(1841.09,2)</f>
        <v>1841.09</v>
      </c>
      <c r="O350" s="6"/>
      <c r="P350" s="6"/>
      <c r="Q350" s="7">
        <f>ROUND(249.55,2)</f>
        <v>249.55</v>
      </c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7">
        <f>ROUND(34.34,2)</f>
        <v>34.340000000000003</v>
      </c>
      <c r="AF350" s="6"/>
      <c r="AG350" s="7">
        <f>ROUND(16.92,2)</f>
        <v>16.920000000000002</v>
      </c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7">
        <f>ROUND(68,2)</f>
        <v>68</v>
      </c>
      <c r="AV350" s="6"/>
      <c r="AW350" s="7">
        <f>ROUND(35.7,2)</f>
        <v>35.700000000000003</v>
      </c>
      <c r="AX350" s="7">
        <f>ROUND(4.3,2)</f>
        <v>4.3</v>
      </c>
      <c r="AY350" s="7">
        <f>ROUND(73.57,2)</f>
        <v>73.569999999999993</v>
      </c>
      <c r="AZ350" s="7">
        <f>ROUND(6.43,2)</f>
        <v>6.43</v>
      </c>
      <c r="BA350" s="6"/>
      <c r="BB350" s="7">
        <f>ROUND(40,2)</f>
        <v>40</v>
      </c>
      <c r="BC350" s="6"/>
      <c r="BD350" s="7">
        <f>ROUND(8,2)</f>
        <v>8</v>
      </c>
      <c r="BE350" s="6"/>
      <c r="BF350" s="6"/>
      <c r="BG350" s="7">
        <f>ROUND(26.27,2)</f>
        <v>26.27</v>
      </c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7">
        <f>ROUND(0.87,2)</f>
        <v>0.87</v>
      </c>
      <c r="BU350" s="6"/>
      <c r="BV350" s="6"/>
      <c r="BW350" s="6"/>
      <c r="BX350" s="6"/>
      <c r="BY350" s="6"/>
      <c r="BZ350" s="6"/>
      <c r="CA350" s="7">
        <f>ROUND(8,2)</f>
        <v>8</v>
      </c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7">
        <f>ROUND(2413.04,2)</f>
        <v>2413.04</v>
      </c>
      <c r="CR350" s="6"/>
      <c r="CS350" s="6"/>
      <c r="CT350" s="6"/>
      <c r="CU350" s="6"/>
      <c r="CV350" s="7">
        <f>ROUND(59922.6299999999,2)</f>
        <v>59922.63</v>
      </c>
      <c r="CW350" s="6"/>
      <c r="CX350" s="6"/>
      <c r="CY350" s="7">
        <f>ROUND(12214.7999999999,2)</f>
        <v>12214.8</v>
      </c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7">
        <f>ROUND(1146.26,2)</f>
        <v>1146.26</v>
      </c>
      <c r="DO350" s="6"/>
      <c r="DP350" s="7">
        <f>ROUND(847.19,2)</f>
        <v>847.19</v>
      </c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7">
        <f>ROUND(2215.48,2)</f>
        <v>2215.48</v>
      </c>
      <c r="EE350" s="6"/>
      <c r="EF350" s="7">
        <f>ROUND(1153.29,2)</f>
        <v>1153.29</v>
      </c>
      <c r="EG350" s="7">
        <f>ROUND(206.98,2)</f>
        <v>206.98</v>
      </c>
      <c r="EH350" s="7">
        <f>ROUND(2391.58,2)</f>
        <v>2391.58</v>
      </c>
      <c r="EI350" s="7">
        <f>ROUND(309.51,2)</f>
        <v>309.51</v>
      </c>
      <c r="EJ350" s="6"/>
      <c r="EK350" s="7">
        <f>ROUND(1322,2)</f>
        <v>1322</v>
      </c>
      <c r="EL350" s="6"/>
      <c r="EM350" s="6"/>
      <c r="EN350" s="7">
        <f>ROUND(256.72,2)</f>
        <v>256.72000000000003</v>
      </c>
      <c r="EO350" s="6"/>
      <c r="EP350" s="6"/>
      <c r="EQ350" s="7">
        <f>ROUND(868.22,2)</f>
        <v>868.22</v>
      </c>
      <c r="ER350" s="6"/>
      <c r="ES350" s="6"/>
      <c r="ET350" s="6"/>
      <c r="EU350" s="6"/>
      <c r="EV350" s="7">
        <f>ROUND(500,2)</f>
        <v>500</v>
      </c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7">
        <f>ROUND(1325,2)</f>
        <v>1325</v>
      </c>
      <c r="FK350" s="6"/>
      <c r="FL350" s="6"/>
      <c r="FM350" s="6"/>
      <c r="FN350" s="6"/>
      <c r="FO350" s="6"/>
      <c r="FP350" s="6"/>
      <c r="FQ350" s="6"/>
      <c r="FR350" s="6"/>
      <c r="FS350" s="6"/>
      <c r="FT350" s="7">
        <f t="shared" si="5"/>
        <v>3000</v>
      </c>
      <c r="FU350" s="6"/>
      <c r="FV350" s="6"/>
      <c r="FW350" s="6"/>
      <c r="FX350" s="6"/>
      <c r="FY350" s="7">
        <f>ROUND(87679.6599999999,2)</f>
        <v>87679.66</v>
      </c>
    </row>
    <row r="351" spans="1:181" x14ac:dyDescent="0.3">
      <c r="A351" s="4" t="s">
        <v>883</v>
      </c>
      <c r="B351" s="5" t="s">
        <v>1029</v>
      </c>
      <c r="C351" s="5" t="s">
        <v>181</v>
      </c>
      <c r="D351" s="5" t="s">
        <v>884</v>
      </c>
      <c r="E351" s="5" t="s">
        <v>0</v>
      </c>
      <c r="F351" s="5" t="s">
        <v>0</v>
      </c>
      <c r="G351" s="5" t="s">
        <v>183</v>
      </c>
      <c r="H351" s="8">
        <v>33.880000000000003</v>
      </c>
      <c r="I351" s="7">
        <f>ROUND(77176.2799999999,2)</f>
        <v>77176.28</v>
      </c>
      <c r="J351" s="6"/>
      <c r="K351" s="6"/>
      <c r="L351" s="6"/>
      <c r="M351" s="6"/>
      <c r="N351" s="7">
        <f>ROUND(583.28,2)</f>
        <v>583.28</v>
      </c>
      <c r="O351" s="6"/>
      <c r="P351" s="6"/>
      <c r="Q351" s="7">
        <f>ROUND(44.08,2)</f>
        <v>44.08</v>
      </c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7">
        <f>ROUND(1269,2)</f>
        <v>1269</v>
      </c>
      <c r="AF351" s="6"/>
      <c r="AG351" s="7">
        <f>ROUND(50.68,2)</f>
        <v>50.68</v>
      </c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7">
        <f>ROUND(68,2)</f>
        <v>68</v>
      </c>
      <c r="AV351" s="6"/>
      <c r="AW351" s="7">
        <f>ROUND(32,2)</f>
        <v>32</v>
      </c>
      <c r="AX351" s="6"/>
      <c r="AY351" s="7">
        <f>ROUND(100,2)</f>
        <v>100</v>
      </c>
      <c r="AZ351" s="7">
        <f>ROUND(4,2)</f>
        <v>4</v>
      </c>
      <c r="BA351" s="6"/>
      <c r="BB351" s="7">
        <f>ROUND(16,2)</f>
        <v>16</v>
      </c>
      <c r="BC351" s="6"/>
      <c r="BD351" s="7">
        <f>ROUND(8,2)</f>
        <v>8</v>
      </c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7">
        <f>ROUND(16,2)</f>
        <v>16</v>
      </c>
      <c r="BT351" s="6"/>
      <c r="BU351" s="6"/>
      <c r="BV351" s="6"/>
      <c r="BW351" s="6"/>
      <c r="BX351" s="6"/>
      <c r="BY351" s="7">
        <f>ROUND(24,2)</f>
        <v>24</v>
      </c>
      <c r="BZ351" s="6"/>
      <c r="CA351" s="7">
        <f>ROUND(24,2)</f>
        <v>24</v>
      </c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7">
        <f>ROUND(2239.03999999999,2)</f>
        <v>2239.04</v>
      </c>
      <c r="CR351" s="6"/>
      <c r="CS351" s="6"/>
      <c r="CT351" s="6"/>
      <c r="CU351" s="6"/>
      <c r="CV351" s="7">
        <f>ROUND(19079.33,2)</f>
        <v>19079.330000000002</v>
      </c>
      <c r="CW351" s="6"/>
      <c r="CX351" s="6"/>
      <c r="CY351" s="7">
        <f>ROUND(2168.49999999999,2)</f>
        <v>2168.5</v>
      </c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7">
        <f>ROUND(41341.6499999999,2)</f>
        <v>41341.65</v>
      </c>
      <c r="DO351" s="6"/>
      <c r="DP351" s="7">
        <f>ROUND(2477.66,2)</f>
        <v>2477.66</v>
      </c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7">
        <f>ROUND(2215.48,2)</f>
        <v>2215.48</v>
      </c>
      <c r="EE351" s="6"/>
      <c r="EF351" s="7">
        <f>ROUND(1034.56,2)</f>
        <v>1034.56</v>
      </c>
      <c r="EG351" s="6"/>
      <c r="EH351" s="7">
        <f>ROUND(3268.52,2)</f>
        <v>3268.52</v>
      </c>
      <c r="EI351" s="7">
        <f>ROUND(195.42,2)</f>
        <v>195.42</v>
      </c>
      <c r="EJ351" s="6"/>
      <c r="EK351" s="7">
        <f>ROUND(513.44,2)</f>
        <v>513.44000000000005</v>
      </c>
      <c r="EL351" s="6"/>
      <c r="EM351" s="6"/>
      <c r="EN351" s="7">
        <f>ROUND(256.72,2)</f>
        <v>256.72000000000003</v>
      </c>
      <c r="EO351" s="6"/>
      <c r="EP351" s="6"/>
      <c r="EQ351" s="6"/>
      <c r="ER351" s="6"/>
      <c r="ES351" s="6"/>
      <c r="ET351" s="6"/>
      <c r="EU351" s="6"/>
      <c r="EV351" s="7">
        <f>ROUND(500,2)</f>
        <v>500</v>
      </c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7">
        <f>ROUND(1125,2)</f>
        <v>1125</v>
      </c>
      <c r="FK351" s="6"/>
      <c r="FL351" s="6"/>
      <c r="FM351" s="6"/>
      <c r="FN351" s="6"/>
      <c r="FO351" s="6"/>
      <c r="FP351" s="6"/>
      <c r="FQ351" s="6"/>
      <c r="FR351" s="6"/>
      <c r="FS351" s="6"/>
      <c r="FT351" s="7">
        <f t="shared" si="5"/>
        <v>3000</v>
      </c>
      <c r="FU351" s="6"/>
      <c r="FV351" s="6"/>
      <c r="FW351" s="6"/>
      <c r="FX351" s="6"/>
      <c r="FY351" s="7">
        <f>ROUND(77176.2799999999,2)</f>
        <v>77176.28</v>
      </c>
    </row>
    <row r="352" spans="1:181" x14ac:dyDescent="0.3">
      <c r="A352" s="4" t="s">
        <v>885</v>
      </c>
      <c r="B352" s="5" t="s">
        <v>1029</v>
      </c>
      <c r="C352" s="5" t="s">
        <v>181</v>
      </c>
      <c r="D352" s="5" t="s">
        <v>886</v>
      </c>
      <c r="E352" s="5" t="s">
        <v>0</v>
      </c>
      <c r="F352" s="5" t="s">
        <v>0</v>
      </c>
      <c r="G352" s="5" t="s">
        <v>183</v>
      </c>
      <c r="H352" s="8">
        <v>33.880000000000003</v>
      </c>
      <c r="I352" s="7">
        <f>ROUND(103251.4,2)</f>
        <v>103251.4</v>
      </c>
      <c r="J352" s="6"/>
      <c r="K352" s="6"/>
      <c r="L352" s="6"/>
      <c r="M352" s="6"/>
      <c r="N352" s="7">
        <f>ROUND(1974.36,2)</f>
        <v>1974.36</v>
      </c>
      <c r="O352" s="6"/>
      <c r="P352" s="6"/>
      <c r="Q352" s="7">
        <f>ROUND(476.989999999999,2)</f>
        <v>476.99</v>
      </c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>
        <f>ROUND(24,2)</f>
        <v>24</v>
      </c>
      <c r="AS352" s="6"/>
      <c r="AT352" s="6"/>
      <c r="AU352" s="7">
        <f>ROUND(68,2)</f>
        <v>68</v>
      </c>
      <c r="AV352" s="6"/>
      <c r="AW352" s="7">
        <f>ROUND(16,2)</f>
        <v>16</v>
      </c>
      <c r="AX352" s="7">
        <f>ROUND(8,2)</f>
        <v>8</v>
      </c>
      <c r="AY352" s="7">
        <f>ROUND(66.91,2)</f>
        <v>66.91</v>
      </c>
      <c r="AZ352" s="7">
        <f>ROUND(37.0899999999999,2)</f>
        <v>37.090000000000003</v>
      </c>
      <c r="BA352" s="6"/>
      <c r="BB352" s="7">
        <f>ROUND(40,2)</f>
        <v>40</v>
      </c>
      <c r="BC352" s="6"/>
      <c r="BD352" s="7">
        <f>ROUND(8,2)</f>
        <v>8</v>
      </c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7">
        <f>ROUND(1.79,2)</f>
        <v>1.79</v>
      </c>
      <c r="BU352" s="6"/>
      <c r="BV352" s="6"/>
      <c r="BW352" s="7">
        <f>ROUND(10,2)</f>
        <v>10</v>
      </c>
      <c r="BX352" s="6"/>
      <c r="BY352" s="7">
        <f>ROUND(8,2)</f>
        <v>8</v>
      </c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7">
        <f>ROUND(24,2)</f>
        <v>24</v>
      </c>
      <c r="CQ352" s="7">
        <f>ROUND(2763.14,2)</f>
        <v>2763.14</v>
      </c>
      <c r="CR352" s="6"/>
      <c r="CS352" s="6"/>
      <c r="CT352" s="6"/>
      <c r="CU352" s="6"/>
      <c r="CV352" s="7">
        <f>ROUND(64406.4999999999,2)</f>
        <v>64406.5</v>
      </c>
      <c r="CW352" s="6"/>
      <c r="CX352" s="6"/>
      <c r="CY352" s="7">
        <f>ROUND(23454.4199999999,2)</f>
        <v>23454.42</v>
      </c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7">
        <f>ROUND(1192.5,2)</f>
        <v>1192.5</v>
      </c>
      <c r="EB352" s="6"/>
      <c r="EC352" s="6"/>
      <c r="ED352" s="7">
        <f>ROUND(2218.12,2)</f>
        <v>2218.12</v>
      </c>
      <c r="EE352" s="6"/>
      <c r="EF352" s="7">
        <f>ROUND(513.44,2)</f>
        <v>513.44000000000005</v>
      </c>
      <c r="EG352" s="7">
        <f>ROUND(385.08,2)</f>
        <v>385.08</v>
      </c>
      <c r="EH352" s="7">
        <f>ROUND(2171.08,2)</f>
        <v>2171.08</v>
      </c>
      <c r="EI352" s="7">
        <f>ROUND(1795.54,2)</f>
        <v>1795.54</v>
      </c>
      <c r="EJ352" s="6"/>
      <c r="EK352" s="7">
        <f>ROUND(1298.96,2)</f>
        <v>1298.96</v>
      </c>
      <c r="EL352" s="6"/>
      <c r="EM352" s="6"/>
      <c r="EN352" s="7">
        <f>ROUND(256.72,2)</f>
        <v>256.72000000000003</v>
      </c>
      <c r="EO352" s="6"/>
      <c r="EP352" s="6"/>
      <c r="EQ352" s="6"/>
      <c r="ER352" s="6"/>
      <c r="ES352" s="6"/>
      <c r="ET352" s="6"/>
      <c r="EU352" s="6"/>
      <c r="EV352" s="7">
        <f>ROUND(500,2)</f>
        <v>500</v>
      </c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7">
        <f>ROUND(1250,2)</f>
        <v>1250</v>
      </c>
      <c r="FK352" s="6"/>
      <c r="FL352" s="6"/>
      <c r="FM352" s="6"/>
      <c r="FN352" s="6"/>
      <c r="FO352" s="6"/>
      <c r="FP352" s="6"/>
      <c r="FQ352" s="6"/>
      <c r="FR352" s="6"/>
      <c r="FS352" s="6"/>
      <c r="FT352" s="7">
        <f t="shared" si="5"/>
        <v>3000</v>
      </c>
      <c r="FU352" s="6"/>
      <c r="FV352" s="6"/>
      <c r="FW352" s="6"/>
      <c r="FX352" s="7">
        <f>ROUND(809.04,2)</f>
        <v>809.04</v>
      </c>
      <c r="FY352" s="7">
        <f>ROUND(103251.4,2)</f>
        <v>103251.4</v>
      </c>
    </row>
    <row r="353" spans="1:181" x14ac:dyDescent="0.3">
      <c r="A353" s="4" t="s">
        <v>887</v>
      </c>
      <c r="B353" s="5" t="s">
        <v>1029</v>
      </c>
      <c r="C353" s="5" t="s">
        <v>181</v>
      </c>
      <c r="D353" s="5" t="s">
        <v>590</v>
      </c>
      <c r="E353" s="5" t="s">
        <v>0</v>
      </c>
      <c r="F353" s="5" t="s">
        <v>0</v>
      </c>
      <c r="G353" s="5" t="s">
        <v>183</v>
      </c>
      <c r="H353" s="8">
        <v>33.880000000000003</v>
      </c>
      <c r="I353" s="7">
        <f>ROUND(109998.559999999,2)</f>
        <v>109998.56</v>
      </c>
      <c r="J353" s="6"/>
      <c r="K353" s="6"/>
      <c r="L353" s="6"/>
      <c r="M353" s="6"/>
      <c r="N353" s="7">
        <f>ROUND(674,2)</f>
        <v>674</v>
      </c>
      <c r="O353" s="6"/>
      <c r="P353" s="6"/>
      <c r="Q353" s="7">
        <f>ROUND(233.999999999999,2)</f>
        <v>234</v>
      </c>
      <c r="R353" s="6"/>
      <c r="S353" s="6"/>
      <c r="T353" s="6"/>
      <c r="U353" s="6"/>
      <c r="V353" s="6"/>
      <c r="W353" s="7">
        <f>ROUND(30.65,2)</f>
        <v>30.65</v>
      </c>
      <c r="X353" s="6"/>
      <c r="Y353" s="6"/>
      <c r="Z353" s="6"/>
      <c r="AA353" s="6"/>
      <c r="AB353" s="6"/>
      <c r="AC353" s="6"/>
      <c r="AD353" s="6"/>
      <c r="AE353" s="7">
        <f>ROUND(1310,2)</f>
        <v>1310</v>
      </c>
      <c r="AF353" s="6"/>
      <c r="AG353" s="7">
        <f>ROUND(331.009999999999,2)</f>
        <v>331.01</v>
      </c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>
        <f>ROUND(30,2)</f>
        <v>30</v>
      </c>
      <c r="AS353" s="6"/>
      <c r="AT353" s="6"/>
      <c r="AU353" s="7">
        <f>ROUND(60,2)</f>
        <v>60</v>
      </c>
      <c r="AV353" s="7">
        <f>ROUND(8,2)</f>
        <v>8</v>
      </c>
      <c r="AW353" s="7">
        <f>ROUND(32,2)</f>
        <v>32</v>
      </c>
      <c r="AX353" s="6"/>
      <c r="AY353" s="7">
        <f>ROUND(44,2)</f>
        <v>44</v>
      </c>
      <c r="AZ353" s="7">
        <f>ROUND(4,2)</f>
        <v>4</v>
      </c>
      <c r="BA353" s="6"/>
      <c r="BB353" s="6"/>
      <c r="BC353" s="6"/>
      <c r="BD353" s="7">
        <f>ROUND(8,2)</f>
        <v>8</v>
      </c>
      <c r="BE353" s="7">
        <f>ROUND(3.25,2)</f>
        <v>3.25</v>
      </c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7">
        <f>ROUND(120,2)</f>
        <v>120</v>
      </c>
      <c r="CQ353" s="7">
        <f>ROUND(2888.91,2)</f>
        <v>2888.91</v>
      </c>
      <c r="CR353" s="6"/>
      <c r="CS353" s="6"/>
      <c r="CT353" s="6"/>
      <c r="CU353" s="6"/>
      <c r="CV353" s="7">
        <f>ROUND(21871.2999999999,2)</f>
        <v>21871.3</v>
      </c>
      <c r="CW353" s="6"/>
      <c r="CX353" s="6"/>
      <c r="CY353" s="7">
        <f>ROUND(11370.25,2)</f>
        <v>11370.25</v>
      </c>
      <c r="CZ353" s="6"/>
      <c r="DA353" s="6"/>
      <c r="DB353" s="6"/>
      <c r="DC353" s="6"/>
      <c r="DD353" s="6"/>
      <c r="DE353" s="7">
        <f>ROUND(1509.90999999999,2)</f>
        <v>1509.91</v>
      </c>
      <c r="DF353" s="6"/>
      <c r="DG353" s="6"/>
      <c r="DH353" s="6"/>
      <c r="DI353" s="6"/>
      <c r="DJ353" s="6"/>
      <c r="DK353" s="6"/>
      <c r="DL353" s="6"/>
      <c r="DM353" s="6"/>
      <c r="DN353" s="7">
        <f>ROUND(43018.7199999999,2)</f>
        <v>43018.720000000001</v>
      </c>
      <c r="DO353" s="6"/>
      <c r="DP353" s="7">
        <f>ROUND(16325.6999999999,2)</f>
        <v>16325.7</v>
      </c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7">
        <f>ROUND(1484.01,2)</f>
        <v>1484.01</v>
      </c>
      <c r="EB353" s="6"/>
      <c r="EC353" s="6"/>
      <c r="ED353" s="7">
        <f>ROUND(1953.72,2)</f>
        <v>1953.72</v>
      </c>
      <c r="EE353" s="7">
        <f>ROUND(396.64,2)</f>
        <v>396.64</v>
      </c>
      <c r="EF353" s="7">
        <f>ROUND(1042.24,2)</f>
        <v>1042.24</v>
      </c>
      <c r="EG353" s="6"/>
      <c r="EH353" s="7">
        <f>ROUND(1427.32,2)</f>
        <v>1427.32</v>
      </c>
      <c r="EI353" s="7">
        <f>ROUND(192.54,2)</f>
        <v>192.54</v>
      </c>
      <c r="EJ353" s="6"/>
      <c r="EK353" s="6"/>
      <c r="EL353" s="6"/>
      <c r="EM353" s="6"/>
      <c r="EN353" s="7">
        <f>ROUND(256.72,2)</f>
        <v>256.72000000000003</v>
      </c>
      <c r="EO353" s="7">
        <f>ROUND(104.29,2)</f>
        <v>104.29</v>
      </c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7">
        <f>ROUND(2000,2)</f>
        <v>2000</v>
      </c>
      <c r="FK353" s="6"/>
      <c r="FL353" s="6"/>
      <c r="FM353" s="6"/>
      <c r="FN353" s="6"/>
      <c r="FO353" s="6"/>
      <c r="FP353" s="6"/>
      <c r="FQ353" s="6"/>
      <c r="FR353" s="6"/>
      <c r="FS353" s="6"/>
      <c r="FT353" s="7">
        <f t="shared" si="5"/>
        <v>3000</v>
      </c>
      <c r="FU353" s="6"/>
      <c r="FV353" s="6"/>
      <c r="FW353" s="6"/>
      <c r="FX353" s="7">
        <f>ROUND(4045.2,2)</f>
        <v>4045.2</v>
      </c>
      <c r="FY353" s="7">
        <f>ROUND(109998.559999999,2)</f>
        <v>109998.56</v>
      </c>
    </row>
    <row r="354" spans="1:181" x14ac:dyDescent="0.3">
      <c r="A354" s="4" t="s">
        <v>888</v>
      </c>
      <c r="B354" s="5" t="s">
        <v>1029</v>
      </c>
      <c r="C354" s="5" t="s">
        <v>181</v>
      </c>
      <c r="D354" s="5" t="s">
        <v>889</v>
      </c>
      <c r="E354" s="5" t="s">
        <v>0</v>
      </c>
      <c r="F354" s="5" t="s">
        <v>0</v>
      </c>
      <c r="G354" s="5" t="s">
        <v>183</v>
      </c>
      <c r="H354" s="8">
        <v>34.04</v>
      </c>
      <c r="I354" s="7">
        <f>ROUND(130711.3,2)</f>
        <v>130711.3</v>
      </c>
      <c r="J354" s="6"/>
      <c r="K354" s="6"/>
      <c r="L354" s="6"/>
      <c r="M354" s="6"/>
      <c r="N354" s="7">
        <f>ROUND(1769.08,2)</f>
        <v>1769.08</v>
      </c>
      <c r="O354" s="6"/>
      <c r="P354" s="6"/>
      <c r="Q354" s="7">
        <f>ROUND(816.379999999999,2)</f>
        <v>816.38</v>
      </c>
      <c r="R354" s="6"/>
      <c r="S354" s="6"/>
      <c r="T354" s="6"/>
      <c r="U354" s="6"/>
      <c r="V354" s="7">
        <f>ROUND(14.3,2)</f>
        <v>14.3</v>
      </c>
      <c r="W354" s="7">
        <f>ROUND(9.43,2)</f>
        <v>9.43</v>
      </c>
      <c r="X354" s="7">
        <f>ROUND(5,2)</f>
        <v>5</v>
      </c>
      <c r="Y354" s="7">
        <f>ROUND(4.02999999999999,2)</f>
        <v>4.03</v>
      </c>
      <c r="Z354" s="6"/>
      <c r="AA354" s="6"/>
      <c r="AB354" s="6"/>
      <c r="AC354" s="6"/>
      <c r="AD354" s="6"/>
      <c r="AE354" s="7">
        <f>ROUND(16.14,2)</f>
        <v>16.14</v>
      </c>
      <c r="AF354" s="6"/>
      <c r="AG354" s="7">
        <f>ROUND(87.58,2)</f>
        <v>87.58</v>
      </c>
      <c r="AH354" s="6"/>
      <c r="AI354" s="6"/>
      <c r="AJ354" s="6"/>
      <c r="AK354" s="6"/>
      <c r="AL354" s="6"/>
      <c r="AM354" s="6"/>
      <c r="AN354" s="6"/>
      <c r="AO354" s="6"/>
      <c r="AP354" s="7">
        <f>ROUND(191.87,2)</f>
        <v>191.87</v>
      </c>
      <c r="AQ354" s="6"/>
      <c r="AR354" s="7">
        <f>ROUND(93.93,2)</f>
        <v>93.93</v>
      </c>
      <c r="AS354" s="6"/>
      <c r="AT354" s="6"/>
      <c r="AU354" s="7">
        <f>ROUND(65.78,2)</f>
        <v>65.78</v>
      </c>
      <c r="AV354" s="7">
        <f>ROUND(2.22,2)</f>
        <v>2.2200000000000002</v>
      </c>
      <c r="AW354" s="7">
        <f>ROUND(8,2)</f>
        <v>8</v>
      </c>
      <c r="AX354" s="7">
        <f>ROUND(32,2)</f>
        <v>32</v>
      </c>
      <c r="AY354" s="7">
        <f>ROUND(4.83,2)</f>
        <v>4.83</v>
      </c>
      <c r="AZ354" s="7">
        <f>ROUND(27.17,2)</f>
        <v>27.17</v>
      </c>
      <c r="BA354" s="6"/>
      <c r="BB354" s="6"/>
      <c r="BC354" s="6"/>
      <c r="BD354" s="7">
        <f>ROUND(17,2)</f>
        <v>17</v>
      </c>
      <c r="BE354" s="6"/>
      <c r="BF354" s="6"/>
      <c r="BG354" s="6"/>
      <c r="BH354" s="7">
        <f>ROUND(8.55,2)</f>
        <v>8.5500000000000007</v>
      </c>
      <c r="BI354" s="6"/>
      <c r="BJ354" s="6"/>
      <c r="BK354" s="6"/>
      <c r="BL354" s="6"/>
      <c r="BM354" s="6"/>
      <c r="BN354" s="6"/>
      <c r="BO354" s="7">
        <f>ROUND(26.75,2)</f>
        <v>26.75</v>
      </c>
      <c r="BP354" s="6"/>
      <c r="BQ354" s="7">
        <f>ROUND(4.7,2)</f>
        <v>4.7</v>
      </c>
      <c r="BR354" s="7">
        <f>ROUND(3.3,2)</f>
        <v>3.3</v>
      </c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7">
        <f>ROUND(80,2)</f>
        <v>80</v>
      </c>
      <c r="CQ354" s="7">
        <f>ROUND(3288.04,2)</f>
        <v>3288.04</v>
      </c>
      <c r="CR354" s="6"/>
      <c r="CS354" s="6"/>
      <c r="CT354" s="6"/>
      <c r="CU354" s="6"/>
      <c r="CV354" s="7">
        <f>ROUND(58022.81,2)</f>
        <v>58022.81</v>
      </c>
      <c r="CW354" s="6"/>
      <c r="CX354" s="6"/>
      <c r="CY354" s="7">
        <f>ROUND(40133.9199999999,2)</f>
        <v>40133.919999999998</v>
      </c>
      <c r="CZ354" s="6"/>
      <c r="DA354" s="6"/>
      <c r="DB354" s="6"/>
      <c r="DC354" s="6"/>
      <c r="DD354" s="7">
        <f>ROUND(470.2,2)</f>
        <v>470.2</v>
      </c>
      <c r="DE354" s="7">
        <f>ROUND(461.679999999999,2)</f>
        <v>461.68</v>
      </c>
      <c r="DF354" s="7">
        <f>ROUND(160.97,2)</f>
        <v>160.97</v>
      </c>
      <c r="DG354" s="7">
        <f>ROUND(198.29,2)</f>
        <v>198.29</v>
      </c>
      <c r="DH354" s="6"/>
      <c r="DI354" s="6"/>
      <c r="DJ354" s="6"/>
      <c r="DK354" s="6"/>
      <c r="DL354" s="6"/>
      <c r="DM354" s="6"/>
      <c r="DN354" s="7">
        <f>ROUND(517.949999999999,2)</f>
        <v>517.95000000000005</v>
      </c>
      <c r="DO354" s="6"/>
      <c r="DP354" s="7">
        <f>ROUND(4231.11,2)</f>
        <v>4231.1099999999997</v>
      </c>
      <c r="DQ354" s="6"/>
      <c r="DR354" s="6"/>
      <c r="DS354" s="6"/>
      <c r="DT354" s="6"/>
      <c r="DU354" s="6"/>
      <c r="DV354" s="6"/>
      <c r="DW354" s="6"/>
      <c r="DX354" s="6"/>
      <c r="DY354" s="7">
        <f>ROUND(6258.20999999999,2)</f>
        <v>6258.21</v>
      </c>
      <c r="DZ354" s="6"/>
      <c r="EA354" s="7">
        <f>ROUND(4617.74,2)</f>
        <v>4617.74</v>
      </c>
      <c r="EB354" s="6"/>
      <c r="EC354" s="6"/>
      <c r="ED354" s="7">
        <f>ROUND(2142.11,2)</f>
        <v>2142.11</v>
      </c>
      <c r="EE354" s="7">
        <f>ROUND(110.07,2)</f>
        <v>110.07</v>
      </c>
      <c r="EF354" s="7">
        <f>ROUND(267.04,2)</f>
        <v>267.04000000000002</v>
      </c>
      <c r="EG354" s="7">
        <f>ROUND(1586.4,2)</f>
        <v>1586.4</v>
      </c>
      <c r="EH354" s="7">
        <f>ROUND(161.23,2)</f>
        <v>161.22999999999999</v>
      </c>
      <c r="EI354" s="7">
        <f>ROUND(1348.52,2)</f>
        <v>1348.52</v>
      </c>
      <c r="EJ354" s="6"/>
      <c r="EK354" s="6"/>
      <c r="EL354" s="6"/>
      <c r="EM354" s="6"/>
      <c r="EN354" s="7">
        <f>ROUND(554.17,2)</f>
        <v>554.16999999999996</v>
      </c>
      <c r="EO354" s="6"/>
      <c r="EP354" s="6"/>
      <c r="EQ354" s="6"/>
      <c r="ER354" s="7">
        <f>ROUND(344,2)</f>
        <v>344</v>
      </c>
      <c r="ES354" s="7">
        <f>ROUND(274.37,2)</f>
        <v>274.37</v>
      </c>
      <c r="ET354" s="6"/>
      <c r="EU354" s="6"/>
      <c r="EV354" s="6"/>
      <c r="EW354" s="6"/>
      <c r="EX354" s="6"/>
      <c r="EY354" s="6"/>
      <c r="EZ354" s="6"/>
      <c r="FA354" s="6"/>
      <c r="FB354" s="7">
        <f>ROUND(870.439999999999,2)</f>
        <v>870.44</v>
      </c>
      <c r="FC354" s="6"/>
      <c r="FD354" s="7">
        <f>ROUND(150.82,2)</f>
        <v>150.82</v>
      </c>
      <c r="FE354" s="7">
        <f>ROUND(158.85,2)</f>
        <v>158.85</v>
      </c>
      <c r="FF354" s="6"/>
      <c r="FG354" s="6"/>
      <c r="FH354" s="6"/>
      <c r="FI354" s="6"/>
      <c r="FJ354" s="7">
        <f>ROUND(2000,2)</f>
        <v>2000</v>
      </c>
      <c r="FK354" s="6"/>
      <c r="FL354" s="6"/>
      <c r="FM354" s="6"/>
      <c r="FN354" s="6"/>
      <c r="FO354" s="6"/>
      <c r="FP354" s="6"/>
      <c r="FQ354" s="6"/>
      <c r="FR354" s="6"/>
      <c r="FS354" s="6"/>
      <c r="FT354" s="7">
        <f t="shared" si="5"/>
        <v>3000</v>
      </c>
      <c r="FU354" s="6"/>
      <c r="FV354" s="6"/>
      <c r="FW354" s="6"/>
      <c r="FX354" s="7">
        <f>ROUND(2670.4,2)</f>
        <v>2670.4</v>
      </c>
      <c r="FY354" s="7">
        <f>ROUND(130711.3,2)</f>
        <v>130711.3</v>
      </c>
    </row>
    <row r="355" spans="1:181" x14ac:dyDescent="0.3">
      <c r="A355" s="4" t="s">
        <v>890</v>
      </c>
      <c r="B355" s="5" t="s">
        <v>1029</v>
      </c>
      <c r="C355" s="5" t="s">
        <v>181</v>
      </c>
      <c r="D355" s="5" t="s">
        <v>232</v>
      </c>
      <c r="E355" s="5" t="s">
        <v>0</v>
      </c>
      <c r="F355" s="5" t="s">
        <v>0</v>
      </c>
      <c r="G355" s="5" t="s">
        <v>183</v>
      </c>
      <c r="H355" s="8">
        <v>34.04</v>
      </c>
      <c r="I355" s="7">
        <f>ROUND(80912.3299999999,2)</f>
        <v>80912.33</v>
      </c>
      <c r="J355" s="6"/>
      <c r="K355" s="6"/>
      <c r="L355" s="6"/>
      <c r="M355" s="6"/>
      <c r="N355" s="7">
        <f>ROUND(-5,2)</f>
        <v>-5</v>
      </c>
      <c r="O355" s="6"/>
      <c r="P355" s="6"/>
      <c r="Q355" s="7">
        <f>ROUND(5,2)</f>
        <v>5</v>
      </c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7">
        <f>ROUND(1536,2)</f>
        <v>1536</v>
      </c>
      <c r="AF355" s="6"/>
      <c r="AG355" s="7">
        <f>ROUND(96.73,2)</f>
        <v>96.73</v>
      </c>
      <c r="AH355" s="6"/>
      <c r="AI355" s="6"/>
      <c r="AJ355" s="6"/>
      <c r="AK355" s="6"/>
      <c r="AL355" s="6"/>
      <c r="AM355" s="6"/>
      <c r="AN355" s="6"/>
      <c r="AO355" s="6"/>
      <c r="AP355" s="7">
        <f>ROUND(5,2)</f>
        <v>5</v>
      </c>
      <c r="AQ355" s="6"/>
      <c r="AR355" s="6"/>
      <c r="AS355" s="6"/>
      <c r="AT355" s="6"/>
      <c r="AU355" s="7">
        <f>ROUND(68,2)</f>
        <v>68</v>
      </c>
      <c r="AV355" s="6"/>
      <c r="AW355" s="7">
        <f>ROUND(40,2)</f>
        <v>40</v>
      </c>
      <c r="AX355" s="6"/>
      <c r="AY355" s="7">
        <f>ROUND(144,2)</f>
        <v>144</v>
      </c>
      <c r="AZ355" s="6"/>
      <c r="BA355" s="6"/>
      <c r="BB355" s="6"/>
      <c r="BC355" s="6"/>
      <c r="BD355" s="7">
        <f>ROUND(8,2)</f>
        <v>8</v>
      </c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7">
        <f>ROUND(331,2)</f>
        <v>331</v>
      </c>
      <c r="BR355" s="7">
        <f>ROUND(5,2)</f>
        <v>5</v>
      </c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7">
        <f>ROUND(16,2)</f>
        <v>16</v>
      </c>
      <c r="CQ355" s="7">
        <f>ROUND(2249.73,2)</f>
        <v>2249.73</v>
      </c>
      <c r="CR355" s="6"/>
      <c r="CS355" s="6"/>
      <c r="CT355" s="6"/>
      <c r="CU355" s="6"/>
      <c r="CV355" s="7">
        <f>ROUND(-165.25,2)</f>
        <v>-165.25</v>
      </c>
      <c r="CW355" s="6"/>
      <c r="CX355" s="6"/>
      <c r="CY355" s="7">
        <f>ROUND(247.88,2)</f>
        <v>247.88</v>
      </c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7">
        <f>ROUND(49921.4399999999,2)</f>
        <v>49921.440000000002</v>
      </c>
      <c r="DO355" s="6"/>
      <c r="DP355" s="7">
        <f>ROUND(4792.9,2)</f>
        <v>4792.8999999999996</v>
      </c>
      <c r="DQ355" s="6"/>
      <c r="DR355" s="6"/>
      <c r="DS355" s="6"/>
      <c r="DT355" s="6"/>
      <c r="DU355" s="6"/>
      <c r="DV355" s="6"/>
      <c r="DW355" s="6"/>
      <c r="DX355" s="6"/>
      <c r="DY355" s="7">
        <f>ROUND(165.25,2)</f>
        <v>165.25</v>
      </c>
      <c r="DZ355" s="6"/>
      <c r="EA355" s="6"/>
      <c r="EB355" s="6"/>
      <c r="EC355" s="6"/>
      <c r="ED355" s="7">
        <f>ROUND(2218.12,2)</f>
        <v>2218.12</v>
      </c>
      <c r="EE355" s="6"/>
      <c r="EF355" s="7">
        <f>ROUND(1298.96,2)</f>
        <v>1298.96</v>
      </c>
      <c r="EG355" s="6"/>
      <c r="EH355" s="7">
        <f>ROUND(4659.36,2)</f>
        <v>4659.3599999999997</v>
      </c>
      <c r="EI355" s="6"/>
      <c r="EJ355" s="6"/>
      <c r="EK355" s="6"/>
      <c r="EL355" s="6"/>
      <c r="EM355" s="6"/>
      <c r="EN355" s="7">
        <f>ROUND(256.72,2)</f>
        <v>256.72000000000003</v>
      </c>
      <c r="EO355" s="6"/>
      <c r="EP355" s="6"/>
      <c r="EQ355" s="6"/>
      <c r="ER355" s="7">
        <f>ROUND(279.6,2)</f>
        <v>279.60000000000002</v>
      </c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7">
        <f>ROUND(10950.11,2)</f>
        <v>10950.11</v>
      </c>
      <c r="FE355" s="7">
        <f>ROUND(247.88,2)</f>
        <v>247.88</v>
      </c>
      <c r="FF355" s="6"/>
      <c r="FG355" s="6"/>
      <c r="FH355" s="6"/>
      <c r="FI355" s="6"/>
      <c r="FJ355" s="7">
        <f>ROUND(2500,2)</f>
        <v>2500</v>
      </c>
      <c r="FK355" s="6"/>
      <c r="FL355" s="6"/>
      <c r="FM355" s="6"/>
      <c r="FN355" s="6"/>
      <c r="FO355" s="6"/>
      <c r="FP355" s="6"/>
      <c r="FQ355" s="6"/>
      <c r="FR355" s="6"/>
      <c r="FS355" s="6"/>
      <c r="FT355" s="7">
        <f t="shared" si="5"/>
        <v>3000</v>
      </c>
      <c r="FU355" s="6"/>
      <c r="FV355" s="6"/>
      <c r="FW355" s="6"/>
      <c r="FX355" s="7">
        <f>ROUND(539.36,2)</f>
        <v>539.36</v>
      </c>
      <c r="FY355" s="7">
        <f>ROUND(80912.3299999999,2)</f>
        <v>80912.33</v>
      </c>
    </row>
    <row r="356" spans="1:181" x14ac:dyDescent="0.3">
      <c r="A356" s="4" t="s">
        <v>891</v>
      </c>
      <c r="B356" s="5" t="s">
        <v>1029</v>
      </c>
      <c r="C356" s="5" t="s">
        <v>181</v>
      </c>
      <c r="D356" s="5" t="s">
        <v>892</v>
      </c>
      <c r="E356" s="5" t="s">
        <v>0</v>
      </c>
      <c r="F356" s="5" t="s">
        <v>0</v>
      </c>
      <c r="G356" s="5" t="s">
        <v>183</v>
      </c>
      <c r="H356" s="9">
        <v>33.380000000000003</v>
      </c>
      <c r="I356" s="7">
        <f>ROUND(71750.52,2)</f>
        <v>71750.52</v>
      </c>
      <c r="J356" s="6"/>
      <c r="K356" s="6"/>
      <c r="L356" s="6"/>
      <c r="M356" s="6"/>
      <c r="N356" s="7">
        <f>ROUND(780.44,2)</f>
        <v>780.44</v>
      </c>
      <c r="O356" s="6"/>
      <c r="P356" s="6"/>
      <c r="Q356" s="7">
        <f>ROUND(124.139999999999,2)</f>
        <v>124.14</v>
      </c>
      <c r="R356" s="6"/>
      <c r="S356" s="6"/>
      <c r="T356" s="6"/>
      <c r="U356" s="6"/>
      <c r="V356" s="7">
        <f>ROUND(33.47,2)</f>
        <v>33.47</v>
      </c>
      <c r="W356" s="6"/>
      <c r="X356" s="7">
        <f>ROUND(2.17,2)</f>
        <v>2.17</v>
      </c>
      <c r="Y356" s="6"/>
      <c r="Z356" s="6"/>
      <c r="AA356" s="6"/>
      <c r="AB356" s="6"/>
      <c r="AC356" s="6"/>
      <c r="AD356" s="6"/>
      <c r="AE356" s="7">
        <f>ROUND(211.4,2)</f>
        <v>211.4</v>
      </c>
      <c r="AF356" s="6"/>
      <c r="AG356" s="7">
        <f>ROUND(19.77,2)</f>
        <v>19.77</v>
      </c>
      <c r="AH356" s="6"/>
      <c r="AI356" s="6"/>
      <c r="AJ356" s="6"/>
      <c r="AK356" s="6"/>
      <c r="AL356" s="6"/>
      <c r="AM356" s="6"/>
      <c r="AN356" s="6"/>
      <c r="AO356" s="6"/>
      <c r="AP356" s="7">
        <f>ROUND(768,2)</f>
        <v>768</v>
      </c>
      <c r="AQ356" s="6"/>
      <c r="AR356" s="7">
        <f>ROUND(73.12,2)</f>
        <v>73.12</v>
      </c>
      <c r="AS356" s="6"/>
      <c r="AT356" s="6"/>
      <c r="AU356" s="7">
        <f>ROUND(64,2)</f>
        <v>64</v>
      </c>
      <c r="AV356" s="6"/>
      <c r="AW356" s="7">
        <f>ROUND(24.83,2)</f>
        <v>24.83</v>
      </c>
      <c r="AX356" s="7">
        <f>ROUND(1.17,2)</f>
        <v>1.17</v>
      </c>
      <c r="AY356" s="7">
        <f>ROUND(34.91,2)</f>
        <v>34.909999999999997</v>
      </c>
      <c r="AZ356" s="7">
        <f>ROUND(9.09,2)</f>
        <v>9.09</v>
      </c>
      <c r="BA356" s="6"/>
      <c r="BB356" s="6"/>
      <c r="BC356" s="6"/>
      <c r="BD356" s="7">
        <f>ROUND(8,2)</f>
        <v>8</v>
      </c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7">
        <f>ROUND(8.83,2)</f>
        <v>8.83</v>
      </c>
      <c r="BP356" s="6"/>
      <c r="BQ356" s="7">
        <f>ROUND(17,2)</f>
        <v>17</v>
      </c>
      <c r="BR356" s="6"/>
      <c r="BS356" s="7">
        <f>ROUND(168,2)</f>
        <v>168</v>
      </c>
      <c r="BT356" s="6"/>
      <c r="BU356" s="6"/>
      <c r="BV356" s="6"/>
      <c r="BW356" s="7">
        <f>ROUND(8,2)</f>
        <v>8</v>
      </c>
      <c r="BX356" s="6"/>
      <c r="BY356" s="7">
        <f>ROUND(8,2)</f>
        <v>8</v>
      </c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7">
        <f>ROUND(2364.34,2)</f>
        <v>2364.34</v>
      </c>
      <c r="CR356" s="6"/>
      <c r="CS356" s="6"/>
      <c r="CT356" s="6"/>
      <c r="CU356" s="6"/>
      <c r="CV356" s="7">
        <f>ROUND(23302.76,2)</f>
        <v>23302.76</v>
      </c>
      <c r="CW356" s="6"/>
      <c r="CX356" s="6"/>
      <c r="CY356" s="7">
        <f>ROUND(5590.41,2)</f>
        <v>5590.41</v>
      </c>
      <c r="CZ356" s="6"/>
      <c r="DA356" s="6"/>
      <c r="DB356" s="6"/>
      <c r="DC356" s="6"/>
      <c r="DD356" s="7">
        <f>ROUND(1007.98999999999,2)</f>
        <v>1007.99</v>
      </c>
      <c r="DE356" s="6"/>
      <c r="DF356" s="7">
        <f>ROUND(61.92,2)</f>
        <v>61.92</v>
      </c>
      <c r="DG356" s="6"/>
      <c r="DH356" s="6"/>
      <c r="DI356" s="6"/>
      <c r="DJ356" s="6"/>
      <c r="DK356" s="6"/>
      <c r="DL356" s="6"/>
      <c r="DM356" s="6"/>
      <c r="DN356" s="7">
        <f>ROUND(6054.82,2)</f>
        <v>6054.82</v>
      </c>
      <c r="DO356" s="6"/>
      <c r="DP356" s="7">
        <f>ROUND(841.71,2)</f>
        <v>841.71</v>
      </c>
      <c r="DQ356" s="6"/>
      <c r="DR356" s="6"/>
      <c r="DS356" s="6"/>
      <c r="DT356" s="6"/>
      <c r="DU356" s="6"/>
      <c r="DV356" s="6"/>
      <c r="DW356" s="6"/>
      <c r="DX356" s="6"/>
      <c r="DY356" s="7">
        <f>ROUND(22304.1,2)</f>
        <v>22304.1</v>
      </c>
      <c r="DZ356" s="6"/>
      <c r="EA356" s="7">
        <f>ROUND(3092.32,2)</f>
        <v>3092.32</v>
      </c>
      <c r="EB356" s="6"/>
      <c r="EC356" s="6"/>
      <c r="ED356" s="7">
        <f>ROUND(1874.78,2)</f>
        <v>1874.78</v>
      </c>
      <c r="EE356" s="6"/>
      <c r="EF356" s="7">
        <f>ROUND(754.46,2)</f>
        <v>754.46</v>
      </c>
      <c r="EG356" s="7">
        <f>ROUND(55.11,2)</f>
        <v>55.11</v>
      </c>
      <c r="EH356" s="7">
        <f>ROUND(1043.69,2)</f>
        <v>1043.69</v>
      </c>
      <c r="EI356" s="7">
        <f>ROUND(418.9,2)</f>
        <v>418.9</v>
      </c>
      <c r="EJ356" s="6"/>
      <c r="EK356" s="6"/>
      <c r="EL356" s="6"/>
      <c r="EM356" s="6"/>
      <c r="EN356" s="7">
        <f>ROUND(231.04,2)</f>
        <v>231.04</v>
      </c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7">
        <f>ROUND(252.75,2)</f>
        <v>252.75</v>
      </c>
      <c r="FC356" s="6"/>
      <c r="FD356" s="7">
        <f>ROUND(463.76,2)</f>
        <v>463.76</v>
      </c>
      <c r="FE356" s="6"/>
      <c r="FF356" s="6"/>
      <c r="FG356" s="6"/>
      <c r="FH356" s="6"/>
      <c r="FI356" s="6"/>
      <c r="FJ356" s="7">
        <f>ROUND(1400,2)</f>
        <v>1400</v>
      </c>
      <c r="FK356" s="6"/>
      <c r="FL356" s="6"/>
      <c r="FM356" s="6"/>
      <c r="FN356" s="6"/>
      <c r="FO356" s="6"/>
      <c r="FP356" s="6"/>
      <c r="FQ356" s="6"/>
      <c r="FR356" s="6"/>
      <c r="FS356" s="6"/>
      <c r="FT356" s="7">
        <f t="shared" si="5"/>
        <v>3000</v>
      </c>
      <c r="FU356" s="6"/>
      <c r="FV356" s="6"/>
      <c r="FW356" s="6"/>
      <c r="FX356" s="6"/>
      <c r="FY356" s="7">
        <f>ROUND(71750.52,2)</f>
        <v>71750.52</v>
      </c>
    </row>
    <row r="357" spans="1:181" x14ac:dyDescent="0.3">
      <c r="A357" s="4" t="s">
        <v>893</v>
      </c>
      <c r="B357" s="5" t="s">
        <v>1029</v>
      </c>
      <c r="C357" s="5" t="s">
        <v>181</v>
      </c>
      <c r="D357" s="5" t="s">
        <v>424</v>
      </c>
      <c r="E357" s="5" t="s">
        <v>0</v>
      </c>
      <c r="F357" s="5" t="s">
        <v>0</v>
      </c>
      <c r="G357" s="5" t="s">
        <v>183</v>
      </c>
      <c r="H357" s="9">
        <v>33.380000000000003</v>
      </c>
      <c r="I357" s="7">
        <f>ROUND(80712.38,2)</f>
        <v>80712.38</v>
      </c>
      <c r="J357" s="6"/>
      <c r="K357" s="6"/>
      <c r="L357" s="6"/>
      <c r="M357" s="6"/>
      <c r="N357" s="7">
        <f>ROUND(909.759999999999,2)</f>
        <v>909.76</v>
      </c>
      <c r="O357" s="6"/>
      <c r="P357" s="6"/>
      <c r="Q357" s="7">
        <f>ROUND(127.399999999999,2)</f>
        <v>127.4</v>
      </c>
      <c r="R357" s="6"/>
      <c r="S357" s="6"/>
      <c r="T357" s="6"/>
      <c r="U357" s="6"/>
      <c r="V357" s="7">
        <f>ROUND(29.85,2)</f>
        <v>29.85</v>
      </c>
      <c r="W357" s="7">
        <f>ROUND(5.05,2)</f>
        <v>5.05</v>
      </c>
      <c r="X357" s="7">
        <f>ROUND(1.08,2)</f>
        <v>1.08</v>
      </c>
      <c r="Y357" s="6"/>
      <c r="Z357" s="6"/>
      <c r="AA357" s="6"/>
      <c r="AB357" s="6"/>
      <c r="AC357" s="6"/>
      <c r="AD357" s="6"/>
      <c r="AE357" s="7">
        <f>ROUND(204.77,2)</f>
        <v>204.77</v>
      </c>
      <c r="AF357" s="6"/>
      <c r="AG357" s="7">
        <f>ROUND(42.64,2)</f>
        <v>42.64</v>
      </c>
      <c r="AH357" s="6"/>
      <c r="AI357" s="6"/>
      <c r="AJ357" s="6"/>
      <c r="AK357" s="6"/>
      <c r="AL357" s="6"/>
      <c r="AM357" s="6"/>
      <c r="AN357" s="6"/>
      <c r="AO357" s="6"/>
      <c r="AP357" s="7">
        <f>ROUND(802.329999999999,2)</f>
        <v>802.33</v>
      </c>
      <c r="AQ357" s="6"/>
      <c r="AR357" s="7">
        <f>ROUND(104.82,2)</f>
        <v>104.82</v>
      </c>
      <c r="AS357" s="6"/>
      <c r="AT357" s="6"/>
      <c r="AU357" s="7">
        <f>ROUND(76,2)</f>
        <v>76</v>
      </c>
      <c r="AV357" s="6"/>
      <c r="AW357" s="7">
        <f>ROUND(32.93,2)</f>
        <v>32.93</v>
      </c>
      <c r="AX357" s="7">
        <f>ROUND(7.07,2)</f>
        <v>7.07</v>
      </c>
      <c r="AY357" s="7">
        <f>ROUND(10,2)</f>
        <v>10</v>
      </c>
      <c r="AZ357" s="6"/>
      <c r="BA357" s="6"/>
      <c r="BB357" s="6"/>
      <c r="BC357" s="6"/>
      <c r="BD357" s="7">
        <f>ROUND(9.77,2)</f>
        <v>9.77</v>
      </c>
      <c r="BE357" s="7">
        <f>ROUND(2.33,2)</f>
        <v>2.33</v>
      </c>
      <c r="BF357" s="6"/>
      <c r="BG357" s="7">
        <f>ROUND(38,2)</f>
        <v>38</v>
      </c>
      <c r="BH357" s="6"/>
      <c r="BI357" s="6"/>
      <c r="BJ357" s="6"/>
      <c r="BK357" s="6"/>
      <c r="BL357" s="6"/>
      <c r="BM357" s="6"/>
      <c r="BN357" s="6"/>
      <c r="BO357" s="7">
        <f>ROUND(5.42,2)</f>
        <v>5.42</v>
      </c>
      <c r="BP357" s="6"/>
      <c r="BQ357" s="7">
        <f>ROUND(8,2)</f>
        <v>8</v>
      </c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7">
        <f>ROUND(32,2)</f>
        <v>32</v>
      </c>
      <c r="CQ357" s="7">
        <f>ROUND(2449.22,2)</f>
        <v>2449.2199999999998</v>
      </c>
      <c r="CR357" s="6"/>
      <c r="CS357" s="6"/>
      <c r="CT357" s="6"/>
      <c r="CU357" s="6"/>
      <c r="CV357" s="7">
        <f>ROUND(27093.56,2)</f>
        <v>27093.56</v>
      </c>
      <c r="CW357" s="6"/>
      <c r="CX357" s="6"/>
      <c r="CY357" s="7">
        <f>ROUND(5756.45,2)</f>
        <v>5756.45</v>
      </c>
      <c r="CZ357" s="6"/>
      <c r="DA357" s="6"/>
      <c r="DB357" s="6"/>
      <c r="DC357" s="6"/>
      <c r="DD357" s="7">
        <f>ROUND(887.51,2)</f>
        <v>887.51</v>
      </c>
      <c r="DE357" s="7">
        <f>ROUND(227.55,2)</f>
        <v>227.55</v>
      </c>
      <c r="DF357" s="7">
        <f>ROUND(33.78,2)</f>
        <v>33.78</v>
      </c>
      <c r="DG357" s="6"/>
      <c r="DH357" s="6"/>
      <c r="DI357" s="6"/>
      <c r="DJ357" s="6"/>
      <c r="DK357" s="6"/>
      <c r="DL357" s="6"/>
      <c r="DM357" s="6"/>
      <c r="DN357" s="7">
        <f>ROUND(5991.01,2)</f>
        <v>5991.01</v>
      </c>
      <c r="DO357" s="6"/>
      <c r="DP357" s="7">
        <f>ROUND(1876.33,2)</f>
        <v>1876.33</v>
      </c>
      <c r="DQ357" s="6"/>
      <c r="DR357" s="6"/>
      <c r="DS357" s="6"/>
      <c r="DT357" s="6"/>
      <c r="DU357" s="6"/>
      <c r="DV357" s="6"/>
      <c r="DW357" s="6"/>
      <c r="DX357" s="6"/>
      <c r="DY357" s="7">
        <f>ROUND(23377.8299999999,2)</f>
        <v>23377.83</v>
      </c>
      <c r="DZ357" s="6"/>
      <c r="EA357" s="7">
        <f>ROUND(4546.39,2)</f>
        <v>4546.3900000000003</v>
      </c>
      <c r="EB357" s="6"/>
      <c r="EC357" s="6"/>
      <c r="ED357" s="7">
        <f>ROUND(2221.33999999999,2)</f>
        <v>2221.34</v>
      </c>
      <c r="EE357" s="6"/>
      <c r="EF357" s="7">
        <f>ROUND(954.88,2)</f>
        <v>954.88</v>
      </c>
      <c r="EG357" s="7">
        <f>ROUND(333,2)</f>
        <v>333</v>
      </c>
      <c r="EH357" s="7">
        <f>ROUND(297.5,2)</f>
        <v>297.5</v>
      </c>
      <c r="EI357" s="6"/>
      <c r="EJ357" s="6"/>
      <c r="EK357" s="6"/>
      <c r="EL357" s="6"/>
      <c r="EM357" s="6"/>
      <c r="EN357" s="7">
        <f>ROUND(283.7,2)</f>
        <v>283.7</v>
      </c>
      <c r="EO357" s="7">
        <f>ROUND(63.56,2)</f>
        <v>63.56</v>
      </c>
      <c r="EP357" s="6"/>
      <c r="EQ357" s="7">
        <f>ROUND(1120.08,2)</f>
        <v>1120.08</v>
      </c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7">
        <f>ROUND(170.19,2)</f>
        <v>170.19</v>
      </c>
      <c r="FC357" s="6"/>
      <c r="FD357" s="7">
        <f>ROUND(238,2)</f>
        <v>238</v>
      </c>
      <c r="FE357" s="6"/>
      <c r="FF357" s="6"/>
      <c r="FG357" s="6"/>
      <c r="FH357" s="6"/>
      <c r="FI357" s="6"/>
      <c r="FJ357" s="7">
        <f>ROUND(1225,2)</f>
        <v>1225</v>
      </c>
      <c r="FK357" s="6"/>
      <c r="FL357" s="6"/>
      <c r="FM357" s="6"/>
      <c r="FN357" s="6"/>
      <c r="FO357" s="6"/>
      <c r="FP357" s="6"/>
      <c r="FQ357" s="6"/>
      <c r="FR357" s="6"/>
      <c r="FS357" s="6"/>
      <c r="FT357" s="7">
        <f t="shared" si="5"/>
        <v>3000</v>
      </c>
      <c r="FU357" s="6"/>
      <c r="FV357" s="6"/>
      <c r="FW357" s="6"/>
      <c r="FX357" s="7">
        <f>ROUND(1014.72,2)</f>
        <v>1014.72</v>
      </c>
      <c r="FY357" s="7">
        <f>ROUND(80712.38,2)</f>
        <v>80712.38</v>
      </c>
    </row>
    <row r="358" spans="1:181" x14ac:dyDescent="0.3">
      <c r="A358" s="4" t="s">
        <v>894</v>
      </c>
      <c r="B358" s="5" t="s">
        <v>1029</v>
      </c>
      <c r="C358" s="5" t="s">
        <v>181</v>
      </c>
      <c r="D358" s="5" t="s">
        <v>446</v>
      </c>
      <c r="E358" s="5" t="s">
        <v>0</v>
      </c>
      <c r="F358" s="5" t="s">
        <v>0</v>
      </c>
      <c r="G358" s="5" t="s">
        <v>183</v>
      </c>
      <c r="H358" s="8">
        <v>34.04</v>
      </c>
      <c r="I358" s="7">
        <f>ROUND(119689.06,2)</f>
        <v>119689.06</v>
      </c>
      <c r="J358" s="6"/>
      <c r="K358" s="6"/>
      <c r="L358" s="6"/>
      <c r="M358" s="6"/>
      <c r="N358" s="7">
        <f>ROUND(1537.57,2)</f>
        <v>1537.57</v>
      </c>
      <c r="O358" s="6"/>
      <c r="P358" s="6"/>
      <c r="Q358" s="7">
        <f>ROUND(661.459999999999,2)</f>
        <v>661.46</v>
      </c>
      <c r="R358" s="6"/>
      <c r="S358" s="6"/>
      <c r="T358" s="6"/>
      <c r="U358" s="6"/>
      <c r="V358" s="7">
        <f>ROUND(5.92,2)</f>
        <v>5.92</v>
      </c>
      <c r="W358" s="7">
        <f>ROUND(27.32,2)</f>
        <v>27.32</v>
      </c>
      <c r="X358" s="7">
        <f>ROUND(0.5,2)</f>
        <v>0.5</v>
      </c>
      <c r="Y358" s="6"/>
      <c r="Z358" s="6"/>
      <c r="AA358" s="6"/>
      <c r="AB358" s="6"/>
      <c r="AC358" s="6"/>
      <c r="AD358" s="6"/>
      <c r="AE358" s="7">
        <f>ROUND(280,2)</f>
        <v>280</v>
      </c>
      <c r="AF358" s="6"/>
      <c r="AG358" s="7">
        <f>ROUND(108.17,2)</f>
        <v>108.17</v>
      </c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7">
        <f>ROUND(67.37,2)</f>
        <v>67.37</v>
      </c>
      <c r="AS358" s="6"/>
      <c r="AT358" s="6"/>
      <c r="AU358" s="7">
        <f>ROUND(72,2)</f>
        <v>72</v>
      </c>
      <c r="AV358" s="6"/>
      <c r="AW358" s="7">
        <f>ROUND(30,2)</f>
        <v>30</v>
      </c>
      <c r="AX358" s="7">
        <f>ROUND(8,2)</f>
        <v>8</v>
      </c>
      <c r="AY358" s="7">
        <f>ROUND(192,2)</f>
        <v>192</v>
      </c>
      <c r="AZ358" s="6"/>
      <c r="BA358" s="6"/>
      <c r="BB358" s="6"/>
      <c r="BC358" s="6"/>
      <c r="BD358" s="7">
        <f>ROUND(17,2)</f>
        <v>17</v>
      </c>
      <c r="BE358" s="6"/>
      <c r="BF358" s="7">
        <f>ROUND(8,2)</f>
        <v>8</v>
      </c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7">
        <f>ROUND(15.64,2)</f>
        <v>15.64</v>
      </c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7">
        <f>ROUND(32,2)</f>
        <v>32</v>
      </c>
      <c r="CQ358" s="7">
        <f>ROUND(3062.94999999999,2)</f>
        <v>3062.95</v>
      </c>
      <c r="CR358" s="6"/>
      <c r="CS358" s="6"/>
      <c r="CT358" s="6"/>
      <c r="CU358" s="6"/>
      <c r="CV358" s="7">
        <f>ROUND(50450.1799999999,2)</f>
        <v>50450.18</v>
      </c>
      <c r="CW358" s="6"/>
      <c r="CX358" s="6"/>
      <c r="CY358" s="7">
        <f>ROUND(32571.5499999999,2)</f>
        <v>32571.55</v>
      </c>
      <c r="CZ358" s="6"/>
      <c r="DA358" s="6"/>
      <c r="DB358" s="6"/>
      <c r="DC358" s="6"/>
      <c r="DD358" s="7">
        <f>ROUND(190.86,2)</f>
        <v>190.86</v>
      </c>
      <c r="DE358" s="7">
        <f>ROUND(1350.48,2)</f>
        <v>1350.48</v>
      </c>
      <c r="DF358" s="7">
        <f>ROUND(16.05,2)</f>
        <v>16.05</v>
      </c>
      <c r="DG358" s="6"/>
      <c r="DH358" s="6"/>
      <c r="DI358" s="6"/>
      <c r="DJ358" s="6"/>
      <c r="DK358" s="6"/>
      <c r="DL358" s="6"/>
      <c r="DM358" s="6"/>
      <c r="DN358" s="7">
        <f>ROUND(9001.32,2)</f>
        <v>9001.32</v>
      </c>
      <c r="DO358" s="6"/>
      <c r="DP358" s="7">
        <f>ROUND(5222.75999999999,2)</f>
        <v>5222.76</v>
      </c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7">
        <f>ROUND(3341.70999999999,2)</f>
        <v>3341.71</v>
      </c>
      <c r="EB358" s="6"/>
      <c r="EC358" s="6"/>
      <c r="ED358" s="7">
        <f>ROUND(2349.12,2)</f>
        <v>2349.12</v>
      </c>
      <c r="EE358" s="6"/>
      <c r="EF358" s="7">
        <f>ROUND(962.7,2)</f>
        <v>962.7</v>
      </c>
      <c r="EG358" s="7">
        <f>ROUND(385.08,2)</f>
        <v>385.08</v>
      </c>
      <c r="EH358" s="7">
        <f>ROUND(6307.2,2)</f>
        <v>6307.2</v>
      </c>
      <c r="EI358" s="6"/>
      <c r="EJ358" s="6"/>
      <c r="EK358" s="6"/>
      <c r="EL358" s="6"/>
      <c r="EM358" s="6"/>
      <c r="EN358" s="7">
        <f>ROUND(554.17,2)</f>
        <v>554.16999999999996</v>
      </c>
      <c r="EO358" s="6"/>
      <c r="EP358" s="7">
        <f>ROUND(396.6,2)</f>
        <v>396.6</v>
      </c>
      <c r="EQ358" s="6"/>
      <c r="ER358" s="6"/>
      <c r="ES358" s="6"/>
      <c r="ET358" s="6"/>
      <c r="EU358" s="6"/>
      <c r="EV358" s="7">
        <f>ROUND(500,2)</f>
        <v>500</v>
      </c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7">
        <f>ROUND(2000,2)</f>
        <v>2000</v>
      </c>
      <c r="FK358" s="6"/>
      <c r="FL358" s="6"/>
      <c r="FM358" s="6"/>
      <c r="FN358" s="6"/>
      <c r="FO358" s="6"/>
      <c r="FP358" s="6"/>
      <c r="FQ358" s="6"/>
      <c r="FR358" s="6"/>
      <c r="FS358" s="6"/>
      <c r="FT358" s="7">
        <f t="shared" si="5"/>
        <v>3000</v>
      </c>
      <c r="FU358" s="6"/>
      <c r="FV358" s="6"/>
      <c r="FW358" s="6"/>
      <c r="FX358" s="7">
        <f>ROUND(1089.28,2)</f>
        <v>1089.28</v>
      </c>
      <c r="FY358" s="7">
        <f>ROUND(119689.06,2)</f>
        <v>119689.06</v>
      </c>
    </row>
    <row r="359" spans="1:181" x14ac:dyDescent="0.3">
      <c r="A359" s="4" t="s">
        <v>895</v>
      </c>
      <c r="B359" s="5"/>
      <c r="C359" s="5" t="s">
        <v>244</v>
      </c>
      <c r="D359" s="5" t="s">
        <v>896</v>
      </c>
      <c r="E359" s="5" t="s">
        <v>0</v>
      </c>
      <c r="F359" s="5" t="s">
        <v>0</v>
      </c>
      <c r="G359" s="5" t="s">
        <v>742</v>
      </c>
      <c r="H359" s="8">
        <f>ROUND(24.64,2)</f>
        <v>24.64</v>
      </c>
      <c r="I359" s="7">
        <f>ROUND(70473.48,2)</f>
        <v>70473.48</v>
      </c>
      <c r="J359" s="7">
        <f>ROUND(1800,2)</f>
        <v>1800</v>
      </c>
      <c r="K359" s="7">
        <f>ROUND(394.25,2)</f>
        <v>394.25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7">
        <f>ROUND(16,2)</f>
        <v>16</v>
      </c>
      <c r="BX359" s="6"/>
      <c r="BY359" s="6"/>
      <c r="BZ359" s="6"/>
      <c r="CA359" s="6"/>
      <c r="CB359" s="6"/>
      <c r="CC359" s="6"/>
      <c r="CD359" s="6"/>
      <c r="CE359" s="6"/>
      <c r="CF359" s="6"/>
      <c r="CG359" s="7">
        <f>ROUND(16,2)</f>
        <v>16</v>
      </c>
      <c r="CH359" s="7">
        <f>ROUND(32,2)</f>
        <v>32</v>
      </c>
      <c r="CI359" s="7">
        <f>ROUND(48,2)</f>
        <v>48</v>
      </c>
      <c r="CJ359" s="7">
        <f>ROUND(31.5,2)</f>
        <v>31.5</v>
      </c>
      <c r="CK359" s="6"/>
      <c r="CL359" s="7">
        <f>ROUND(1.5,2)</f>
        <v>1.5</v>
      </c>
      <c r="CM359" s="6"/>
      <c r="CN359" s="7">
        <f>ROUND(196,2)</f>
        <v>196</v>
      </c>
      <c r="CO359" s="6"/>
      <c r="CP359" s="7">
        <f>ROUND(16,2)</f>
        <v>16</v>
      </c>
      <c r="CQ359" s="7">
        <f>ROUND(2551.25,2)</f>
        <v>2551.25</v>
      </c>
      <c r="CR359" s="7">
        <f>ROUND(44351.9999999999,2)</f>
        <v>44352</v>
      </c>
      <c r="CS359" s="7">
        <f>ROUND(14571.48,2)</f>
        <v>14571.48</v>
      </c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7">
        <f>ROUND(394.24,2)</f>
        <v>394.24</v>
      </c>
      <c r="FH359" s="6"/>
      <c r="FI359" s="6"/>
      <c r="FJ359" s="7">
        <f>ROUND(2365.44,2)</f>
        <v>2365.44</v>
      </c>
      <c r="FK359" s="6"/>
      <c r="FL359" s="6"/>
      <c r="FM359" s="7">
        <f>ROUND(394.24,2)</f>
        <v>394.24</v>
      </c>
      <c r="FN359" s="7">
        <f>ROUND(788.48,2)</f>
        <v>788.48</v>
      </c>
      <c r="FO359" s="7">
        <f>ROUND(1182.72,2)</f>
        <v>1182.72</v>
      </c>
      <c r="FP359" s="7">
        <f>ROUND(1164.24,2)</f>
        <v>1164.24</v>
      </c>
      <c r="FQ359" s="6"/>
      <c r="FR359" s="6"/>
      <c r="FS359" s="7">
        <f>ROUND(36.96,2)</f>
        <v>36.96</v>
      </c>
      <c r="FT359" s="6"/>
      <c r="FU359" s="6"/>
      <c r="FV359" s="7">
        <f>ROUND(4829.44,2)</f>
        <v>4829.4399999999996</v>
      </c>
      <c r="FW359" s="6"/>
      <c r="FX359" s="7">
        <f>ROUND(394.24,2)</f>
        <v>394.24</v>
      </c>
      <c r="FY359" s="7">
        <f>ROUND(70473.48,2)</f>
        <v>70473.48</v>
      </c>
    </row>
    <row r="360" spans="1:181" x14ac:dyDescent="0.3">
      <c r="A360" s="4" t="s">
        <v>897</v>
      </c>
      <c r="B360" s="5" t="s">
        <v>1029</v>
      </c>
      <c r="C360" s="5" t="s">
        <v>181</v>
      </c>
      <c r="D360" s="5" t="s">
        <v>499</v>
      </c>
      <c r="E360" s="5" t="s">
        <v>898</v>
      </c>
      <c r="F360" s="5" t="s">
        <v>0</v>
      </c>
      <c r="G360" s="5" t="s">
        <v>183</v>
      </c>
      <c r="H360" s="8">
        <v>33.880000000000003</v>
      </c>
      <c r="I360" s="7">
        <f>ROUND(97332.97,2)</f>
        <v>97332.97</v>
      </c>
      <c r="J360" s="6"/>
      <c r="K360" s="6"/>
      <c r="L360" s="6"/>
      <c r="M360" s="6"/>
      <c r="N360" s="7">
        <f>ROUND(344.469999999999,2)</f>
        <v>344.47</v>
      </c>
      <c r="O360" s="6"/>
      <c r="P360" s="6"/>
      <c r="Q360" s="7">
        <f>ROUND(138.34,2)</f>
        <v>138.34</v>
      </c>
      <c r="R360" s="6"/>
      <c r="S360" s="6"/>
      <c r="T360" s="6"/>
      <c r="U360" s="6"/>
      <c r="V360" s="7">
        <f>ROUND(25.23,2)</f>
        <v>25.23</v>
      </c>
      <c r="W360" s="7">
        <f>ROUND(33.17,2)</f>
        <v>33.17</v>
      </c>
      <c r="X360" s="7">
        <f>ROUND(7.1,2)</f>
        <v>7.1</v>
      </c>
      <c r="Y360" s="7">
        <f>ROUND(5.71,2)</f>
        <v>5.71</v>
      </c>
      <c r="Z360" s="6"/>
      <c r="AA360" s="6"/>
      <c r="AB360" s="6"/>
      <c r="AC360" s="6"/>
      <c r="AD360" s="6"/>
      <c r="AE360" s="7">
        <f>ROUND(9.75,2)</f>
        <v>9.75</v>
      </c>
      <c r="AF360" s="6"/>
      <c r="AG360" s="7">
        <f>ROUND(36.75,2)</f>
        <v>36.75</v>
      </c>
      <c r="AH360" s="6"/>
      <c r="AI360" s="6"/>
      <c r="AJ360" s="6"/>
      <c r="AK360" s="6"/>
      <c r="AL360" s="6"/>
      <c r="AM360" s="6"/>
      <c r="AN360" s="6"/>
      <c r="AO360" s="6"/>
      <c r="AP360" s="7">
        <f>ROUND(58.36,2)</f>
        <v>58.36</v>
      </c>
      <c r="AQ360" s="6"/>
      <c r="AR360" s="7">
        <f>ROUND(195.799999999999,2)</f>
        <v>195.8</v>
      </c>
      <c r="AS360" s="6"/>
      <c r="AT360" s="6"/>
      <c r="AU360" s="7">
        <f>ROUND(54.17,2)</f>
        <v>54.17</v>
      </c>
      <c r="AV360" s="7">
        <f>ROUND(5.83,2)</f>
        <v>5.83</v>
      </c>
      <c r="AW360" s="7">
        <f>ROUND(32,2)</f>
        <v>32</v>
      </c>
      <c r="AX360" s="7">
        <f>ROUND(8,2)</f>
        <v>8</v>
      </c>
      <c r="AY360" s="7">
        <f>ROUND(144,2)</f>
        <v>144</v>
      </c>
      <c r="AZ360" s="6"/>
      <c r="BA360" s="6"/>
      <c r="BB360" s="7">
        <f>ROUND(40,2)</f>
        <v>40</v>
      </c>
      <c r="BC360" s="6"/>
      <c r="BD360" s="7">
        <f>ROUND(8,2)</f>
        <v>8</v>
      </c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7">
        <f>ROUND(1331.09,2)</f>
        <v>1331.09</v>
      </c>
      <c r="BP360" s="7">
        <f>ROUND(94.24,2)</f>
        <v>94.24</v>
      </c>
      <c r="BQ360" s="6"/>
      <c r="BR360" s="7">
        <f>ROUND(9,2)</f>
        <v>9</v>
      </c>
      <c r="BS360" s="6"/>
      <c r="BT360" s="7">
        <f>ROUND(7.67,2)</f>
        <v>7.67</v>
      </c>
      <c r="BU360" s="6"/>
      <c r="BV360" s="6"/>
      <c r="BW360" s="7">
        <f>ROUND(8,2)</f>
        <v>8</v>
      </c>
      <c r="BX360" s="7">
        <f>ROUND(72,2)</f>
        <v>72</v>
      </c>
      <c r="BY360" s="6"/>
      <c r="BZ360" s="6"/>
      <c r="CA360" s="7">
        <f>ROUND(45.05,2)</f>
        <v>45.05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7">
        <f>ROUND(24,2)</f>
        <v>24</v>
      </c>
      <c r="CQ360" s="7">
        <f>ROUND(2737.73,2)</f>
        <v>2737.73</v>
      </c>
      <c r="CR360" s="6"/>
      <c r="CS360" s="6"/>
      <c r="CT360" s="6"/>
      <c r="CU360" s="6"/>
      <c r="CV360" s="7">
        <f>ROUND(11128.5299999999,2)</f>
        <v>11128.53</v>
      </c>
      <c r="CW360" s="6"/>
      <c r="CX360" s="6"/>
      <c r="CY360" s="7">
        <f>ROUND(6790.92,2)</f>
        <v>6790.92</v>
      </c>
      <c r="CZ360" s="6"/>
      <c r="DA360" s="6"/>
      <c r="DB360" s="6"/>
      <c r="DC360" s="6"/>
      <c r="DD360" s="7">
        <f>ROUND(822.86,2)</f>
        <v>822.86</v>
      </c>
      <c r="DE360" s="7">
        <f>ROUND(1626.83,2)</f>
        <v>1626.83</v>
      </c>
      <c r="DF360" s="7">
        <f>ROUND(234.14,2)</f>
        <v>234.14</v>
      </c>
      <c r="DG360" s="7">
        <f>ROUND(277.449999999999,2)</f>
        <v>277.45</v>
      </c>
      <c r="DH360" s="6"/>
      <c r="DI360" s="6"/>
      <c r="DJ360" s="6"/>
      <c r="DK360" s="6"/>
      <c r="DL360" s="6"/>
      <c r="DM360" s="6"/>
      <c r="DN360" s="7">
        <f>ROUND(318.43,2)</f>
        <v>318.43</v>
      </c>
      <c r="DO360" s="6"/>
      <c r="DP360" s="7">
        <f>ROUND(1818.32,2)</f>
        <v>1818.32</v>
      </c>
      <c r="DQ360" s="6"/>
      <c r="DR360" s="6"/>
      <c r="DS360" s="6"/>
      <c r="DT360" s="6"/>
      <c r="DU360" s="6"/>
      <c r="DV360" s="6"/>
      <c r="DW360" s="6"/>
      <c r="DX360" s="6"/>
      <c r="DY360" s="7">
        <f>ROUND(1911.07,2)</f>
        <v>1911.07</v>
      </c>
      <c r="DZ360" s="6"/>
      <c r="EA360" s="7">
        <f>ROUND(9597.78999999999,2)</f>
        <v>9597.7900000000009</v>
      </c>
      <c r="EB360" s="6"/>
      <c r="EC360" s="6"/>
      <c r="ED360" s="7">
        <f>ROUND(1762.4,2)</f>
        <v>1762.4</v>
      </c>
      <c r="EE360" s="7">
        <f>ROUND(289.05,2)</f>
        <v>289.05</v>
      </c>
      <c r="EF360" s="7">
        <f>ROUND(1056.56,2)</f>
        <v>1056.56</v>
      </c>
      <c r="EG360" s="7">
        <f>ROUND(385.08,2)</f>
        <v>385.08</v>
      </c>
      <c r="EH360" s="7">
        <f>ROUND(4690.08,2)</f>
        <v>4690.08</v>
      </c>
      <c r="EI360" s="6"/>
      <c r="EJ360" s="6"/>
      <c r="EK360" s="7">
        <f>ROUND(1283.6,2)</f>
        <v>1283.5999999999999</v>
      </c>
      <c r="EL360" s="6"/>
      <c r="EM360" s="6"/>
      <c r="EN360" s="7">
        <f>ROUND(256.72,2)</f>
        <v>256.72000000000003</v>
      </c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7">
        <f>ROUND(43502.2599999999,2)</f>
        <v>43502.26</v>
      </c>
      <c r="FC360" s="7">
        <f>ROUND(4659.54,2)</f>
        <v>4659.54</v>
      </c>
      <c r="FD360" s="6"/>
      <c r="FE360" s="7">
        <f>ROUND(433.22,2)</f>
        <v>433.22</v>
      </c>
      <c r="FF360" s="6"/>
      <c r="FG360" s="6"/>
      <c r="FH360" s="6"/>
      <c r="FI360" s="6"/>
      <c r="FJ360" s="7">
        <f>ROUND(675,2)</f>
        <v>675</v>
      </c>
      <c r="FK360" s="6"/>
      <c r="FL360" s="6"/>
      <c r="FM360" s="6"/>
      <c r="FN360" s="6"/>
      <c r="FO360" s="6"/>
      <c r="FP360" s="6"/>
      <c r="FQ360" s="6"/>
      <c r="FR360" s="6"/>
      <c r="FS360" s="6"/>
      <c r="FT360" s="7">
        <f>ROUND(3000,2)</f>
        <v>3000</v>
      </c>
      <c r="FU360" s="6"/>
      <c r="FV360" s="6"/>
      <c r="FW360" s="6"/>
      <c r="FX360" s="7">
        <f>ROUND(813.12,2)</f>
        <v>813.12</v>
      </c>
      <c r="FY360" s="7">
        <f>ROUND(97332.97,2)</f>
        <v>97332.97</v>
      </c>
    </row>
    <row r="361" spans="1:181" x14ac:dyDescent="0.3">
      <c r="A361" s="4" t="s">
        <v>899</v>
      </c>
      <c r="B361" s="5" t="s">
        <v>1029</v>
      </c>
      <c r="C361" s="5" t="s">
        <v>181</v>
      </c>
      <c r="D361" s="5" t="s">
        <v>219</v>
      </c>
      <c r="E361" s="5" t="s">
        <v>0</v>
      </c>
      <c r="F361" s="5" t="s">
        <v>0</v>
      </c>
      <c r="G361" s="5" t="s">
        <v>183</v>
      </c>
      <c r="H361" s="8">
        <v>33.380000000000003</v>
      </c>
      <c r="I361" s="7">
        <f>ROUND(88030.58,2)</f>
        <v>88030.58</v>
      </c>
      <c r="J361" s="6"/>
      <c r="K361" s="6"/>
      <c r="L361" s="6"/>
      <c r="M361" s="6"/>
      <c r="N361" s="7">
        <f>ROUND(988.76,2)</f>
        <v>988.76</v>
      </c>
      <c r="O361" s="6"/>
      <c r="P361" s="6"/>
      <c r="Q361" s="7">
        <f>ROUND(152.449999999999,2)</f>
        <v>152.44999999999999</v>
      </c>
      <c r="R361" s="6"/>
      <c r="S361" s="6"/>
      <c r="T361" s="6"/>
      <c r="U361" s="6"/>
      <c r="V361" s="7">
        <f>ROUND(13.8,2)</f>
        <v>13.8</v>
      </c>
      <c r="W361" s="7">
        <f>ROUND(32.31,2)</f>
        <v>32.31</v>
      </c>
      <c r="X361" s="7">
        <f>ROUND(0.75,2)</f>
        <v>0.75</v>
      </c>
      <c r="Y361" s="6"/>
      <c r="Z361" s="6"/>
      <c r="AA361" s="6"/>
      <c r="AB361" s="6"/>
      <c r="AC361" s="6"/>
      <c r="AD361" s="6"/>
      <c r="AE361" s="7">
        <f>ROUND(333.22,2)</f>
        <v>333.22</v>
      </c>
      <c r="AF361" s="6"/>
      <c r="AG361" s="7">
        <f>ROUND(32.82,2)</f>
        <v>32.82</v>
      </c>
      <c r="AH361" s="6"/>
      <c r="AI361" s="6"/>
      <c r="AJ361" s="6"/>
      <c r="AK361" s="6"/>
      <c r="AL361" s="6"/>
      <c r="AM361" s="6"/>
      <c r="AN361" s="6"/>
      <c r="AO361" s="6"/>
      <c r="AP361" s="7">
        <f>ROUND(515.329999999999,2)</f>
        <v>515.33000000000004</v>
      </c>
      <c r="AQ361" s="6"/>
      <c r="AR361" s="7">
        <f>ROUND(83.08,2)</f>
        <v>83.08</v>
      </c>
      <c r="AS361" s="6"/>
      <c r="AT361" s="6"/>
      <c r="AU361" s="7">
        <f>ROUND(76,2)</f>
        <v>76</v>
      </c>
      <c r="AV361" s="6"/>
      <c r="AW361" s="7">
        <f>ROUND(20,2)</f>
        <v>20</v>
      </c>
      <c r="AX361" s="6"/>
      <c r="AY361" s="7">
        <f>ROUND(70,2)</f>
        <v>70</v>
      </c>
      <c r="AZ361" s="6"/>
      <c r="BA361" s="6"/>
      <c r="BB361" s="7">
        <f>ROUND(8,2)</f>
        <v>8</v>
      </c>
      <c r="BC361" s="6"/>
      <c r="BD361" s="7">
        <f>ROUND(8,2)</f>
        <v>8</v>
      </c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7">
        <f>ROUND(16.27,2)</f>
        <v>16.27</v>
      </c>
      <c r="BP361" s="6"/>
      <c r="BQ361" s="7">
        <f>ROUND(39.5,2)</f>
        <v>39.5</v>
      </c>
      <c r="BR361" s="7">
        <f>ROUND(3.3,2)</f>
        <v>3.3</v>
      </c>
      <c r="BS361" s="6"/>
      <c r="BT361" s="7">
        <f>ROUND(0.97,2)</f>
        <v>0.97</v>
      </c>
      <c r="BU361" s="6"/>
      <c r="BV361" s="6"/>
      <c r="BW361" s="6"/>
      <c r="BX361" s="7">
        <f>ROUND(24,2)</f>
        <v>24</v>
      </c>
      <c r="BY361" s="7">
        <f>ROUND(26,2)</f>
        <v>26</v>
      </c>
      <c r="BZ361" s="6"/>
      <c r="CA361" s="7">
        <f>ROUND(15,2)</f>
        <v>15</v>
      </c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7">
        <f>ROUND(16,2)</f>
        <v>16</v>
      </c>
      <c r="CQ361" s="7">
        <f>ROUND(2475.56,2)</f>
        <v>2475.56</v>
      </c>
      <c r="CR361" s="6"/>
      <c r="CS361" s="6"/>
      <c r="CT361" s="6"/>
      <c r="CU361" s="6"/>
      <c r="CV361" s="7">
        <f>ROUND(32313.37,2)</f>
        <v>32313.37</v>
      </c>
      <c r="CW361" s="6"/>
      <c r="CX361" s="6"/>
      <c r="CY361" s="7">
        <f>ROUND(7535.00999999999,2)</f>
        <v>7535.01</v>
      </c>
      <c r="CZ361" s="6"/>
      <c r="DA361" s="6"/>
      <c r="DB361" s="6"/>
      <c r="DC361" s="6"/>
      <c r="DD361" s="7">
        <f>ROUND(449.55,2)</f>
        <v>449.55</v>
      </c>
      <c r="DE361" s="7">
        <f>ROUND(1594.01,2)</f>
        <v>1594.01</v>
      </c>
      <c r="DF361" s="7">
        <f>ROUND(24.79,2)</f>
        <v>24.79</v>
      </c>
      <c r="DG361" s="6"/>
      <c r="DH361" s="6"/>
      <c r="DI361" s="6"/>
      <c r="DJ361" s="6"/>
      <c r="DK361" s="6"/>
      <c r="DL361" s="6"/>
      <c r="DM361" s="6"/>
      <c r="DN361" s="7">
        <f>ROUND(10889.12,2)</f>
        <v>10889.12</v>
      </c>
      <c r="DO361" s="6"/>
      <c r="DP361" s="7">
        <f>ROUND(1620.88999999999,2)</f>
        <v>1620.89</v>
      </c>
      <c r="DQ361" s="6"/>
      <c r="DR361" s="6"/>
      <c r="DS361" s="6"/>
      <c r="DT361" s="6"/>
      <c r="DU361" s="6"/>
      <c r="DV361" s="6"/>
      <c r="DW361" s="6"/>
      <c r="DX361" s="6"/>
      <c r="DY361" s="7">
        <f>ROUND(16749.67,2)</f>
        <v>16749.669999999998</v>
      </c>
      <c r="DZ361" s="6"/>
      <c r="EA361" s="7">
        <f>ROUND(4080.23,2)</f>
        <v>4080.23</v>
      </c>
      <c r="EB361" s="6"/>
      <c r="EC361" s="6"/>
      <c r="ED361" s="7">
        <f>ROUND(2474.12,2)</f>
        <v>2474.12</v>
      </c>
      <c r="EE361" s="6"/>
      <c r="EF361" s="7">
        <f>ROUND(651.4,2)</f>
        <v>651.4</v>
      </c>
      <c r="EG361" s="6"/>
      <c r="EH361" s="7">
        <f>ROUND(2265.5,2)</f>
        <v>2265.5</v>
      </c>
      <c r="EI361" s="6"/>
      <c r="EJ361" s="6"/>
      <c r="EK361" s="7">
        <f>ROUND(256.72,2)</f>
        <v>256.72000000000003</v>
      </c>
      <c r="EL361" s="6"/>
      <c r="EM361" s="6"/>
      <c r="EN361" s="7">
        <f>ROUND(256.72,2)</f>
        <v>256.72000000000003</v>
      </c>
      <c r="EO361" s="6"/>
      <c r="EP361" s="6"/>
      <c r="EQ361" s="6"/>
      <c r="ER361" s="7">
        <f>ROUND(295,2)</f>
        <v>295</v>
      </c>
      <c r="ES361" s="6"/>
      <c r="ET361" s="6"/>
      <c r="EU361" s="6"/>
      <c r="EV361" s="6"/>
      <c r="EW361" s="6"/>
      <c r="EX361" s="6"/>
      <c r="EY361" s="6"/>
      <c r="EZ361" s="6"/>
      <c r="FA361" s="6"/>
      <c r="FB361" s="7">
        <f>ROUND(539.37,2)</f>
        <v>539.37</v>
      </c>
      <c r="FC361" s="6"/>
      <c r="FD361" s="7">
        <f>ROUND(1287.43,2)</f>
        <v>1287.43</v>
      </c>
      <c r="FE361" s="7">
        <f>ROUND(163.6,2)</f>
        <v>163.6</v>
      </c>
      <c r="FF361" s="6"/>
      <c r="FG361" s="6"/>
      <c r="FH361" s="6"/>
      <c r="FI361" s="6"/>
      <c r="FJ361" s="7">
        <f>ROUND(1050,2)</f>
        <v>1050</v>
      </c>
      <c r="FK361" s="6"/>
      <c r="FL361" s="6"/>
      <c r="FM361" s="6"/>
      <c r="FN361" s="6"/>
      <c r="FO361" s="6"/>
      <c r="FP361" s="6"/>
      <c r="FQ361" s="6"/>
      <c r="FR361" s="6"/>
      <c r="FS361" s="6"/>
      <c r="FT361" s="7">
        <f>ROUND(3000,2)</f>
        <v>3000</v>
      </c>
      <c r="FU361" s="6"/>
      <c r="FV361" s="6"/>
      <c r="FW361" s="6"/>
      <c r="FX361" s="7">
        <f>ROUND(534.08,2)</f>
        <v>534.08000000000004</v>
      </c>
      <c r="FY361" s="7">
        <f>ROUND(88030.5799999999,2)</f>
        <v>88030.58</v>
      </c>
    </row>
    <row r="362" spans="1:181" x14ac:dyDescent="0.3">
      <c r="A362" s="4" t="s">
        <v>900</v>
      </c>
      <c r="B362" s="5" t="s">
        <v>1029</v>
      </c>
      <c r="C362" s="5" t="s">
        <v>181</v>
      </c>
      <c r="D362" s="5" t="s">
        <v>901</v>
      </c>
      <c r="E362" s="5" t="s">
        <v>0</v>
      </c>
      <c r="F362" s="5" t="s">
        <v>0</v>
      </c>
      <c r="G362" s="5" t="s">
        <v>183</v>
      </c>
      <c r="H362" s="8">
        <v>32.090000000000003</v>
      </c>
      <c r="I362" s="7">
        <f>ROUND(67597.51,2)</f>
        <v>67597.509999999995</v>
      </c>
      <c r="J362" s="6"/>
      <c r="K362" s="6"/>
      <c r="L362" s="6"/>
      <c r="M362" s="6"/>
      <c r="N362" s="7">
        <f>ROUND(1036.66,2)</f>
        <v>1036.6600000000001</v>
      </c>
      <c r="O362" s="6"/>
      <c r="P362" s="6"/>
      <c r="Q362" s="7">
        <f>ROUND(146.97,2)</f>
        <v>146.97</v>
      </c>
      <c r="R362" s="6"/>
      <c r="S362" s="6"/>
      <c r="T362" s="6"/>
      <c r="U362" s="6"/>
      <c r="V362" s="7">
        <f>ROUND(25.42,2)</f>
        <v>25.42</v>
      </c>
      <c r="W362" s="6"/>
      <c r="X362" s="6"/>
      <c r="Y362" s="6"/>
      <c r="Z362" s="6"/>
      <c r="AA362" s="6"/>
      <c r="AB362" s="6"/>
      <c r="AC362" s="6"/>
      <c r="AD362" s="6"/>
      <c r="AE362" s="7">
        <f>ROUND(90.64,2)</f>
        <v>90.64</v>
      </c>
      <c r="AF362" s="6"/>
      <c r="AG362" s="7">
        <f>ROUND(13.9699999999999,2)</f>
        <v>13.97</v>
      </c>
      <c r="AH362" s="6"/>
      <c r="AI362" s="6"/>
      <c r="AJ362" s="6"/>
      <c r="AK362" s="6"/>
      <c r="AL362" s="6"/>
      <c r="AM362" s="6"/>
      <c r="AN362" s="6"/>
      <c r="AO362" s="6"/>
      <c r="AP362" s="7">
        <f>ROUND(203.95,2)</f>
        <v>203.95</v>
      </c>
      <c r="AQ362" s="6"/>
      <c r="AR362" s="7">
        <f>ROUND(22.58,2)</f>
        <v>22.58</v>
      </c>
      <c r="AS362" s="6"/>
      <c r="AT362" s="6"/>
      <c r="AU362" s="7">
        <f>ROUND(54,2)</f>
        <v>54</v>
      </c>
      <c r="AV362" s="6"/>
      <c r="AW362" s="7">
        <f>ROUND(24,2)</f>
        <v>24</v>
      </c>
      <c r="AX362" s="6"/>
      <c r="AY362" s="7">
        <f>ROUND(42,2)</f>
        <v>42</v>
      </c>
      <c r="AZ362" s="6"/>
      <c r="BA362" s="6"/>
      <c r="BB362" s="7">
        <f>ROUND(34,2)</f>
        <v>34</v>
      </c>
      <c r="BC362" s="6"/>
      <c r="BD362" s="7">
        <f>ROUND(8,2)</f>
        <v>8</v>
      </c>
      <c r="BE362" s="6"/>
      <c r="BF362" s="6"/>
      <c r="BG362" s="7">
        <f>ROUND(73.12,2)</f>
        <v>73.12</v>
      </c>
      <c r="BH362" s="6"/>
      <c r="BI362" s="6"/>
      <c r="BJ362" s="6"/>
      <c r="BK362" s="6"/>
      <c r="BL362" s="6"/>
      <c r="BM362" s="6"/>
      <c r="BN362" s="6"/>
      <c r="BO362" s="7">
        <f>ROUND(19.22,2)</f>
        <v>19.22</v>
      </c>
      <c r="BP362" s="7">
        <f>ROUND(0.78,2)</f>
        <v>0.78</v>
      </c>
      <c r="BQ362" s="7">
        <f>ROUND(61,2)</f>
        <v>61</v>
      </c>
      <c r="BR362" s="7">
        <f>ROUND(14,2)</f>
        <v>14</v>
      </c>
      <c r="BS362" s="7">
        <f>ROUND(24,2)</f>
        <v>24</v>
      </c>
      <c r="BT362" s="7">
        <f>ROUND(5.49,2)</f>
        <v>5.49</v>
      </c>
      <c r="BU362" s="7">
        <f>ROUND(80,2)</f>
        <v>80</v>
      </c>
      <c r="BV362" s="6"/>
      <c r="BW362" s="7">
        <f>ROUND(16,2)</f>
        <v>16</v>
      </c>
      <c r="BX362" s="7">
        <f>ROUND(24,2)</f>
        <v>24</v>
      </c>
      <c r="BY362" s="7">
        <f>ROUND(8,2)</f>
        <v>8</v>
      </c>
      <c r="BZ362" s="6"/>
      <c r="CA362" s="7">
        <f>ROUND(56,2)</f>
        <v>56</v>
      </c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7">
        <f>ROUND(8,2)</f>
        <v>8</v>
      </c>
      <c r="CQ362" s="7">
        <f>ROUND(2091.79999999999,2)</f>
        <v>2091.8000000000002</v>
      </c>
      <c r="CR362" s="6"/>
      <c r="CS362" s="6"/>
      <c r="CT362" s="6"/>
      <c r="CU362" s="6"/>
      <c r="CV362" s="7">
        <f>ROUND(33633.58,2)</f>
        <v>33633.58</v>
      </c>
      <c r="CW362" s="6"/>
      <c r="CX362" s="6"/>
      <c r="CY362" s="7">
        <f>ROUND(7125.39,2)</f>
        <v>7125.39</v>
      </c>
      <c r="CZ362" s="6"/>
      <c r="DA362" s="6"/>
      <c r="DB362" s="6"/>
      <c r="DC362" s="6"/>
      <c r="DD362" s="7">
        <f>ROUND(818.31,2)</f>
        <v>818.31</v>
      </c>
      <c r="DE362" s="6"/>
      <c r="DF362" s="6"/>
      <c r="DG362" s="6"/>
      <c r="DH362" s="6"/>
      <c r="DI362" s="6"/>
      <c r="DJ362" s="6"/>
      <c r="DK362" s="6"/>
      <c r="DL362" s="6"/>
      <c r="DM362" s="6"/>
      <c r="DN362" s="7">
        <f>ROUND(2940.79999999999,2)</f>
        <v>2940.8</v>
      </c>
      <c r="DO362" s="6"/>
      <c r="DP362" s="7">
        <f>ROUND(674.7,2)</f>
        <v>674.7</v>
      </c>
      <c r="DQ362" s="6"/>
      <c r="DR362" s="6"/>
      <c r="DS362" s="6"/>
      <c r="DT362" s="6"/>
      <c r="DU362" s="6"/>
      <c r="DV362" s="6"/>
      <c r="DW362" s="6"/>
      <c r="DX362" s="6"/>
      <c r="DY362" s="7">
        <f>ROUND(6670.24999999999,2)</f>
        <v>6670.25</v>
      </c>
      <c r="DZ362" s="6"/>
      <c r="EA362" s="7">
        <f>ROUND(1101.94,2)</f>
        <v>1101.94</v>
      </c>
      <c r="EB362" s="6"/>
      <c r="EC362" s="6"/>
      <c r="ED362" s="7">
        <f>ROUND(1750.14,2)</f>
        <v>1750.14</v>
      </c>
      <c r="EE362" s="6"/>
      <c r="EF362" s="7">
        <f>ROUND(770.16,2)</f>
        <v>770.16</v>
      </c>
      <c r="EG362" s="6"/>
      <c r="EH362" s="7">
        <f>ROUND(1347.78,2)</f>
        <v>1347.78</v>
      </c>
      <c r="EI362" s="6"/>
      <c r="EJ362" s="6"/>
      <c r="EK362" s="7">
        <f>ROUND(1091.06,2)</f>
        <v>1091.06</v>
      </c>
      <c r="EL362" s="6"/>
      <c r="EM362" s="6"/>
      <c r="EN362" s="7">
        <f>ROUND(256.72,2)</f>
        <v>256.72000000000003</v>
      </c>
      <c r="EO362" s="6"/>
      <c r="EP362" s="6"/>
      <c r="EQ362" s="7">
        <f>ROUND(2391.41,2)</f>
        <v>2391.41</v>
      </c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7">
        <f>ROUND(616.77,2)</f>
        <v>616.77</v>
      </c>
      <c r="FC362" s="7">
        <f>ROUND(37.55,2)</f>
        <v>37.549999999999997</v>
      </c>
      <c r="FD362" s="7">
        <f>ROUND(1992.05,2)</f>
        <v>1992.05</v>
      </c>
      <c r="FE362" s="7">
        <f>ROUND(686.86,2)</f>
        <v>686.86</v>
      </c>
      <c r="FF362" s="6"/>
      <c r="FG362" s="6"/>
      <c r="FH362" s="6"/>
      <c r="FI362" s="6"/>
      <c r="FJ362" s="7">
        <f>ROUND(425,2)</f>
        <v>425</v>
      </c>
      <c r="FK362" s="6"/>
      <c r="FL362" s="6"/>
      <c r="FM362" s="6"/>
      <c r="FN362" s="6"/>
      <c r="FO362" s="6"/>
      <c r="FP362" s="6"/>
      <c r="FQ362" s="6"/>
      <c r="FR362" s="6"/>
      <c r="FS362" s="6"/>
      <c r="FT362" s="7">
        <f>ROUND(3000,2)</f>
        <v>3000</v>
      </c>
      <c r="FU362" s="6"/>
      <c r="FV362" s="6"/>
      <c r="FW362" s="6"/>
      <c r="FX362" s="7">
        <f>ROUND(267.04,2)</f>
        <v>267.04000000000002</v>
      </c>
      <c r="FY362" s="7">
        <f>ROUND(67597.51,2)</f>
        <v>67597.509999999995</v>
      </c>
    </row>
    <row r="363" spans="1:181" x14ac:dyDescent="0.3">
      <c r="A363" s="4" t="s">
        <v>902</v>
      </c>
      <c r="B363" s="5" t="s">
        <v>1029</v>
      </c>
      <c r="C363" s="5" t="s">
        <v>236</v>
      </c>
      <c r="D363" s="5" t="s">
        <v>903</v>
      </c>
      <c r="E363" s="5" t="s">
        <v>0</v>
      </c>
      <c r="F363" s="5" t="s">
        <v>0</v>
      </c>
      <c r="G363" s="5" t="s">
        <v>330</v>
      </c>
      <c r="H363" s="9">
        <v>25.45</v>
      </c>
      <c r="I363" s="7">
        <f>ROUND(50760.48,2)</f>
        <v>50760.480000000003</v>
      </c>
      <c r="J363" s="6"/>
      <c r="K363" s="6"/>
      <c r="L363" s="6"/>
      <c r="M363" s="6"/>
      <c r="N363" s="6"/>
      <c r="O363" s="6"/>
      <c r="P363" s="6"/>
      <c r="Q363" s="6"/>
      <c r="R363" s="7">
        <f>ROUND(1944,2)</f>
        <v>1944</v>
      </c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7">
        <f>ROUND(56,2)</f>
        <v>56</v>
      </c>
      <c r="AV363" s="6"/>
      <c r="AW363" s="7">
        <f>ROUND(48,2)</f>
        <v>48</v>
      </c>
      <c r="AX363" s="6"/>
      <c r="AY363" s="7">
        <f>ROUND(40,2)</f>
        <v>40</v>
      </c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7">
        <f>ROUND(2088,2)</f>
        <v>2088</v>
      </c>
      <c r="CR363" s="6"/>
      <c r="CS363" s="6"/>
      <c r="CT363" s="6"/>
      <c r="CU363" s="6"/>
      <c r="CV363" s="6"/>
      <c r="CW363" s="6"/>
      <c r="CX363" s="6"/>
      <c r="CY363" s="6"/>
      <c r="CZ363" s="7">
        <f>ROUND(43476.24,2)</f>
        <v>43476.24</v>
      </c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7">
        <f>ROUND(1284.39999999999,2)</f>
        <v>1284.4000000000001</v>
      </c>
      <c r="EE363" s="6"/>
      <c r="EF363" s="7">
        <f>ROUND(1105.2,2)</f>
        <v>1105.2</v>
      </c>
      <c r="EG363" s="6"/>
      <c r="EH363" s="7">
        <f>ROUND(944.64,2)</f>
        <v>944.64</v>
      </c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7">
        <f>ROUND(950,2)</f>
        <v>950</v>
      </c>
      <c r="FK363" s="6"/>
      <c r="FL363" s="6"/>
      <c r="FM363" s="6"/>
      <c r="FN363" s="6"/>
      <c r="FO363" s="6"/>
      <c r="FP363" s="6"/>
      <c r="FQ363" s="6"/>
      <c r="FR363" s="6"/>
      <c r="FS363" s="6"/>
      <c r="FT363" s="7">
        <f>ROUND(3000,2)</f>
        <v>3000</v>
      </c>
      <c r="FU363" s="6"/>
      <c r="FV363" s="6"/>
      <c r="FW363" s="6"/>
      <c r="FX363" s="6"/>
      <c r="FY363" s="7">
        <f>ROUND(50760.48,2)</f>
        <v>50760.480000000003</v>
      </c>
    </row>
    <row r="364" spans="1:181" x14ac:dyDescent="0.3">
      <c r="A364" s="4" t="s">
        <v>904</v>
      </c>
      <c r="B364" s="5" t="s">
        <v>1029</v>
      </c>
      <c r="C364" s="5" t="s">
        <v>181</v>
      </c>
      <c r="D364" s="5" t="s">
        <v>398</v>
      </c>
      <c r="E364" s="5" t="s">
        <v>905</v>
      </c>
      <c r="F364" s="5" t="s">
        <v>0</v>
      </c>
      <c r="G364" s="5" t="s">
        <v>183</v>
      </c>
      <c r="H364" s="8">
        <v>32.090000000000003</v>
      </c>
      <c r="I364" s="7">
        <f>ROUND(9065.43,2)</f>
        <v>9065.43</v>
      </c>
      <c r="J364" s="6"/>
      <c r="K364" s="6"/>
      <c r="L364" s="6"/>
      <c r="M364" s="6"/>
      <c r="N364" s="7">
        <f>ROUND(111.5,2)</f>
        <v>111.5</v>
      </c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7">
        <f>ROUND(18,2)</f>
        <v>18</v>
      </c>
      <c r="AF364" s="6"/>
      <c r="AG364" s="7">
        <f>ROUND(6,2)</f>
        <v>6</v>
      </c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7">
        <f>ROUND(16,2)</f>
        <v>16</v>
      </c>
      <c r="AV364" s="6"/>
      <c r="AW364" s="7">
        <f>ROUND(8,2)</f>
        <v>8</v>
      </c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7">
        <f>ROUND(8,2)</f>
        <v>8</v>
      </c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7">
        <f>ROUND(112,2)</f>
        <v>112</v>
      </c>
      <c r="CQ364" s="7">
        <f>ROUND(279.5,2)</f>
        <v>279.5</v>
      </c>
      <c r="CR364" s="6"/>
      <c r="CS364" s="6"/>
      <c r="CT364" s="6"/>
      <c r="CU364" s="6"/>
      <c r="CV364" s="7">
        <f>ROUND(3578.04,2)</f>
        <v>3578.04</v>
      </c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7">
        <f>ROUND(577.62,2)</f>
        <v>577.62</v>
      </c>
      <c r="DO364" s="6"/>
      <c r="DP364" s="7">
        <f>ROUND(288.81,2)</f>
        <v>288.81</v>
      </c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7">
        <f>ROUND(513.44,2)</f>
        <v>513.44000000000005</v>
      </c>
      <c r="EE364" s="6"/>
      <c r="EF364" s="7">
        <f>ROUND(256.72,2)</f>
        <v>256.72000000000003</v>
      </c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7">
        <f>ROUND(256.72,2)</f>
        <v>256.72000000000003</v>
      </c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7">
        <f>ROUND(3594.08,2)</f>
        <v>3594.08</v>
      </c>
      <c r="FY364" s="7">
        <f>ROUND(9065.43,2)</f>
        <v>9065.43</v>
      </c>
    </row>
    <row r="365" spans="1:181" ht="26.4" x14ac:dyDescent="0.3">
      <c r="A365" s="4" t="s">
        <v>906</v>
      </c>
      <c r="B365" s="5"/>
      <c r="C365" s="5" t="s">
        <v>244</v>
      </c>
      <c r="D365" s="5" t="s">
        <v>907</v>
      </c>
      <c r="E365" s="5" t="s">
        <v>0</v>
      </c>
      <c r="F365" s="5" t="s">
        <v>0</v>
      </c>
      <c r="G365" s="5" t="s">
        <v>247</v>
      </c>
      <c r="H365" s="8">
        <f>ROUND(20.2601,2)</f>
        <v>20.260000000000002</v>
      </c>
      <c r="I365" s="7">
        <f>ROUND(28222.18,2)</f>
        <v>28222.18</v>
      </c>
      <c r="J365" s="7">
        <f>ROUND(1189.5,2)</f>
        <v>1189.5</v>
      </c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7">
        <f>ROUND(5,2)</f>
        <v>5</v>
      </c>
      <c r="BX365" s="6"/>
      <c r="BY365" s="6"/>
      <c r="BZ365" s="6"/>
      <c r="CA365" s="6"/>
      <c r="CB365" s="6"/>
      <c r="CC365" s="6"/>
      <c r="CD365" s="6"/>
      <c r="CE365" s="6"/>
      <c r="CF365" s="7">
        <f>ROUND(40,2)</f>
        <v>40</v>
      </c>
      <c r="CG365" s="7">
        <f>ROUND(10.5,2)</f>
        <v>10.5</v>
      </c>
      <c r="CH365" s="7">
        <f>ROUND(35,2)</f>
        <v>35</v>
      </c>
      <c r="CI365" s="6"/>
      <c r="CJ365" s="6"/>
      <c r="CK365" s="6"/>
      <c r="CL365" s="6"/>
      <c r="CM365" s="6"/>
      <c r="CN365" s="7">
        <f>ROUND(65,2)</f>
        <v>65</v>
      </c>
      <c r="CO365" s="6"/>
      <c r="CP365" s="6"/>
      <c r="CQ365" s="7">
        <f>ROUND(1345,2)</f>
        <v>1345</v>
      </c>
      <c r="CR365" s="7">
        <f>ROUND(24099.27,2)</f>
        <v>24099.27</v>
      </c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7">
        <f>ROUND(101.3,2)</f>
        <v>101.3</v>
      </c>
      <c r="FH365" s="6"/>
      <c r="FI365" s="6"/>
      <c r="FJ365" s="7">
        <f>ROUND(972.48,2)</f>
        <v>972.48</v>
      </c>
      <c r="FK365" s="6"/>
      <c r="FL365" s="7">
        <f>ROUND(810.4,2)</f>
        <v>810.4</v>
      </c>
      <c r="FM365" s="7">
        <f>ROUND(212.73,2)</f>
        <v>212.73</v>
      </c>
      <c r="FN365" s="7">
        <f>ROUND(709.099999999999,2)</f>
        <v>709.1</v>
      </c>
      <c r="FO365" s="6"/>
      <c r="FP365" s="6"/>
      <c r="FQ365" s="6"/>
      <c r="FR365" s="6"/>
      <c r="FS365" s="6"/>
      <c r="FT365" s="6"/>
      <c r="FU365" s="6"/>
      <c r="FV365" s="7">
        <f>ROUND(1316.89999999999,2)</f>
        <v>1316.9</v>
      </c>
      <c r="FW365" s="6"/>
      <c r="FX365" s="6"/>
      <c r="FY365" s="7">
        <f>ROUND(28222.18,2)</f>
        <v>28222.18</v>
      </c>
    </row>
    <row r="366" spans="1:181" ht="26.4" x14ac:dyDescent="0.3">
      <c r="A366" s="4" t="s">
        <v>908</v>
      </c>
      <c r="B366" s="5"/>
      <c r="C366" s="5" t="s">
        <v>244</v>
      </c>
      <c r="D366" s="5" t="s">
        <v>909</v>
      </c>
      <c r="E366" s="5" t="s">
        <v>0</v>
      </c>
      <c r="F366" s="5" t="s">
        <v>0</v>
      </c>
      <c r="G366" s="5" t="s">
        <v>247</v>
      </c>
      <c r="H366" s="8">
        <f>ROUND(19.57,2)</f>
        <v>19.57</v>
      </c>
      <c r="I366" s="7">
        <f>ROUND(49040.5,2)</f>
        <v>49040.5</v>
      </c>
      <c r="J366" s="7">
        <f>ROUND(1908,2)</f>
        <v>1908</v>
      </c>
      <c r="K366" s="7">
        <f>ROUND(162.25,2)</f>
        <v>162.25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7">
        <f>ROUND(16,2)</f>
        <v>16</v>
      </c>
      <c r="BX366" s="6"/>
      <c r="BY366" s="6"/>
      <c r="BZ366" s="6"/>
      <c r="CA366" s="6"/>
      <c r="CB366" s="6"/>
      <c r="CC366" s="6"/>
      <c r="CD366" s="6"/>
      <c r="CE366" s="6"/>
      <c r="CF366" s="7">
        <f>ROUND(24,2)</f>
        <v>24</v>
      </c>
      <c r="CG366" s="7">
        <f>ROUND(49,2)</f>
        <v>49</v>
      </c>
      <c r="CH366" s="7">
        <f>ROUND(48,2)</f>
        <v>48</v>
      </c>
      <c r="CI366" s="7">
        <f>ROUND(32,2)</f>
        <v>32</v>
      </c>
      <c r="CJ366" s="7">
        <f>ROUND(9.5,2)</f>
        <v>9.5</v>
      </c>
      <c r="CK366" s="6"/>
      <c r="CL366" s="7">
        <f>ROUND(29,2)</f>
        <v>29</v>
      </c>
      <c r="CM366" s="7">
        <f>ROUND(1.5,2)</f>
        <v>1.5</v>
      </c>
      <c r="CN366" s="7">
        <f>ROUND(32,2)</f>
        <v>32</v>
      </c>
      <c r="CO366" s="6"/>
      <c r="CP366" s="6"/>
      <c r="CQ366" s="7">
        <f>ROUND(2311.25,2)</f>
        <v>2311.25</v>
      </c>
      <c r="CR366" s="7">
        <f>ROUND(37339.57,2)</f>
        <v>37339.57</v>
      </c>
      <c r="CS366" s="7">
        <f>ROUND(4762.88,2)</f>
        <v>4762.88</v>
      </c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7">
        <f>ROUND(313.12,2)</f>
        <v>313.12</v>
      </c>
      <c r="FH366" s="6"/>
      <c r="FI366" s="6"/>
      <c r="FJ366" s="7">
        <f>ROUND(2128.72,2)</f>
        <v>2128.7199999999998</v>
      </c>
      <c r="FK366" s="6"/>
      <c r="FL366" s="7">
        <f>ROUND(469.68,2)</f>
        <v>469.68</v>
      </c>
      <c r="FM366" s="7">
        <f>ROUND(958.93,2)</f>
        <v>958.93</v>
      </c>
      <c r="FN366" s="7">
        <f>ROUND(939.359999999999,2)</f>
        <v>939.36</v>
      </c>
      <c r="FO366" s="7">
        <f>ROUND(626.24,2)</f>
        <v>626.24</v>
      </c>
      <c r="FP366" s="7">
        <f>ROUND(278.87,2)</f>
        <v>278.87</v>
      </c>
      <c r="FQ366" s="6"/>
      <c r="FR366" s="6"/>
      <c r="FS366" s="7">
        <f>ROUND(567.53,2)</f>
        <v>567.53</v>
      </c>
      <c r="FT366" s="6"/>
      <c r="FU366" s="7">
        <f>ROUND(29.36,2)</f>
        <v>29.36</v>
      </c>
      <c r="FV366" s="7">
        <f>ROUND(626.24,2)</f>
        <v>626.24</v>
      </c>
      <c r="FW366" s="6"/>
      <c r="FX366" s="6"/>
      <c r="FY366" s="7">
        <f>ROUND(49040.5,2)</f>
        <v>49040.5</v>
      </c>
    </row>
    <row r="367" spans="1:181" x14ac:dyDescent="0.3">
      <c r="A367" s="4" t="s">
        <v>910</v>
      </c>
      <c r="B367" s="5" t="s">
        <v>1029</v>
      </c>
      <c r="C367" s="5" t="s">
        <v>181</v>
      </c>
      <c r="D367" s="5" t="s">
        <v>911</v>
      </c>
      <c r="E367" s="5" t="s">
        <v>912</v>
      </c>
      <c r="F367" s="5" t="s">
        <v>0</v>
      </c>
      <c r="G367" s="5" t="s">
        <v>183</v>
      </c>
      <c r="H367" s="8">
        <v>32.090000000000003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</row>
    <row r="368" spans="1:181" x14ac:dyDescent="0.3">
      <c r="A368" s="4" t="s">
        <v>913</v>
      </c>
      <c r="B368" s="5" t="s">
        <v>1029</v>
      </c>
      <c r="C368" s="5" t="s">
        <v>181</v>
      </c>
      <c r="D368" s="5" t="s">
        <v>303</v>
      </c>
      <c r="E368" s="5" t="s">
        <v>914</v>
      </c>
      <c r="F368" s="5" t="s">
        <v>0</v>
      </c>
      <c r="G368" s="5" t="s">
        <v>183</v>
      </c>
      <c r="H368" s="9">
        <v>31.71</v>
      </c>
      <c r="I368" s="7">
        <f>ROUND(60228.45,2)</f>
        <v>60228.45</v>
      </c>
      <c r="J368" s="6"/>
      <c r="K368" s="6"/>
      <c r="L368" s="6"/>
      <c r="M368" s="6"/>
      <c r="N368" s="7">
        <f>ROUND(658.349999999999,2)</f>
        <v>658.35</v>
      </c>
      <c r="O368" s="6"/>
      <c r="P368" s="6"/>
      <c r="Q368" s="7">
        <f>ROUND(92.95,2)</f>
        <v>92.95</v>
      </c>
      <c r="R368" s="6"/>
      <c r="S368" s="6"/>
      <c r="T368" s="6"/>
      <c r="U368" s="6"/>
      <c r="V368" s="7">
        <f>ROUND(12,2)</f>
        <v>12</v>
      </c>
      <c r="W368" s="7">
        <f>ROUND(15.05,2)</f>
        <v>15.05</v>
      </c>
      <c r="X368" s="7">
        <f>ROUND(1.52999999999999,2)</f>
        <v>1.53</v>
      </c>
      <c r="Y368" s="7">
        <f>ROUND(0.83,2)</f>
        <v>0.83</v>
      </c>
      <c r="Z368" s="6"/>
      <c r="AA368" s="6"/>
      <c r="AB368" s="6"/>
      <c r="AC368" s="6"/>
      <c r="AD368" s="6"/>
      <c r="AE368" s="7">
        <f>ROUND(169.1,2)</f>
        <v>169.1</v>
      </c>
      <c r="AF368" s="6"/>
      <c r="AG368" s="7">
        <f>ROUND(34.23,2)</f>
        <v>34.229999999999997</v>
      </c>
      <c r="AH368" s="6"/>
      <c r="AI368" s="6"/>
      <c r="AJ368" s="6"/>
      <c r="AK368" s="6"/>
      <c r="AL368" s="6"/>
      <c r="AM368" s="6"/>
      <c r="AN368" s="6"/>
      <c r="AO368" s="6"/>
      <c r="AP368" s="7">
        <f>ROUND(568.33,2)</f>
        <v>568.33000000000004</v>
      </c>
      <c r="AQ368" s="6"/>
      <c r="AR368" s="7">
        <f>ROUND(115.8,2)</f>
        <v>115.8</v>
      </c>
      <c r="AS368" s="6"/>
      <c r="AT368" s="6"/>
      <c r="AU368" s="7">
        <f>ROUND(60,2)</f>
        <v>60</v>
      </c>
      <c r="AV368" s="6"/>
      <c r="AW368" s="7">
        <f>ROUND(23.97,2)</f>
        <v>23.97</v>
      </c>
      <c r="AX368" s="7">
        <f>ROUND(2.03,2)</f>
        <v>2.0299999999999998</v>
      </c>
      <c r="AY368" s="7">
        <f>ROUND(10,2)</f>
        <v>10</v>
      </c>
      <c r="AZ368" s="6"/>
      <c r="BA368" s="6"/>
      <c r="BB368" s="7">
        <f>ROUND(36,2)</f>
        <v>36</v>
      </c>
      <c r="BC368" s="6"/>
      <c r="BD368" s="7">
        <f>ROUND(8,2)</f>
        <v>8</v>
      </c>
      <c r="BE368" s="7">
        <f>ROUND(1.33,2)</f>
        <v>1.33</v>
      </c>
      <c r="BF368" s="6"/>
      <c r="BG368" s="6"/>
      <c r="BH368" s="6"/>
      <c r="BI368" s="6"/>
      <c r="BJ368" s="6"/>
      <c r="BK368" s="6"/>
      <c r="BL368" s="6"/>
      <c r="BM368" s="6"/>
      <c r="BN368" s="6"/>
      <c r="BO368" s="7">
        <f>ROUND(18,2)</f>
        <v>18</v>
      </c>
      <c r="BP368" s="6"/>
      <c r="BQ368" s="7">
        <f>ROUND(33.58,2)</f>
        <v>33.58</v>
      </c>
      <c r="BR368" s="6"/>
      <c r="BS368" s="7">
        <f>ROUND(32,2)</f>
        <v>32</v>
      </c>
      <c r="BT368" s="7">
        <f>ROUND(7.33,2)</f>
        <v>7.33</v>
      </c>
      <c r="BU368" s="6"/>
      <c r="BV368" s="6"/>
      <c r="BW368" s="7">
        <f>ROUND(8,2)</f>
        <v>8</v>
      </c>
      <c r="BX368" s="6"/>
      <c r="BY368" s="7">
        <f>ROUND(10,2)</f>
        <v>10</v>
      </c>
      <c r="BZ368" s="7">
        <f>ROUND(96,2)</f>
        <v>96</v>
      </c>
      <c r="CA368" s="7">
        <f>ROUND(432,2)</f>
        <v>432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7">
        <f>ROUND(2446.41,2)</f>
        <v>2446.41</v>
      </c>
      <c r="CR368" s="6"/>
      <c r="CS368" s="6"/>
      <c r="CT368" s="6"/>
      <c r="CU368" s="6"/>
      <c r="CV368" s="7">
        <f>ROUND(19760.46,2)</f>
        <v>19760.46</v>
      </c>
      <c r="CW368" s="6"/>
      <c r="CX368" s="6"/>
      <c r="CY368" s="7">
        <f>ROUND(4191.79,2)</f>
        <v>4191.79</v>
      </c>
      <c r="CZ368" s="6"/>
      <c r="DA368" s="6"/>
      <c r="DB368" s="6"/>
      <c r="DC368" s="6"/>
      <c r="DD368" s="7">
        <f>ROUND(358.94,2)</f>
        <v>358.94</v>
      </c>
      <c r="DE368" s="7">
        <f>ROUND(708.77,2)</f>
        <v>708.77</v>
      </c>
      <c r="DF368" s="7">
        <f>ROUND(45.12,2)</f>
        <v>45.12</v>
      </c>
      <c r="DG368" s="7">
        <f>ROUND(35.96,2)</f>
        <v>35.96</v>
      </c>
      <c r="DH368" s="6"/>
      <c r="DI368" s="6"/>
      <c r="DJ368" s="6"/>
      <c r="DK368" s="6"/>
      <c r="DL368" s="6"/>
      <c r="DM368" s="6"/>
      <c r="DN368" s="7">
        <f>ROUND(5109.13999999999,2)</f>
        <v>5109.1400000000003</v>
      </c>
      <c r="DO368" s="6"/>
      <c r="DP368" s="7">
        <f>ROUND(1499.35,2)</f>
        <v>1499.35</v>
      </c>
      <c r="DQ368" s="6"/>
      <c r="DR368" s="6"/>
      <c r="DS368" s="6"/>
      <c r="DT368" s="6"/>
      <c r="DU368" s="6"/>
      <c r="DV368" s="6"/>
      <c r="DW368" s="6"/>
      <c r="DX368" s="6"/>
      <c r="DY368" s="7">
        <f>ROUND(17087.5,2)</f>
        <v>17087.5</v>
      </c>
      <c r="DZ368" s="6"/>
      <c r="EA368" s="7">
        <f>ROUND(5176.95,2)</f>
        <v>5176.95</v>
      </c>
      <c r="EB368" s="6"/>
      <c r="EC368" s="6"/>
      <c r="ED368" s="7">
        <f>ROUND(1794.26,2)</f>
        <v>1794.26</v>
      </c>
      <c r="EE368" s="6"/>
      <c r="EF368" s="7">
        <f>ROUND(737.61,2)</f>
        <v>737.61</v>
      </c>
      <c r="EG368" s="7">
        <f>ROUND(87.94,2)</f>
        <v>87.94</v>
      </c>
      <c r="EH368" s="7">
        <f>ROUND(304.9,2)</f>
        <v>304.89999999999998</v>
      </c>
      <c r="EI368" s="6"/>
      <c r="EJ368" s="6"/>
      <c r="EK368" s="7">
        <f>ROUND(1101.13999999999,2)</f>
        <v>1101.1400000000001</v>
      </c>
      <c r="EL368" s="6"/>
      <c r="EM368" s="6"/>
      <c r="EN368" s="7">
        <f>ROUND(243.92,2)</f>
        <v>243.92</v>
      </c>
      <c r="EO368" s="7">
        <f>ROUND(38.41,2)</f>
        <v>38.409999999999997</v>
      </c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7">
        <f>ROUND(556.099999999999,2)</f>
        <v>556.1</v>
      </c>
      <c r="FC368" s="6"/>
      <c r="FD368" s="7">
        <f>ROUND(990.19,2)</f>
        <v>990.19</v>
      </c>
      <c r="FE368" s="6"/>
      <c r="FF368" s="6"/>
      <c r="FG368" s="6"/>
      <c r="FH368" s="6"/>
      <c r="FI368" s="6"/>
      <c r="FJ368" s="7">
        <f>ROUND(400,2)</f>
        <v>400</v>
      </c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7">
        <f>ROUND(60228.45,2)</f>
        <v>60228.45</v>
      </c>
    </row>
    <row r="369" spans="1:181" ht="26.4" x14ac:dyDescent="0.3">
      <c r="A369" s="4" t="s">
        <v>915</v>
      </c>
      <c r="B369" s="5"/>
      <c r="C369" s="5" t="s">
        <v>223</v>
      </c>
      <c r="D369" s="5" t="s">
        <v>916</v>
      </c>
      <c r="E369" s="5" t="s">
        <v>0</v>
      </c>
      <c r="F369" s="5" t="s">
        <v>0</v>
      </c>
      <c r="G369" s="5" t="s">
        <v>917</v>
      </c>
      <c r="H369" s="8">
        <f>ROUND(1122.32,2)</f>
        <v>1122.32</v>
      </c>
      <c r="I369" s="7">
        <f>ROUND(62676.5299999999,2)</f>
        <v>62676.53</v>
      </c>
      <c r="J369" s="7">
        <f>ROUND(1661,2)</f>
        <v>1661</v>
      </c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7">
        <f>ROUND(-16,2)</f>
        <v>-16</v>
      </c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7">
        <f>ROUND(8,2)</f>
        <v>8</v>
      </c>
      <c r="BX369" s="6"/>
      <c r="BY369" s="6"/>
      <c r="BZ369" s="6"/>
      <c r="CA369" s="6"/>
      <c r="CB369" s="6"/>
      <c r="CC369" s="6"/>
      <c r="CD369" s="6"/>
      <c r="CE369" s="6"/>
      <c r="CF369" s="6"/>
      <c r="CG369" s="7">
        <f>ROUND(19,2)</f>
        <v>19</v>
      </c>
      <c r="CH369" s="7">
        <f>ROUND(56,2)</f>
        <v>56</v>
      </c>
      <c r="CI369" s="7">
        <f>ROUND(16,2)</f>
        <v>16</v>
      </c>
      <c r="CJ369" s="6"/>
      <c r="CK369" s="6"/>
      <c r="CL369" s="6"/>
      <c r="CM369" s="6"/>
      <c r="CN369" s="7">
        <f>ROUND(144,2)</f>
        <v>144</v>
      </c>
      <c r="CO369" s="6"/>
      <c r="CP369" s="6"/>
      <c r="CQ369" s="7">
        <f>ROUND(1888,2)</f>
        <v>1888</v>
      </c>
      <c r="CR369" s="7">
        <f>ROUND(56705.2499999999,2)</f>
        <v>56705.25</v>
      </c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7">
        <f>ROUND(-448.919999999999,2)</f>
        <v>-448.92</v>
      </c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>
        <f>ROUND(500,2)</f>
        <v>500</v>
      </c>
      <c r="EX369" s="6"/>
      <c r="EY369" s="6"/>
      <c r="EZ369" s="6"/>
      <c r="FA369" s="6"/>
      <c r="FB369" s="6"/>
      <c r="FC369" s="6"/>
      <c r="FD369" s="6"/>
      <c r="FE369" s="6"/>
      <c r="FF369" s="6"/>
      <c r="FG369" s="7">
        <f>ROUND(224.46,2)</f>
        <v>224.46</v>
      </c>
      <c r="FH369" s="6"/>
      <c r="FI369" s="6"/>
      <c r="FJ369" s="7">
        <f>ROUND(2693.57,2)</f>
        <v>2693.57</v>
      </c>
      <c r="FK369" s="6"/>
      <c r="FL369" s="6"/>
      <c r="FM369" s="7">
        <f>ROUND(533.09,2)</f>
        <v>533.09</v>
      </c>
      <c r="FN369" s="7">
        <f>ROUND(673.38,2)</f>
        <v>673.38</v>
      </c>
      <c r="FO369" s="7">
        <f>ROUND(224.46,2)</f>
        <v>224.46</v>
      </c>
      <c r="FP369" s="6"/>
      <c r="FQ369" s="6"/>
      <c r="FR369" s="6"/>
      <c r="FS369" s="6"/>
      <c r="FT369" s="6"/>
      <c r="FU369" s="6"/>
      <c r="FV369" s="7">
        <f>ROUND(1571.24,2)</f>
        <v>1571.24</v>
      </c>
      <c r="FW369" s="6"/>
      <c r="FX369" s="6"/>
      <c r="FY369" s="7">
        <f>ROUND(62676.5299999999,2)</f>
        <v>62676.53</v>
      </c>
    </row>
    <row r="370" spans="1:181" x14ac:dyDescent="0.3">
      <c r="A370" s="4" t="s">
        <v>918</v>
      </c>
      <c r="B370" s="5" t="s">
        <v>1029</v>
      </c>
      <c r="C370" s="5" t="s">
        <v>181</v>
      </c>
      <c r="D370" s="5" t="s">
        <v>249</v>
      </c>
      <c r="E370" s="5" t="s">
        <v>0</v>
      </c>
      <c r="F370" s="5" t="s">
        <v>0</v>
      </c>
      <c r="G370" s="5" t="s">
        <v>183</v>
      </c>
      <c r="H370" s="8">
        <v>33.880000000000003</v>
      </c>
      <c r="I370" s="7">
        <f>ROUND(116552.299999999,2)</f>
        <v>116552.3</v>
      </c>
      <c r="J370" s="6"/>
      <c r="K370" s="6"/>
      <c r="L370" s="6"/>
      <c r="M370" s="6"/>
      <c r="N370" s="7">
        <f>ROUND(1803.85,2)</f>
        <v>1803.85</v>
      </c>
      <c r="O370" s="6"/>
      <c r="P370" s="6"/>
      <c r="Q370" s="7">
        <f>ROUND(660.15,2)</f>
        <v>660.15</v>
      </c>
      <c r="R370" s="6"/>
      <c r="S370" s="6"/>
      <c r="T370" s="6"/>
      <c r="U370" s="6"/>
      <c r="V370" s="7">
        <f>ROUND(6.5,2)</f>
        <v>6.5</v>
      </c>
      <c r="W370" s="7">
        <f>ROUND(16.05,2)</f>
        <v>16.05</v>
      </c>
      <c r="X370" s="6"/>
      <c r="Y370" s="7">
        <f>ROUND(0.83,2)</f>
        <v>0.83</v>
      </c>
      <c r="Z370" s="6"/>
      <c r="AA370" s="6"/>
      <c r="AB370" s="6"/>
      <c r="AC370" s="6"/>
      <c r="AD370" s="6"/>
      <c r="AE370" s="7">
        <f>ROUND(17.93,2)</f>
        <v>17.93</v>
      </c>
      <c r="AF370" s="6"/>
      <c r="AG370" s="7">
        <f>ROUND(28.88,2)</f>
        <v>28.88</v>
      </c>
      <c r="AH370" s="6"/>
      <c r="AI370" s="6"/>
      <c r="AJ370" s="6"/>
      <c r="AK370" s="6"/>
      <c r="AL370" s="6"/>
      <c r="AM370" s="6"/>
      <c r="AN370" s="6"/>
      <c r="AO370" s="6"/>
      <c r="AP370" s="7">
        <f>ROUND(90.4799999999999,2)</f>
        <v>90.48</v>
      </c>
      <c r="AQ370" s="6"/>
      <c r="AR370" s="7">
        <f>ROUND(93,2)</f>
        <v>93</v>
      </c>
      <c r="AS370" s="6"/>
      <c r="AT370" s="6"/>
      <c r="AU370" s="7">
        <f>ROUND(61.13,2)</f>
        <v>61.13</v>
      </c>
      <c r="AV370" s="7">
        <f>ROUND(6.87,2)</f>
        <v>6.87</v>
      </c>
      <c r="AW370" s="7">
        <f>ROUND(30,2)</f>
        <v>30</v>
      </c>
      <c r="AX370" s="7">
        <f>ROUND(8,2)</f>
        <v>8</v>
      </c>
      <c r="AY370" s="7">
        <f>ROUND(45.92,2)</f>
        <v>45.92</v>
      </c>
      <c r="AZ370" s="7">
        <f>ROUND(6.08,2)</f>
        <v>6.08</v>
      </c>
      <c r="BA370" s="6"/>
      <c r="BB370" s="7">
        <f>ROUND(26,2)</f>
        <v>26</v>
      </c>
      <c r="BC370" s="6"/>
      <c r="BD370" s="7">
        <f>ROUND(8,2)</f>
        <v>8</v>
      </c>
      <c r="BE370" s="7">
        <f>ROUND(1.93,2)</f>
        <v>1.93</v>
      </c>
      <c r="BF370" s="6"/>
      <c r="BG370" s="7">
        <f>ROUND(54.36,2)</f>
        <v>54.36</v>
      </c>
      <c r="BH370" s="6"/>
      <c r="BI370" s="6"/>
      <c r="BJ370" s="6"/>
      <c r="BK370" s="6"/>
      <c r="BL370" s="6"/>
      <c r="BM370" s="6"/>
      <c r="BN370" s="6"/>
      <c r="BO370" s="7">
        <f>ROUND(7.25,2)</f>
        <v>7.25</v>
      </c>
      <c r="BP370" s="7">
        <f>ROUND(2.75,2)</f>
        <v>2.75</v>
      </c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7">
        <f>ROUND(48,2)</f>
        <v>48</v>
      </c>
      <c r="CQ370" s="7">
        <f>ROUND(3023.96,2)</f>
        <v>3023.96</v>
      </c>
      <c r="CR370" s="6"/>
      <c r="CS370" s="6"/>
      <c r="CT370" s="6"/>
      <c r="CU370" s="6"/>
      <c r="CV370" s="7">
        <f>ROUND(58852.5699999999,2)</f>
        <v>58852.57</v>
      </c>
      <c r="CW370" s="6"/>
      <c r="CX370" s="6"/>
      <c r="CY370" s="7">
        <f>ROUND(32341.74,2)</f>
        <v>32341.74</v>
      </c>
      <c r="CZ370" s="6"/>
      <c r="DA370" s="6"/>
      <c r="DB370" s="6"/>
      <c r="DC370" s="6"/>
      <c r="DD370" s="7">
        <f>ROUND(215.8,2)</f>
        <v>215.8</v>
      </c>
      <c r="DE370" s="7">
        <f>ROUND(783.739999999999,2)</f>
        <v>783.74</v>
      </c>
      <c r="DF370" s="6"/>
      <c r="DG370" s="7">
        <f>ROUND(39.95,2)</f>
        <v>39.950000000000003</v>
      </c>
      <c r="DH370" s="6"/>
      <c r="DI370" s="6"/>
      <c r="DJ370" s="6"/>
      <c r="DK370" s="6"/>
      <c r="DL370" s="6"/>
      <c r="DM370" s="6"/>
      <c r="DN370" s="7">
        <f>ROUND(604.01,2)</f>
        <v>604.01</v>
      </c>
      <c r="DO370" s="6"/>
      <c r="DP370" s="7">
        <f>ROUND(1390.14,2)</f>
        <v>1390.14</v>
      </c>
      <c r="DQ370" s="6"/>
      <c r="DR370" s="6"/>
      <c r="DS370" s="6"/>
      <c r="DT370" s="6"/>
      <c r="DU370" s="6"/>
      <c r="DV370" s="6"/>
      <c r="DW370" s="6"/>
      <c r="DX370" s="6"/>
      <c r="DY370" s="7">
        <f>ROUND(2986.05,2)</f>
        <v>2986.05</v>
      </c>
      <c r="DZ370" s="6"/>
      <c r="EA370" s="7">
        <f>ROUND(4495.79,2)</f>
        <v>4495.79</v>
      </c>
      <c r="EB370" s="6"/>
      <c r="EC370" s="6"/>
      <c r="ED370" s="7">
        <f>ROUND(1988.42999999999,2)</f>
        <v>1988.43</v>
      </c>
      <c r="EE370" s="7">
        <f>ROUND(340.61,2)</f>
        <v>340.61</v>
      </c>
      <c r="EF370" s="7">
        <f>ROUND(991.5,2)</f>
        <v>991.5</v>
      </c>
      <c r="EG370" s="7">
        <f>ROUND(396.6,2)</f>
        <v>396.6</v>
      </c>
      <c r="EH370" s="7">
        <f>ROUND(1517.65999999999,2)</f>
        <v>1517.66</v>
      </c>
      <c r="EI370" s="7">
        <f>ROUND(301.42,2)</f>
        <v>301.42</v>
      </c>
      <c r="EJ370" s="6"/>
      <c r="EK370" s="7">
        <f>ROUND(859.3,2)</f>
        <v>859.3</v>
      </c>
      <c r="EL370" s="6"/>
      <c r="EM370" s="6"/>
      <c r="EN370" s="7">
        <f>ROUND(256.72,2)</f>
        <v>256.72000000000003</v>
      </c>
      <c r="EO370" s="7">
        <f>ROUND(63.79,2)</f>
        <v>63.79</v>
      </c>
      <c r="EP370" s="6"/>
      <c r="EQ370" s="7">
        <f>ROUND(1796.59,2)</f>
        <v>1796.59</v>
      </c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7">
        <f>ROUND(240.7,2)</f>
        <v>240.7</v>
      </c>
      <c r="FC370" s="7">
        <f>ROUND(136.95,2)</f>
        <v>136.94999999999999</v>
      </c>
      <c r="FD370" s="6"/>
      <c r="FE370" s="6"/>
      <c r="FF370" s="6"/>
      <c r="FG370" s="6"/>
      <c r="FH370" s="6"/>
      <c r="FI370" s="6"/>
      <c r="FJ370" s="7">
        <f>ROUND(1350,2)</f>
        <v>1350</v>
      </c>
      <c r="FK370" s="6"/>
      <c r="FL370" s="6"/>
      <c r="FM370" s="6"/>
      <c r="FN370" s="6"/>
      <c r="FO370" s="6"/>
      <c r="FP370" s="6"/>
      <c r="FQ370" s="6"/>
      <c r="FR370" s="6"/>
      <c r="FS370" s="6"/>
      <c r="FT370" s="7">
        <f>ROUND(3000,2)</f>
        <v>3000</v>
      </c>
      <c r="FU370" s="6"/>
      <c r="FV370" s="6"/>
      <c r="FW370" s="6"/>
      <c r="FX370" s="7">
        <f>ROUND(1602.24,2)</f>
        <v>1602.24</v>
      </c>
      <c r="FY370" s="7">
        <f>ROUND(116552.299999999,2)</f>
        <v>116552.3</v>
      </c>
    </row>
    <row r="371" spans="1:181" x14ac:dyDescent="0.3">
      <c r="A371" s="4" t="s">
        <v>919</v>
      </c>
      <c r="B371" s="5" t="s">
        <v>1029</v>
      </c>
      <c r="C371" s="5" t="s">
        <v>181</v>
      </c>
      <c r="D371" s="5" t="s">
        <v>920</v>
      </c>
      <c r="E371" s="5" t="s">
        <v>0</v>
      </c>
      <c r="F371" s="5" t="s">
        <v>0</v>
      </c>
      <c r="G371" s="5" t="s">
        <v>183</v>
      </c>
      <c r="H371" s="8">
        <v>34.04</v>
      </c>
      <c r="I371" s="7">
        <f>ROUND(102992.449999999,2)</f>
        <v>102992.45</v>
      </c>
      <c r="J371" s="6"/>
      <c r="K371" s="6"/>
      <c r="L371" s="6"/>
      <c r="M371" s="6"/>
      <c r="N371" s="7">
        <f>ROUND(1353.35,2)</f>
        <v>1353.35</v>
      </c>
      <c r="O371" s="6"/>
      <c r="P371" s="6"/>
      <c r="Q371" s="7">
        <f>ROUND(383.62,2)</f>
        <v>383.62</v>
      </c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7">
        <f>ROUND(550,2)</f>
        <v>550</v>
      </c>
      <c r="AF371" s="6"/>
      <c r="AG371" s="7">
        <f>ROUND(142.079999999999,2)</f>
        <v>142.08000000000001</v>
      </c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7">
        <f>ROUND(68,2)</f>
        <v>68</v>
      </c>
      <c r="AV371" s="6"/>
      <c r="AW371" s="7">
        <f>ROUND(32,2)</f>
        <v>32</v>
      </c>
      <c r="AX371" s="6"/>
      <c r="AY371" s="7">
        <f>ROUND(120.65,2)</f>
        <v>120.65</v>
      </c>
      <c r="AZ371" s="7">
        <f>ROUND(7.35,2)</f>
        <v>7.35</v>
      </c>
      <c r="BA371" s="6"/>
      <c r="BB371" s="6"/>
      <c r="BC371" s="6"/>
      <c r="BD371" s="7">
        <f>ROUND(8,2)</f>
        <v>8</v>
      </c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7">
        <f>ROUND(72,2)</f>
        <v>72</v>
      </c>
      <c r="CQ371" s="7">
        <f>ROUND(2737.05,2)</f>
        <v>2737.05</v>
      </c>
      <c r="CR371" s="6"/>
      <c r="CS371" s="6"/>
      <c r="CT371" s="6"/>
      <c r="CU371" s="6"/>
      <c r="CV371" s="7">
        <f>ROUND(44050.4599999999,2)</f>
        <v>44050.46</v>
      </c>
      <c r="CW371" s="6"/>
      <c r="CX371" s="6"/>
      <c r="CY371" s="7">
        <f>ROUND(18737.15,2)</f>
        <v>18737.150000000001</v>
      </c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7">
        <f>ROUND(17978.06,2)</f>
        <v>17978.060000000001</v>
      </c>
      <c r="DO371" s="6"/>
      <c r="DP371" s="7">
        <f>ROUND(6962.23,2)</f>
        <v>6962.23</v>
      </c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7">
        <f>ROUND(2219.48,2)</f>
        <v>2219.48</v>
      </c>
      <c r="EE371" s="6"/>
      <c r="EF371" s="7">
        <f>ROUND(1026.88,2)</f>
        <v>1026.8800000000001</v>
      </c>
      <c r="EG371" s="6"/>
      <c r="EH371" s="7">
        <f>ROUND(3948.58,2)</f>
        <v>3948.58</v>
      </c>
      <c r="EI371" s="7">
        <f>ROUND(373.53,2)</f>
        <v>373.53</v>
      </c>
      <c r="EJ371" s="6"/>
      <c r="EK371" s="6"/>
      <c r="EL371" s="6"/>
      <c r="EM371" s="6"/>
      <c r="EN371" s="7">
        <f>ROUND(256.72,2)</f>
        <v>256.72000000000003</v>
      </c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7">
        <f>ROUND(2000,2)</f>
        <v>2000</v>
      </c>
      <c r="FK371" s="6"/>
      <c r="FL371" s="6"/>
      <c r="FM371" s="6"/>
      <c r="FN371" s="6"/>
      <c r="FO371" s="6"/>
      <c r="FP371" s="6"/>
      <c r="FQ371" s="6"/>
      <c r="FR371" s="6"/>
      <c r="FS371" s="6"/>
      <c r="FT371" s="7">
        <f>ROUND(3000,2)</f>
        <v>3000</v>
      </c>
      <c r="FU371" s="6"/>
      <c r="FV371" s="6"/>
      <c r="FW371" s="6"/>
      <c r="FX371" s="7">
        <f>ROUND(2439.36,2)</f>
        <v>2439.36</v>
      </c>
      <c r="FY371" s="7">
        <f>ROUND(102992.449999999,2)</f>
        <v>102992.45</v>
      </c>
    </row>
    <row r="372" spans="1:181" x14ac:dyDescent="0.3">
      <c r="A372" s="4" t="s">
        <v>921</v>
      </c>
      <c r="B372" s="5" t="s">
        <v>1029</v>
      </c>
      <c r="C372" s="5" t="s">
        <v>181</v>
      </c>
      <c r="D372" s="5" t="s">
        <v>390</v>
      </c>
      <c r="E372" s="5" t="s">
        <v>0</v>
      </c>
      <c r="F372" s="5" t="s">
        <v>0</v>
      </c>
      <c r="G372" s="5" t="s">
        <v>183</v>
      </c>
      <c r="H372" s="9">
        <v>33.380000000000003</v>
      </c>
      <c r="I372" s="7">
        <f>ROUND(103911.399999999,2)</f>
        <v>103911.4</v>
      </c>
      <c r="J372" s="6"/>
      <c r="K372" s="6"/>
      <c r="L372" s="6"/>
      <c r="M372" s="6"/>
      <c r="N372" s="7">
        <f>ROUND(1150.41999999999,2)</f>
        <v>1150.42</v>
      </c>
      <c r="O372" s="6"/>
      <c r="P372" s="6"/>
      <c r="Q372" s="7">
        <f>ROUND(360.71,2)</f>
        <v>360.71</v>
      </c>
      <c r="R372" s="6"/>
      <c r="S372" s="6"/>
      <c r="T372" s="6"/>
      <c r="U372" s="6"/>
      <c r="V372" s="7">
        <f>ROUND(17.42,2)</f>
        <v>17.420000000000002</v>
      </c>
      <c r="W372" s="7">
        <f>ROUND(16.53,2)</f>
        <v>16.53</v>
      </c>
      <c r="X372" s="7">
        <f>ROUND(1.8,2)</f>
        <v>1.8</v>
      </c>
      <c r="Y372" s="7">
        <f>ROUND(0.87,2)</f>
        <v>0.87</v>
      </c>
      <c r="Z372" s="6"/>
      <c r="AA372" s="6"/>
      <c r="AB372" s="6"/>
      <c r="AC372" s="6"/>
      <c r="AD372" s="6"/>
      <c r="AE372" s="7">
        <f>ROUND(247.27,2)</f>
        <v>247.27</v>
      </c>
      <c r="AF372" s="6"/>
      <c r="AG372" s="7">
        <f>ROUND(124.71,2)</f>
        <v>124.71</v>
      </c>
      <c r="AH372" s="6"/>
      <c r="AI372" s="6"/>
      <c r="AJ372" s="6"/>
      <c r="AK372" s="6"/>
      <c r="AL372" s="6"/>
      <c r="AM372" s="6"/>
      <c r="AN372" s="6"/>
      <c r="AO372" s="6"/>
      <c r="AP372" s="7">
        <f>ROUND(533.259999999999,2)</f>
        <v>533.26</v>
      </c>
      <c r="AQ372" s="6"/>
      <c r="AR372" s="7">
        <f>ROUND(151.58,2)</f>
        <v>151.58000000000001</v>
      </c>
      <c r="AS372" s="6"/>
      <c r="AT372" s="6"/>
      <c r="AU372" s="7">
        <f>ROUND(68,2)</f>
        <v>68</v>
      </c>
      <c r="AV372" s="6"/>
      <c r="AW372" s="7">
        <f>ROUND(32,2)</f>
        <v>32</v>
      </c>
      <c r="AX372" s="6"/>
      <c r="AY372" s="7">
        <f>ROUND(39.5,2)</f>
        <v>39.5</v>
      </c>
      <c r="AZ372" s="7">
        <f>ROUND(0.5,2)</f>
        <v>0.5</v>
      </c>
      <c r="BA372" s="6"/>
      <c r="BB372" s="6"/>
      <c r="BC372" s="6"/>
      <c r="BD372" s="7">
        <f>ROUND(8,2)</f>
        <v>8</v>
      </c>
      <c r="BE372" s="7">
        <f>ROUND(2.67,2)</f>
        <v>2.67</v>
      </c>
      <c r="BF372" s="6"/>
      <c r="BG372" s="6"/>
      <c r="BH372" s="6"/>
      <c r="BI372" s="6"/>
      <c r="BJ372" s="6"/>
      <c r="BK372" s="6"/>
      <c r="BL372" s="6"/>
      <c r="BM372" s="7">
        <f>ROUND(0.33,2)</f>
        <v>0.33</v>
      </c>
      <c r="BN372" s="7">
        <f>ROUND(3,2)</f>
        <v>3</v>
      </c>
      <c r="BO372" s="7">
        <f>ROUND(31.33,2)</f>
        <v>31.33</v>
      </c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7">
        <f>ROUND(2789.9,2)</f>
        <v>2789.9</v>
      </c>
      <c r="CR372" s="6"/>
      <c r="CS372" s="6"/>
      <c r="CT372" s="6"/>
      <c r="CU372" s="6"/>
      <c r="CV372" s="7">
        <f>ROUND(36141.91,2)</f>
        <v>36141.910000000003</v>
      </c>
      <c r="CW372" s="6"/>
      <c r="CX372" s="6"/>
      <c r="CY372" s="7">
        <f>ROUND(16954.39,2)</f>
        <v>16954.39</v>
      </c>
      <c r="CZ372" s="6"/>
      <c r="DA372" s="6"/>
      <c r="DB372" s="6"/>
      <c r="DC372" s="6"/>
      <c r="DD372" s="7">
        <f>ROUND(576.21,2)</f>
        <v>576.21</v>
      </c>
      <c r="DE372" s="7">
        <f>ROUND(805.18,2)</f>
        <v>805.18</v>
      </c>
      <c r="DF372" s="7">
        <f>ROUND(59.4899999999999,2)</f>
        <v>59.49</v>
      </c>
      <c r="DG372" s="7">
        <f>ROUND(43.1299999999999,2)</f>
        <v>43.13</v>
      </c>
      <c r="DH372" s="6"/>
      <c r="DI372" s="6"/>
      <c r="DJ372" s="6"/>
      <c r="DK372" s="6"/>
      <c r="DL372" s="6"/>
      <c r="DM372" s="6"/>
      <c r="DN372" s="7">
        <f>ROUND(7963.26999999999,2)</f>
        <v>7963.27</v>
      </c>
      <c r="DO372" s="6"/>
      <c r="DP372" s="7">
        <f>ROUND(6050.81999999999,2)</f>
        <v>6050.82</v>
      </c>
      <c r="DQ372" s="6"/>
      <c r="DR372" s="6"/>
      <c r="DS372" s="6"/>
      <c r="DT372" s="6"/>
      <c r="DU372" s="6"/>
      <c r="DV372" s="6"/>
      <c r="DW372" s="6"/>
      <c r="DX372" s="6"/>
      <c r="DY372" s="7">
        <f>ROUND(17033.16,2)</f>
        <v>17033.16</v>
      </c>
      <c r="DZ372" s="6"/>
      <c r="EA372" s="7">
        <f>ROUND(7296.64,2)</f>
        <v>7296.64</v>
      </c>
      <c r="EB372" s="6"/>
      <c r="EC372" s="6"/>
      <c r="ED372" s="7">
        <f>ROUND(2118.92,2)</f>
        <v>2118.92</v>
      </c>
      <c r="EE372" s="6"/>
      <c r="EF372" s="7">
        <f>ROUND(1037.12,2)</f>
        <v>1037.1199999999999</v>
      </c>
      <c r="EG372" s="6"/>
      <c r="EH372" s="7">
        <f>ROUND(1305.48,2)</f>
        <v>1305.48</v>
      </c>
      <c r="EI372" s="7">
        <f>ROUND(24.79,2)</f>
        <v>24.79</v>
      </c>
      <c r="EJ372" s="6"/>
      <c r="EK372" s="6"/>
      <c r="EL372" s="6"/>
      <c r="EM372" s="6"/>
      <c r="EN372" s="7">
        <f>ROUND(243.92,2)</f>
        <v>243.92</v>
      </c>
      <c r="EO372" s="7">
        <f>ROUND(88.24,2)</f>
        <v>88.24</v>
      </c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7">
        <f>ROUND(10.96,2)</f>
        <v>10.96</v>
      </c>
      <c r="FA372" s="7">
        <f>ROUND(149.4,2)</f>
        <v>149.4</v>
      </c>
      <c r="FB372" s="7">
        <f>ROUND(1008.36999999999,2)</f>
        <v>1008.37</v>
      </c>
      <c r="FC372" s="6"/>
      <c r="FD372" s="6"/>
      <c r="FE372" s="6"/>
      <c r="FF372" s="6"/>
      <c r="FG372" s="6"/>
      <c r="FH372" s="6"/>
      <c r="FI372" s="6"/>
      <c r="FJ372" s="7">
        <f>ROUND(2000,2)</f>
        <v>2000</v>
      </c>
      <c r="FK372" s="6"/>
      <c r="FL372" s="6"/>
      <c r="FM372" s="6"/>
      <c r="FN372" s="6"/>
      <c r="FO372" s="6"/>
      <c r="FP372" s="6"/>
      <c r="FQ372" s="6"/>
      <c r="FR372" s="6"/>
      <c r="FS372" s="6"/>
      <c r="FT372" s="7">
        <f>ROUND(3000,2)</f>
        <v>3000</v>
      </c>
      <c r="FU372" s="6"/>
      <c r="FV372" s="6"/>
      <c r="FW372" s="6"/>
      <c r="FX372" s="6"/>
      <c r="FY372" s="7">
        <f>ROUND(103911.399999999,2)</f>
        <v>103911.4</v>
      </c>
    </row>
    <row r="373" spans="1:181" x14ac:dyDescent="0.3">
      <c r="A373" s="4" t="s">
        <v>922</v>
      </c>
      <c r="B373" s="5" t="s">
        <v>1029</v>
      </c>
      <c r="C373" s="5" t="s">
        <v>181</v>
      </c>
      <c r="D373" s="5" t="s">
        <v>196</v>
      </c>
      <c r="E373" s="5" t="s">
        <v>0</v>
      </c>
      <c r="F373" s="5" t="s">
        <v>0</v>
      </c>
      <c r="G373" s="5" t="s">
        <v>183</v>
      </c>
      <c r="H373" s="8">
        <v>33.380000000000003</v>
      </c>
      <c r="I373" s="7">
        <f>ROUND(101720.229999999,2)</f>
        <v>101720.23</v>
      </c>
      <c r="J373" s="6"/>
      <c r="K373" s="6"/>
      <c r="L373" s="6"/>
      <c r="M373" s="6"/>
      <c r="N373" s="7">
        <f>ROUND(891.45,2)</f>
        <v>891.45</v>
      </c>
      <c r="O373" s="6"/>
      <c r="P373" s="6"/>
      <c r="Q373" s="7">
        <f>ROUND(247.549999999999,2)</f>
        <v>247.55</v>
      </c>
      <c r="R373" s="6"/>
      <c r="S373" s="6"/>
      <c r="T373" s="6"/>
      <c r="U373" s="6"/>
      <c r="V373" s="7">
        <f>ROUND(6.75,2)</f>
        <v>6.75</v>
      </c>
      <c r="W373" s="7">
        <f>ROUND(40.5,2)</f>
        <v>40.5</v>
      </c>
      <c r="X373" s="7">
        <f>ROUND(0.42,2)</f>
        <v>0.42</v>
      </c>
      <c r="Y373" s="6"/>
      <c r="Z373" s="7">
        <f>ROUND(0.17,2)</f>
        <v>0.17</v>
      </c>
      <c r="AA373" s="6"/>
      <c r="AB373" s="6"/>
      <c r="AC373" s="6"/>
      <c r="AD373" s="6"/>
      <c r="AE373" s="7">
        <f>ROUND(269.119999999999,2)</f>
        <v>269.12</v>
      </c>
      <c r="AF373" s="6"/>
      <c r="AG373" s="7">
        <f>ROUND(91.11,2)</f>
        <v>91.11</v>
      </c>
      <c r="AH373" s="6"/>
      <c r="AI373" s="6"/>
      <c r="AJ373" s="6"/>
      <c r="AK373" s="6"/>
      <c r="AL373" s="6"/>
      <c r="AM373" s="6"/>
      <c r="AN373" s="6"/>
      <c r="AO373" s="6"/>
      <c r="AP373" s="7">
        <f>ROUND(612.61,2)</f>
        <v>612.61</v>
      </c>
      <c r="AQ373" s="6"/>
      <c r="AR373" s="7">
        <f>ROUND(175.34,2)</f>
        <v>175.34</v>
      </c>
      <c r="AS373" s="6"/>
      <c r="AT373" s="6"/>
      <c r="AU373" s="7">
        <f>ROUND(76,2)</f>
        <v>76</v>
      </c>
      <c r="AV373" s="6"/>
      <c r="AW373" s="7">
        <f>ROUND(44,2)</f>
        <v>44</v>
      </c>
      <c r="AX373" s="6"/>
      <c r="AY373" s="7">
        <f>ROUND(72.23,2)</f>
        <v>72.23</v>
      </c>
      <c r="AZ373" s="7">
        <f>ROUND(1.77,2)</f>
        <v>1.77</v>
      </c>
      <c r="BA373" s="6"/>
      <c r="BB373" s="6"/>
      <c r="BC373" s="6"/>
      <c r="BD373" s="7">
        <f>ROUND(8,2)</f>
        <v>8</v>
      </c>
      <c r="BE373" s="7">
        <f>ROUND(1.42,2)</f>
        <v>1.42</v>
      </c>
      <c r="BF373" s="6"/>
      <c r="BG373" s="6"/>
      <c r="BH373" s="6"/>
      <c r="BI373" s="6"/>
      <c r="BJ373" s="6"/>
      <c r="BK373" s="6"/>
      <c r="BL373" s="6"/>
      <c r="BM373" s="6"/>
      <c r="BN373" s="6"/>
      <c r="BO373" s="7">
        <f>ROUND(110.76,2)</f>
        <v>110.76</v>
      </c>
      <c r="BP373" s="7">
        <f>ROUND(3.9,2)</f>
        <v>3.9</v>
      </c>
      <c r="BQ373" s="7">
        <f>ROUND(39.67,2)</f>
        <v>39.67</v>
      </c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7">
        <f>ROUND(8,2)</f>
        <v>8</v>
      </c>
      <c r="CQ373" s="7">
        <f>ROUND(2700.77,2)</f>
        <v>2700.77</v>
      </c>
      <c r="CR373" s="6"/>
      <c r="CS373" s="6"/>
      <c r="CT373" s="6"/>
      <c r="CU373" s="6"/>
      <c r="CV373" s="7">
        <f>ROUND(29054.68,2)</f>
        <v>29054.68</v>
      </c>
      <c r="CW373" s="6"/>
      <c r="CX373" s="6"/>
      <c r="CY373" s="7">
        <f>ROUND(12108.76,2)</f>
        <v>12108.76</v>
      </c>
      <c r="CZ373" s="6"/>
      <c r="DA373" s="6"/>
      <c r="DB373" s="6"/>
      <c r="DC373" s="6"/>
      <c r="DD373" s="7">
        <f>ROUND(227.02,2)</f>
        <v>227.02</v>
      </c>
      <c r="DE373" s="7">
        <f>ROUND(1967.55,2)</f>
        <v>1967.55</v>
      </c>
      <c r="DF373" s="7">
        <f>ROUND(13.94,2)</f>
        <v>13.94</v>
      </c>
      <c r="DG373" s="6"/>
      <c r="DH373" s="7">
        <f>ROUND(11.24,2)</f>
        <v>11.24</v>
      </c>
      <c r="DI373" s="6"/>
      <c r="DJ373" s="6"/>
      <c r="DK373" s="6"/>
      <c r="DL373" s="6"/>
      <c r="DM373" s="6"/>
      <c r="DN373" s="7">
        <f>ROUND(8776,2)</f>
        <v>8776</v>
      </c>
      <c r="DO373" s="6"/>
      <c r="DP373" s="7">
        <f>ROUND(4431.37999999999,2)</f>
        <v>4431.38</v>
      </c>
      <c r="DQ373" s="6"/>
      <c r="DR373" s="6"/>
      <c r="DS373" s="6"/>
      <c r="DT373" s="6"/>
      <c r="DU373" s="6"/>
      <c r="DV373" s="6"/>
      <c r="DW373" s="6"/>
      <c r="DX373" s="6"/>
      <c r="DY373" s="7">
        <f>ROUND(19964.41,2)</f>
        <v>19964.41</v>
      </c>
      <c r="DZ373" s="6"/>
      <c r="EA373" s="7">
        <f>ROUND(8624.43,2)</f>
        <v>8624.43</v>
      </c>
      <c r="EB373" s="6"/>
      <c r="EC373" s="6"/>
      <c r="ED373" s="7">
        <f>ROUND(2474.12,2)</f>
        <v>2474.12</v>
      </c>
      <c r="EE373" s="6"/>
      <c r="EF373" s="7">
        <f>ROUND(1447.9,2)</f>
        <v>1447.9</v>
      </c>
      <c r="EG373" s="6"/>
      <c r="EH373" s="7">
        <f>ROUND(2371.62,2)</f>
        <v>2371.62</v>
      </c>
      <c r="EI373" s="7">
        <f>ROUND(85.2,2)</f>
        <v>85.2</v>
      </c>
      <c r="EJ373" s="6"/>
      <c r="EK373" s="6"/>
      <c r="EL373" s="6"/>
      <c r="EM373" s="6"/>
      <c r="EN373" s="7">
        <f>ROUND(256.72,2)</f>
        <v>256.72000000000003</v>
      </c>
      <c r="EO373" s="7">
        <f>ROUND(68.35,2)</f>
        <v>68.349999999999994</v>
      </c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7">
        <f>ROUND(3618.60999999999,2)</f>
        <v>3618.61</v>
      </c>
      <c r="FC373" s="7">
        <f>ROUND(191.3,2)</f>
        <v>191.3</v>
      </c>
      <c r="FD373" s="7">
        <f>ROUND(1309.96,2)</f>
        <v>1309.96</v>
      </c>
      <c r="FE373" s="6"/>
      <c r="FF373" s="6"/>
      <c r="FG373" s="6"/>
      <c r="FH373" s="6"/>
      <c r="FI373" s="6"/>
      <c r="FJ373" s="7">
        <f>ROUND(1450,2)</f>
        <v>1450</v>
      </c>
      <c r="FK373" s="6"/>
      <c r="FL373" s="6"/>
      <c r="FM373" s="6"/>
      <c r="FN373" s="6"/>
      <c r="FO373" s="6"/>
      <c r="FP373" s="6"/>
      <c r="FQ373" s="6"/>
      <c r="FR373" s="6"/>
      <c r="FS373" s="6"/>
      <c r="FT373" s="7">
        <f>ROUND(3000,2)</f>
        <v>3000</v>
      </c>
      <c r="FU373" s="6"/>
      <c r="FV373" s="6"/>
      <c r="FW373" s="6"/>
      <c r="FX373" s="7">
        <f>ROUND(267.04,2)</f>
        <v>267.04000000000002</v>
      </c>
      <c r="FY373" s="7">
        <f>ROUND(101720.229999999,2)</f>
        <v>101720.23</v>
      </c>
    </row>
    <row r="374" spans="1:181" x14ac:dyDescent="0.3">
      <c r="A374" s="4" t="s">
        <v>923</v>
      </c>
      <c r="B374" s="5" t="s">
        <v>1029</v>
      </c>
      <c r="C374" s="5" t="s">
        <v>181</v>
      </c>
      <c r="D374" s="5" t="s">
        <v>400</v>
      </c>
      <c r="E374" s="5" t="s">
        <v>0</v>
      </c>
      <c r="F374" s="5" t="s">
        <v>0</v>
      </c>
      <c r="G374" s="5" t="s">
        <v>183</v>
      </c>
      <c r="H374" s="8">
        <v>33.880000000000003</v>
      </c>
      <c r="I374" s="7">
        <f>ROUND(93356.33,2)</f>
        <v>93356.33</v>
      </c>
      <c r="J374" s="6"/>
      <c r="K374" s="6"/>
      <c r="L374" s="6"/>
      <c r="M374" s="6"/>
      <c r="N374" s="7">
        <f>ROUND(1852.32999999999,2)</f>
        <v>1852.33</v>
      </c>
      <c r="O374" s="6"/>
      <c r="P374" s="6"/>
      <c r="Q374" s="7">
        <f>ROUND(302.44,2)</f>
        <v>302.44</v>
      </c>
      <c r="R374" s="6"/>
      <c r="S374" s="6"/>
      <c r="T374" s="6"/>
      <c r="U374" s="6"/>
      <c r="V374" s="6"/>
      <c r="W374" s="7">
        <f>ROUND(27.55,2)</f>
        <v>27.55</v>
      </c>
      <c r="X374" s="7">
        <f>ROUND(0.17,2)</f>
        <v>0.17</v>
      </c>
      <c r="Y374" s="7">
        <f>ROUND(0.92,2)</f>
        <v>0.92</v>
      </c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7">
        <f>ROUND(33.08,2)</f>
        <v>33.08</v>
      </c>
      <c r="AS374" s="6"/>
      <c r="AT374" s="6"/>
      <c r="AU374" s="7">
        <f>ROUND(65.33,2)</f>
        <v>65.33</v>
      </c>
      <c r="AV374" s="7">
        <f>ROUND(2.67,2)</f>
        <v>2.67</v>
      </c>
      <c r="AW374" s="7">
        <f>ROUND(24,2)</f>
        <v>24</v>
      </c>
      <c r="AX374" s="7">
        <f>ROUND(8,2)</f>
        <v>8</v>
      </c>
      <c r="AY374" s="7">
        <f>ROUND(163.41,2)</f>
        <v>163.41</v>
      </c>
      <c r="AZ374" s="7">
        <f>ROUND(12.59,2)</f>
        <v>12.59</v>
      </c>
      <c r="BA374" s="6"/>
      <c r="BB374" s="7">
        <f>ROUND(24,2)</f>
        <v>24</v>
      </c>
      <c r="BC374" s="6"/>
      <c r="BD374" s="7">
        <f>ROUND(8,2)</f>
        <v>8</v>
      </c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7">
        <f>ROUND(8.75,2)</f>
        <v>8.75</v>
      </c>
      <c r="BQ374" s="6"/>
      <c r="BR374" s="6"/>
      <c r="BS374" s="6"/>
      <c r="BT374" s="7">
        <f>ROUND(6.75,2)</f>
        <v>6.75</v>
      </c>
      <c r="BU374" s="7">
        <f>ROUND(8,2)</f>
        <v>8</v>
      </c>
      <c r="BV374" s="6"/>
      <c r="BW374" s="6"/>
      <c r="BX374" s="6"/>
      <c r="BY374" s="7">
        <f>ROUND(8,2)</f>
        <v>8</v>
      </c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7">
        <f>ROUND(2555.98999999999,2)</f>
        <v>2555.9899999999998</v>
      </c>
      <c r="CR374" s="6"/>
      <c r="CS374" s="6"/>
      <c r="CT374" s="6"/>
      <c r="CU374" s="6"/>
      <c r="CV374" s="7">
        <f>ROUND(60463.8499999999,2)</f>
        <v>60463.85</v>
      </c>
      <c r="CW374" s="6"/>
      <c r="CX374" s="6"/>
      <c r="CY374" s="7">
        <f>ROUND(14789.49,2)</f>
        <v>14789.49</v>
      </c>
      <c r="CZ374" s="6"/>
      <c r="DA374" s="6"/>
      <c r="DB374" s="6"/>
      <c r="DC374" s="6"/>
      <c r="DD374" s="6"/>
      <c r="DE374" s="7">
        <f>ROUND(1360.29,2)</f>
        <v>1360.29</v>
      </c>
      <c r="DF374" s="7">
        <f>ROUND(5.62,2)</f>
        <v>5.62</v>
      </c>
      <c r="DG374" s="7">
        <f>ROUND(45.61,2)</f>
        <v>45.61</v>
      </c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7">
        <f>ROUND(1614.01999999999,2)</f>
        <v>1614.02</v>
      </c>
      <c r="EB374" s="6"/>
      <c r="EC374" s="6"/>
      <c r="ED374" s="7">
        <f>ROUND(2131.24,2)</f>
        <v>2131.2399999999998</v>
      </c>
      <c r="EE374" s="7">
        <f>ROUND(132.38,2)</f>
        <v>132.38</v>
      </c>
      <c r="EF374" s="7">
        <f>ROUND(777.84,2)</f>
        <v>777.84</v>
      </c>
      <c r="EG374" s="7">
        <f>ROUND(396.6,2)</f>
        <v>396.6</v>
      </c>
      <c r="EH374" s="7">
        <f>ROUND(5308.78999999999,2)</f>
        <v>5308.79</v>
      </c>
      <c r="EI374" s="7">
        <f>ROUND(612.26,2)</f>
        <v>612.26</v>
      </c>
      <c r="EJ374" s="6"/>
      <c r="EK374" s="7">
        <f>ROUND(777.84,2)</f>
        <v>777.84</v>
      </c>
      <c r="EL374" s="6"/>
      <c r="EM374" s="6"/>
      <c r="EN374" s="7">
        <f>ROUND(256.72,2)</f>
        <v>256.72000000000003</v>
      </c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7">
        <f>ROUND(433.78,2)</f>
        <v>433.78</v>
      </c>
      <c r="FD374" s="6"/>
      <c r="FE374" s="6"/>
      <c r="FF374" s="6"/>
      <c r="FG374" s="6"/>
      <c r="FH374" s="6"/>
      <c r="FI374" s="6"/>
      <c r="FJ374" s="7">
        <f>ROUND(1250,2)</f>
        <v>1250</v>
      </c>
      <c r="FK374" s="6"/>
      <c r="FL374" s="6"/>
      <c r="FM374" s="6"/>
      <c r="FN374" s="6"/>
      <c r="FO374" s="6"/>
      <c r="FP374" s="6"/>
      <c r="FQ374" s="6"/>
      <c r="FR374" s="6"/>
      <c r="FS374" s="6"/>
      <c r="FT374" s="7">
        <f>ROUND(3000,2)</f>
        <v>3000</v>
      </c>
      <c r="FU374" s="6"/>
      <c r="FV374" s="6"/>
      <c r="FW374" s="6"/>
      <c r="FX374" s="6"/>
      <c r="FY374" s="7">
        <f>ROUND(93356.33,2)</f>
        <v>93356.33</v>
      </c>
    </row>
    <row r="375" spans="1:181" x14ac:dyDescent="0.3">
      <c r="A375" s="4" t="s">
        <v>924</v>
      </c>
      <c r="B375" s="5" t="s">
        <v>1029</v>
      </c>
      <c r="C375" s="5" t="s">
        <v>181</v>
      </c>
      <c r="D375" s="5" t="s">
        <v>925</v>
      </c>
      <c r="E375" s="5" t="s">
        <v>926</v>
      </c>
      <c r="F375" s="5" t="s">
        <v>0</v>
      </c>
      <c r="G375" s="5" t="s">
        <v>183</v>
      </c>
      <c r="H375" s="8">
        <v>32.090000000000003</v>
      </c>
      <c r="I375" s="7">
        <f>ROUND(18633.74,2)</f>
        <v>18633.740000000002</v>
      </c>
      <c r="J375" s="6"/>
      <c r="K375" s="6"/>
      <c r="L375" s="6"/>
      <c r="M375" s="6"/>
      <c r="N375" s="7">
        <f>ROUND(276.23,2)</f>
        <v>276.23</v>
      </c>
      <c r="O375" s="6"/>
      <c r="P375" s="6"/>
      <c r="Q375" s="7">
        <f>ROUND(30.21,2)</f>
        <v>30.21</v>
      </c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7">
        <f>ROUND(16,2)</f>
        <v>16</v>
      </c>
      <c r="AV375" s="6"/>
      <c r="AW375" s="7">
        <f>ROUND(16,2)</f>
        <v>16</v>
      </c>
      <c r="AX375" s="7">
        <f>ROUND(8,2)</f>
        <v>8</v>
      </c>
      <c r="AY375" s="7">
        <f>ROUND(91.77,2)</f>
        <v>91.77</v>
      </c>
      <c r="AZ375" s="7">
        <f>ROUND(4.23,2)</f>
        <v>4.2300000000000004</v>
      </c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7">
        <f>ROUND(104,2)</f>
        <v>104</v>
      </c>
      <c r="CQ375" s="7">
        <f>ROUND(546.439999999999,2)</f>
        <v>546.44000000000005</v>
      </c>
      <c r="CR375" s="6"/>
      <c r="CS375" s="6"/>
      <c r="CT375" s="6"/>
      <c r="CU375" s="6"/>
      <c r="CV375" s="7">
        <f>ROUND(8906.75,2)</f>
        <v>8906.75</v>
      </c>
      <c r="CW375" s="6"/>
      <c r="CX375" s="6"/>
      <c r="CY375" s="7">
        <f>ROUND(1454.15999999999,2)</f>
        <v>1454.16</v>
      </c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7">
        <f>ROUND(513.44,2)</f>
        <v>513.44000000000005</v>
      </c>
      <c r="EE375" s="6"/>
      <c r="EF375" s="7">
        <f>ROUND(513.44,2)</f>
        <v>513.44000000000005</v>
      </c>
      <c r="EG375" s="7">
        <f>ROUND(385.08,2)</f>
        <v>385.08</v>
      </c>
      <c r="EH375" s="7">
        <f>ROUND(2944.9,2)</f>
        <v>2944.9</v>
      </c>
      <c r="EI375" s="7">
        <f>ROUND(203.61,2)</f>
        <v>203.61</v>
      </c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7">
        <f>ROUND(375,2)</f>
        <v>375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7">
        <f>ROUND(3337.36,2)</f>
        <v>3337.36</v>
      </c>
      <c r="FY375" s="7">
        <f>ROUND(18633.74,2)</f>
        <v>18633.740000000002</v>
      </c>
    </row>
    <row r="376" spans="1:181" ht="26.4" x14ac:dyDescent="0.3">
      <c r="A376" s="4" t="s">
        <v>927</v>
      </c>
      <c r="B376" s="5"/>
      <c r="C376" s="5" t="s">
        <v>320</v>
      </c>
      <c r="D376" s="5" t="s">
        <v>928</v>
      </c>
      <c r="E376" s="5" t="s">
        <v>929</v>
      </c>
      <c r="F376" s="5" t="s">
        <v>0</v>
      </c>
      <c r="G376" s="5" t="s">
        <v>864</v>
      </c>
      <c r="H376" s="8">
        <f>ROUND(1786.2,2)</f>
        <v>1786.2</v>
      </c>
      <c r="I376" s="7">
        <f>ROUND(79188.2099999999,2)</f>
        <v>79188.210000000006</v>
      </c>
      <c r="J376" s="7">
        <f>ROUND(1272,2)</f>
        <v>1272</v>
      </c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7">
        <f>ROUND(-139,2)</f>
        <v>-139</v>
      </c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7">
        <f>ROUND(240,2)</f>
        <v>240</v>
      </c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7">
        <f>ROUND(8,2)</f>
        <v>8</v>
      </c>
      <c r="BX376" s="6"/>
      <c r="BY376" s="6"/>
      <c r="BZ376" s="6"/>
      <c r="CA376" s="6"/>
      <c r="CB376" s="6"/>
      <c r="CC376" s="6"/>
      <c r="CD376" s="6"/>
      <c r="CE376" s="6"/>
      <c r="CF376" s="7">
        <f>ROUND(40,2)</f>
        <v>40</v>
      </c>
      <c r="CG376" s="7">
        <f>ROUND(28.5,2)</f>
        <v>28.5</v>
      </c>
      <c r="CH376" s="7">
        <f>ROUND(32,2)</f>
        <v>32</v>
      </c>
      <c r="CI376" s="7">
        <f>ROUND(28,2)</f>
        <v>28</v>
      </c>
      <c r="CJ376" s="6"/>
      <c r="CK376" s="6"/>
      <c r="CL376" s="6"/>
      <c r="CM376" s="6"/>
      <c r="CN376" s="7">
        <f>ROUND(88,2)</f>
        <v>88</v>
      </c>
      <c r="CO376" s="6"/>
      <c r="CP376" s="6"/>
      <c r="CQ376" s="7">
        <f>ROUND(1597.5,2)</f>
        <v>1597.5</v>
      </c>
      <c r="CR376" s="7">
        <f>ROUND(77044.7599999999,2)</f>
        <v>77044.759999999995</v>
      </c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7">
        <f>ROUND(-6207.04,2)</f>
        <v>-6207.04</v>
      </c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7">
        <f>ROUND(7859.28,2)</f>
        <v>7859.28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7">
        <f>ROUND(133.97,2)</f>
        <v>133.97</v>
      </c>
      <c r="FN376" s="6"/>
      <c r="FO376" s="6"/>
      <c r="FP376" s="6"/>
      <c r="FQ376" s="6"/>
      <c r="FR376" s="6"/>
      <c r="FS376" s="6"/>
      <c r="FT376" s="6"/>
      <c r="FU376" s="6"/>
      <c r="FV376" s="7">
        <f>ROUND(357.24,2)</f>
        <v>357.24</v>
      </c>
      <c r="FW376" s="6"/>
      <c r="FX376" s="6"/>
      <c r="FY376" s="7">
        <f>ROUND(79188.2099999999,2)</f>
        <v>79188.210000000006</v>
      </c>
    </row>
    <row r="377" spans="1:181" x14ac:dyDescent="0.3">
      <c r="A377" s="4" t="s">
        <v>930</v>
      </c>
      <c r="B377" s="5" t="s">
        <v>1029</v>
      </c>
      <c r="C377" s="5" t="s">
        <v>181</v>
      </c>
      <c r="D377" s="5" t="s">
        <v>931</v>
      </c>
      <c r="E377" s="5" t="s">
        <v>932</v>
      </c>
      <c r="F377" s="5" t="s">
        <v>0</v>
      </c>
      <c r="G377" s="5" t="s">
        <v>183</v>
      </c>
      <c r="H377" s="8">
        <v>32.090000000000003</v>
      </c>
      <c r="I377" s="7">
        <f>ROUND(33567.5099999999,2)</f>
        <v>33567.51</v>
      </c>
      <c r="J377" s="6"/>
      <c r="K377" s="6"/>
      <c r="L377" s="6"/>
      <c r="M377" s="6"/>
      <c r="N377" s="7">
        <f>ROUND(669.01,2)</f>
        <v>669.01</v>
      </c>
      <c r="O377" s="6"/>
      <c r="P377" s="6"/>
      <c r="Q377" s="7">
        <f>ROUND(72.32,2)</f>
        <v>72.319999999999993</v>
      </c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7">
        <f>ROUND(28,2)</f>
        <v>28</v>
      </c>
      <c r="AV377" s="6"/>
      <c r="AW377" s="7">
        <f>ROUND(20.5,2)</f>
        <v>20.5</v>
      </c>
      <c r="AX377" s="7">
        <f>ROUND(3.5,2)</f>
        <v>3.5</v>
      </c>
      <c r="AY377" s="7">
        <f>ROUND(40,2)</f>
        <v>40</v>
      </c>
      <c r="AZ377" s="6"/>
      <c r="BA377" s="6"/>
      <c r="BB377" s="7">
        <f>ROUND(32,2)</f>
        <v>32</v>
      </c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7">
        <f>ROUND(865.329999999999,2)</f>
        <v>865.33</v>
      </c>
      <c r="CR377" s="6"/>
      <c r="CS377" s="6"/>
      <c r="CT377" s="6"/>
      <c r="CU377" s="6"/>
      <c r="CV377" s="7">
        <f>ROUND(21468.54,2)</f>
        <v>21468.54</v>
      </c>
      <c r="CW377" s="6"/>
      <c r="CX377" s="6"/>
      <c r="CY377" s="7">
        <f>ROUND(3481.13,2)</f>
        <v>3481.13</v>
      </c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7">
        <f>ROUND(898.52,2)</f>
        <v>898.52</v>
      </c>
      <c r="EE377" s="6"/>
      <c r="EF377" s="7">
        <f>ROUND(657.85,2)</f>
        <v>657.85</v>
      </c>
      <c r="EG377" s="7">
        <f>ROUND(168.47,2)</f>
        <v>168.47</v>
      </c>
      <c r="EH377" s="7">
        <f>ROUND(1283.6,2)</f>
        <v>1283.5999999999999</v>
      </c>
      <c r="EI377" s="6"/>
      <c r="EJ377" s="6"/>
      <c r="EK377" s="7">
        <f>ROUND(1026.88,2)</f>
        <v>1026.8800000000001</v>
      </c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7">
        <f>ROUND(4582.52,2)</f>
        <v>4582.5200000000004</v>
      </c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7">
        <f>ROUND(33567.5099999999,2)</f>
        <v>33567.51</v>
      </c>
    </row>
    <row r="378" spans="1:181" x14ac:dyDescent="0.3">
      <c r="A378" s="4" t="s">
        <v>933</v>
      </c>
      <c r="B378" s="5" t="s">
        <v>1029</v>
      </c>
      <c r="C378" s="5" t="s">
        <v>181</v>
      </c>
      <c r="D378" s="5" t="s">
        <v>934</v>
      </c>
      <c r="E378" s="5" t="s">
        <v>0</v>
      </c>
      <c r="F378" s="5" t="s">
        <v>0</v>
      </c>
      <c r="G378" s="5" t="s">
        <v>183</v>
      </c>
      <c r="H378" s="8">
        <v>33.880000000000003</v>
      </c>
      <c r="I378" s="7">
        <f>ROUND(95504.17,2)</f>
        <v>95504.17</v>
      </c>
      <c r="J378" s="6"/>
      <c r="K378" s="6"/>
      <c r="L378" s="6"/>
      <c r="M378" s="6"/>
      <c r="N378" s="7">
        <f>ROUND(854.6,2)</f>
        <v>854.6</v>
      </c>
      <c r="O378" s="6"/>
      <c r="P378" s="6"/>
      <c r="Q378" s="7">
        <f>ROUND(160.77,2)</f>
        <v>160.77000000000001</v>
      </c>
      <c r="R378" s="6"/>
      <c r="S378" s="6"/>
      <c r="T378" s="6"/>
      <c r="U378" s="6"/>
      <c r="V378" s="7">
        <f>ROUND(11.32,2)</f>
        <v>11.32</v>
      </c>
      <c r="W378" s="7">
        <f>ROUND(10.05,2)</f>
        <v>10.050000000000001</v>
      </c>
      <c r="X378" s="7">
        <f>ROUND(0.17,2)</f>
        <v>0.17</v>
      </c>
      <c r="Y378" s="7">
        <f>ROUND(0.58,2)</f>
        <v>0.57999999999999996</v>
      </c>
      <c r="Z378" s="7">
        <f>ROUND(0.53,2)</f>
        <v>0.53</v>
      </c>
      <c r="AA378" s="6"/>
      <c r="AB378" s="6"/>
      <c r="AC378" s="6"/>
      <c r="AD378" s="6"/>
      <c r="AE378" s="7">
        <f>ROUND(634.46,2)</f>
        <v>634.46</v>
      </c>
      <c r="AF378" s="6"/>
      <c r="AG378" s="7">
        <f>ROUND(192.88,2)</f>
        <v>192.88</v>
      </c>
      <c r="AH378" s="6"/>
      <c r="AI378" s="6"/>
      <c r="AJ378" s="6"/>
      <c r="AK378" s="6"/>
      <c r="AL378" s="6"/>
      <c r="AM378" s="6"/>
      <c r="AN378" s="6"/>
      <c r="AO378" s="6"/>
      <c r="AP378" s="7">
        <f>ROUND(344.03,2)</f>
        <v>344.03</v>
      </c>
      <c r="AQ378" s="6"/>
      <c r="AR378" s="7">
        <f>ROUND(58.3,2)</f>
        <v>58.3</v>
      </c>
      <c r="AS378" s="6"/>
      <c r="AT378" s="6"/>
      <c r="AU378" s="7">
        <f>ROUND(66,2)</f>
        <v>66</v>
      </c>
      <c r="AV378" s="7">
        <f>ROUND(8,2)</f>
        <v>8</v>
      </c>
      <c r="AW378" s="7">
        <f>ROUND(36,2)</f>
        <v>36</v>
      </c>
      <c r="AX378" s="6"/>
      <c r="AY378" s="7">
        <f>ROUND(100.92,2)</f>
        <v>100.92</v>
      </c>
      <c r="AZ378" s="7">
        <f>ROUND(1.08,2)</f>
        <v>1.08</v>
      </c>
      <c r="BA378" s="6"/>
      <c r="BB378" s="7">
        <f>ROUND(8,2)</f>
        <v>8</v>
      </c>
      <c r="BC378" s="6"/>
      <c r="BD378" s="7">
        <f>ROUND(8,2)</f>
        <v>8</v>
      </c>
      <c r="BE378" s="7">
        <f>ROUND(1.07,2)</f>
        <v>1.07</v>
      </c>
      <c r="BF378" s="6"/>
      <c r="BG378" s="7">
        <f>ROUND(40,2)</f>
        <v>40</v>
      </c>
      <c r="BH378" s="6"/>
      <c r="BI378" s="6"/>
      <c r="BJ378" s="6"/>
      <c r="BK378" s="6"/>
      <c r="BL378" s="6"/>
      <c r="BM378" s="6"/>
      <c r="BN378" s="6"/>
      <c r="BO378" s="7">
        <f>ROUND(10,2)</f>
        <v>10</v>
      </c>
      <c r="BP378" s="6"/>
      <c r="BQ378" s="6"/>
      <c r="BR378" s="6"/>
      <c r="BS378" s="6"/>
      <c r="BT378" s="7">
        <f>ROUND(11.5,2)</f>
        <v>11.5</v>
      </c>
      <c r="BU378" s="6"/>
      <c r="BV378" s="6"/>
      <c r="BW378" s="6"/>
      <c r="BX378" s="6"/>
      <c r="BY378" s="7">
        <f>ROUND(16,2)</f>
        <v>16</v>
      </c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7">
        <f>ROUND(16,2)</f>
        <v>16</v>
      </c>
      <c r="CQ378" s="7">
        <f>ROUND(2590.25999999999,2)</f>
        <v>2590.2600000000002</v>
      </c>
      <c r="CR378" s="6"/>
      <c r="CS378" s="6"/>
      <c r="CT378" s="6"/>
      <c r="CU378" s="6"/>
      <c r="CV378" s="7">
        <f>ROUND(28083.26,2)</f>
        <v>28083.26</v>
      </c>
      <c r="CW378" s="6"/>
      <c r="CX378" s="6"/>
      <c r="CY378" s="7">
        <f>ROUND(7906.4,2)</f>
        <v>7906.4</v>
      </c>
      <c r="CZ378" s="6"/>
      <c r="DA378" s="6"/>
      <c r="DB378" s="6"/>
      <c r="DC378" s="6"/>
      <c r="DD378" s="7">
        <f>ROUND(371.71,2)</f>
        <v>371.71</v>
      </c>
      <c r="DE378" s="7">
        <f>ROUND(500.49,2)</f>
        <v>500.49</v>
      </c>
      <c r="DF378" s="7">
        <f>ROUND(5.62,2)</f>
        <v>5.62</v>
      </c>
      <c r="DG378" s="7">
        <f>ROUND(27.92,2)</f>
        <v>27.92</v>
      </c>
      <c r="DH378" s="7">
        <f>ROUND(34.02,2)</f>
        <v>34.020000000000003</v>
      </c>
      <c r="DI378" s="6"/>
      <c r="DJ378" s="6"/>
      <c r="DK378" s="6"/>
      <c r="DL378" s="6"/>
      <c r="DM378" s="6"/>
      <c r="DN378" s="7">
        <f>ROUND(20411.57,2)</f>
        <v>20411.57</v>
      </c>
      <c r="DO378" s="6"/>
      <c r="DP378" s="7">
        <f>ROUND(9292.22,2)</f>
        <v>9292.2199999999993</v>
      </c>
      <c r="DQ378" s="6"/>
      <c r="DR378" s="6"/>
      <c r="DS378" s="6"/>
      <c r="DT378" s="6"/>
      <c r="DU378" s="6"/>
      <c r="DV378" s="6"/>
      <c r="DW378" s="6"/>
      <c r="DX378" s="6"/>
      <c r="DY378" s="7">
        <f>ROUND(11215.87,2)</f>
        <v>11215.87</v>
      </c>
      <c r="DZ378" s="6"/>
      <c r="EA378" s="7">
        <f>ROUND(2847.13,2)</f>
        <v>2847.13</v>
      </c>
      <c r="EB378" s="6"/>
      <c r="EC378" s="6"/>
      <c r="ED378" s="7">
        <f>ROUND(2143.62,2)</f>
        <v>2143.62</v>
      </c>
      <c r="EE378" s="7">
        <f>ROUND(396.64,2)</f>
        <v>396.64</v>
      </c>
      <c r="EF378" s="7">
        <f>ROUND(1170.6,2)</f>
        <v>1170.5999999999999</v>
      </c>
      <c r="EG378" s="6"/>
      <c r="EH378" s="7">
        <f>ROUND(3307.64,2)</f>
        <v>3307.64</v>
      </c>
      <c r="EI378" s="7">
        <f>ROUND(51.99,2)</f>
        <v>51.99</v>
      </c>
      <c r="EJ378" s="6"/>
      <c r="EK378" s="7">
        <f>ROUND(256.72,2)</f>
        <v>256.72000000000003</v>
      </c>
      <c r="EL378" s="6"/>
      <c r="EM378" s="6"/>
      <c r="EN378" s="7">
        <f>ROUND(256.72,2)</f>
        <v>256.72000000000003</v>
      </c>
      <c r="EO378" s="7">
        <f>ROUND(53.05,2)</f>
        <v>53.05</v>
      </c>
      <c r="EP378" s="6"/>
      <c r="EQ378" s="7">
        <f>ROUND(1322,2)</f>
        <v>1322</v>
      </c>
      <c r="ER378" s="7">
        <f>ROUND(344,2)</f>
        <v>344</v>
      </c>
      <c r="ES378" s="6"/>
      <c r="ET378" s="6"/>
      <c r="EU378" s="6"/>
      <c r="EV378" s="7">
        <f>ROUND(500,2)</f>
        <v>500</v>
      </c>
      <c r="EW378" s="6"/>
      <c r="EX378" s="6"/>
      <c r="EY378" s="6"/>
      <c r="EZ378" s="6"/>
      <c r="FA378" s="6"/>
      <c r="FB378" s="7">
        <f>ROUND(320.9,2)</f>
        <v>320.89999999999998</v>
      </c>
      <c r="FC378" s="6"/>
      <c r="FD378" s="6"/>
      <c r="FE378" s="6"/>
      <c r="FF378" s="6"/>
      <c r="FG378" s="6"/>
      <c r="FH378" s="6"/>
      <c r="FI378" s="6"/>
      <c r="FJ378" s="7">
        <f>ROUND(1150,2)</f>
        <v>1150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7">
        <f>ROUND(3000,2)</f>
        <v>3000</v>
      </c>
      <c r="FU378" s="6"/>
      <c r="FV378" s="6"/>
      <c r="FW378" s="6"/>
      <c r="FX378" s="7">
        <f>ROUND(534.08,2)</f>
        <v>534.08000000000004</v>
      </c>
      <c r="FY378" s="7">
        <f>ROUND(95504.17,2)</f>
        <v>95504.17</v>
      </c>
    </row>
    <row r="379" spans="1:181" x14ac:dyDescent="0.3">
      <c r="A379" s="4" t="s">
        <v>935</v>
      </c>
      <c r="B379" s="5" t="s">
        <v>1029</v>
      </c>
      <c r="C379" s="5" t="s">
        <v>181</v>
      </c>
      <c r="D379" s="5" t="s">
        <v>190</v>
      </c>
      <c r="E379" s="5" t="s">
        <v>0</v>
      </c>
      <c r="F379" s="5" t="s">
        <v>0</v>
      </c>
      <c r="G379" s="5" t="s">
        <v>183</v>
      </c>
      <c r="H379" s="8">
        <v>34.04</v>
      </c>
      <c r="I379" s="7">
        <f>ROUND(102701.459999999,2)</f>
        <v>102701.46</v>
      </c>
      <c r="J379" s="6"/>
      <c r="K379" s="6"/>
      <c r="L379" s="6"/>
      <c r="M379" s="6"/>
      <c r="N379" s="7">
        <f>ROUND(588.5,2)</f>
        <v>588.5</v>
      </c>
      <c r="O379" s="6"/>
      <c r="P379" s="6"/>
      <c r="Q379" s="7">
        <f>ROUND(217.42,2)</f>
        <v>217.42</v>
      </c>
      <c r="R379" s="6"/>
      <c r="S379" s="6"/>
      <c r="T379" s="6"/>
      <c r="U379" s="6"/>
      <c r="V379" s="6"/>
      <c r="W379" s="7">
        <f>ROUND(12.95,2)</f>
        <v>12.95</v>
      </c>
      <c r="X379" s="6"/>
      <c r="Y379" s="7">
        <f>ROUND(0.32,2)</f>
        <v>0.32</v>
      </c>
      <c r="Z379" s="6"/>
      <c r="AA379" s="6"/>
      <c r="AB379" s="6"/>
      <c r="AC379" s="6"/>
      <c r="AD379" s="6"/>
      <c r="AE379" s="7">
        <f>ROUND(1320.3,2)</f>
        <v>1320.3</v>
      </c>
      <c r="AF379" s="6"/>
      <c r="AG379" s="7">
        <f>ROUND(230.8,2)</f>
        <v>230.8</v>
      </c>
      <c r="AH379" s="6"/>
      <c r="AI379" s="6"/>
      <c r="AJ379" s="6"/>
      <c r="AK379" s="6"/>
      <c r="AL379" s="6"/>
      <c r="AM379" s="6"/>
      <c r="AN379" s="6"/>
      <c r="AO379" s="6"/>
      <c r="AP379" s="7">
        <f>ROUND(1.75,2)</f>
        <v>1.75</v>
      </c>
      <c r="AQ379" s="6"/>
      <c r="AR379" s="7">
        <f>ROUND(101.4,2)</f>
        <v>101.4</v>
      </c>
      <c r="AS379" s="6"/>
      <c r="AT379" s="6"/>
      <c r="AU379" s="7">
        <f>ROUND(64,2)</f>
        <v>64</v>
      </c>
      <c r="AV379" s="7">
        <f>ROUND(4,2)</f>
        <v>4</v>
      </c>
      <c r="AW379" s="7">
        <f>ROUND(32,2)</f>
        <v>32</v>
      </c>
      <c r="AX379" s="6"/>
      <c r="AY379" s="7">
        <f>ROUND(109.5,2)</f>
        <v>109.5</v>
      </c>
      <c r="AZ379" s="7">
        <f>ROUND(2.5,2)</f>
        <v>2.5</v>
      </c>
      <c r="BA379" s="6"/>
      <c r="BB379" s="7">
        <f>ROUND(40,2)</f>
        <v>40</v>
      </c>
      <c r="BC379" s="6"/>
      <c r="BD379" s="7">
        <f>ROUND(8,2)</f>
        <v>8</v>
      </c>
      <c r="BE379" s="7">
        <f>ROUND(1.95,2)</f>
        <v>1.95</v>
      </c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7">
        <f>ROUND(7.75,2)</f>
        <v>7.75</v>
      </c>
      <c r="BT379" s="7">
        <f>ROUND(0.12,2)</f>
        <v>0.12</v>
      </c>
      <c r="BU379" s="6"/>
      <c r="BV379" s="6"/>
      <c r="BW379" s="7">
        <f>ROUND(8,2)</f>
        <v>8</v>
      </c>
      <c r="BX379" s="6"/>
      <c r="BY379" s="6"/>
      <c r="BZ379" s="6"/>
      <c r="CA379" s="7">
        <f>ROUND(9.33,2)</f>
        <v>9.33</v>
      </c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7">
        <f>ROUND(8,2)</f>
        <v>8</v>
      </c>
      <c r="CQ379" s="7">
        <f>ROUND(2768.59,2)</f>
        <v>2768.59</v>
      </c>
      <c r="CR379" s="6"/>
      <c r="CS379" s="6"/>
      <c r="CT379" s="6"/>
      <c r="CU379" s="6"/>
      <c r="CV379" s="7">
        <f>ROUND(19179.26,2)</f>
        <v>19179.259999999998</v>
      </c>
      <c r="CW379" s="6"/>
      <c r="CX379" s="6"/>
      <c r="CY379" s="7">
        <f>ROUND(10661.46,2)</f>
        <v>10661.46</v>
      </c>
      <c r="CZ379" s="6"/>
      <c r="DA379" s="6"/>
      <c r="DB379" s="6"/>
      <c r="DC379" s="6"/>
      <c r="DD379" s="6"/>
      <c r="DE379" s="7">
        <f>ROUND(633.6,2)</f>
        <v>633.6</v>
      </c>
      <c r="DF379" s="6"/>
      <c r="DG379" s="7">
        <f>ROUND(15.4,2)</f>
        <v>15.4</v>
      </c>
      <c r="DH379" s="6"/>
      <c r="DI379" s="6"/>
      <c r="DJ379" s="6"/>
      <c r="DK379" s="6"/>
      <c r="DL379" s="6"/>
      <c r="DM379" s="6"/>
      <c r="DN379" s="7">
        <f>ROUND(43066.7799999999,2)</f>
        <v>43066.78</v>
      </c>
      <c r="DO379" s="6"/>
      <c r="DP379" s="7">
        <f>ROUND(11307.0399999999,2)</f>
        <v>11307.04</v>
      </c>
      <c r="DQ379" s="6"/>
      <c r="DR379" s="6"/>
      <c r="DS379" s="6"/>
      <c r="DT379" s="6"/>
      <c r="DU379" s="6"/>
      <c r="DV379" s="6"/>
      <c r="DW379" s="6"/>
      <c r="DX379" s="6"/>
      <c r="DY379" s="7">
        <f>ROUND(56.42,2)</f>
        <v>56.42</v>
      </c>
      <c r="DZ379" s="6"/>
      <c r="EA379" s="7">
        <f>ROUND(4956.68,2)</f>
        <v>4956.68</v>
      </c>
      <c r="EB379" s="6"/>
      <c r="EC379" s="6"/>
      <c r="ED379" s="7">
        <f>ROUND(2085.92,2)</f>
        <v>2085.92</v>
      </c>
      <c r="EE379" s="7">
        <f>ROUND(198.32,2)</f>
        <v>198.32</v>
      </c>
      <c r="EF379" s="7">
        <f>ROUND(1026.88,2)</f>
        <v>1026.8800000000001</v>
      </c>
      <c r="EG379" s="6"/>
      <c r="EH379" s="7">
        <f>ROUND(3534.5,2)</f>
        <v>3534.5</v>
      </c>
      <c r="EI379" s="7">
        <f>ROUND(123.94,2)</f>
        <v>123.94</v>
      </c>
      <c r="EJ379" s="6"/>
      <c r="EK379" s="7">
        <f>ROUND(1291.28,2)</f>
        <v>1291.28</v>
      </c>
      <c r="EL379" s="6"/>
      <c r="EM379" s="6"/>
      <c r="EN379" s="7">
        <f>ROUND(256.72,2)</f>
        <v>256.72000000000003</v>
      </c>
      <c r="EO379" s="7">
        <f>ROUND(62.58,2)</f>
        <v>62.58</v>
      </c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7">
        <f>ROUND(975,2)</f>
        <v>975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7">
        <f>ROUND(3000,2)</f>
        <v>3000</v>
      </c>
      <c r="FU379" s="6"/>
      <c r="FV379" s="6"/>
      <c r="FW379" s="6"/>
      <c r="FX379" s="7">
        <f>ROUND(269.68,2)</f>
        <v>269.68</v>
      </c>
      <c r="FY379" s="7">
        <f>ROUND(102701.459999999,2)</f>
        <v>102701.46</v>
      </c>
    </row>
    <row r="380" spans="1:181" x14ac:dyDescent="0.3">
      <c r="A380" s="4" t="s">
        <v>936</v>
      </c>
      <c r="B380" s="5" t="s">
        <v>1029</v>
      </c>
      <c r="C380" s="5" t="s">
        <v>181</v>
      </c>
      <c r="D380" s="5" t="s">
        <v>937</v>
      </c>
      <c r="E380" s="5" t="s">
        <v>0</v>
      </c>
      <c r="F380" s="5" t="s">
        <v>0</v>
      </c>
      <c r="G380" s="5" t="s">
        <v>183</v>
      </c>
      <c r="H380" s="8">
        <v>34.04</v>
      </c>
      <c r="I380" s="7">
        <f>ROUND(76064.6599999999,2)</f>
        <v>76064.66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7">
        <f>ROUND(60,2)</f>
        <v>60</v>
      </c>
      <c r="AV380" s="6"/>
      <c r="AW380" s="7">
        <f>ROUND(32,2)</f>
        <v>32</v>
      </c>
      <c r="AX380" s="6"/>
      <c r="AY380" s="7">
        <f>ROUND(195.5,2)</f>
        <v>195.5</v>
      </c>
      <c r="AZ380" s="7">
        <f>ROUND(12.5,2)</f>
        <v>12.5</v>
      </c>
      <c r="BA380" s="6"/>
      <c r="BB380" s="7">
        <f>ROUND(40,2)</f>
        <v>40</v>
      </c>
      <c r="BC380" s="6"/>
      <c r="BD380" s="7">
        <f>ROUND(8,2)</f>
        <v>8</v>
      </c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7">
        <f>ROUND(1504.1,2)</f>
        <v>1504.1</v>
      </c>
      <c r="BP380" s="7">
        <f>ROUND(252.51,2)</f>
        <v>252.51</v>
      </c>
      <c r="BQ380" s="6"/>
      <c r="BR380" s="6"/>
      <c r="BS380" s="7">
        <f>ROUND(94.33,2)</f>
        <v>94.33</v>
      </c>
      <c r="BT380" s="7">
        <f>ROUND(15.42,2)</f>
        <v>15.42</v>
      </c>
      <c r="BU380" s="6"/>
      <c r="BV380" s="6"/>
      <c r="BW380" s="7">
        <f>ROUND(8,2)</f>
        <v>8</v>
      </c>
      <c r="BX380" s="6"/>
      <c r="BY380" s="6"/>
      <c r="BZ380" s="6"/>
      <c r="CA380" s="7">
        <f>ROUND(24,2)</f>
        <v>24</v>
      </c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7">
        <f>ROUND(2246.36,2)</f>
        <v>2246.36</v>
      </c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7">
        <f>ROUND(1956.36,2)</f>
        <v>1956.36</v>
      </c>
      <c r="EE380" s="6"/>
      <c r="EF380" s="7">
        <f>ROUND(1050.15999999999,2)</f>
        <v>1050.1600000000001</v>
      </c>
      <c r="EG380" s="6"/>
      <c r="EH380" s="7">
        <f>ROUND(6380.26,2)</f>
        <v>6380.26</v>
      </c>
      <c r="EI380" s="7">
        <f>ROUND(614.85,2)</f>
        <v>614.85</v>
      </c>
      <c r="EJ380" s="6"/>
      <c r="EK380" s="7">
        <f>ROUND(1283.6,2)</f>
        <v>1283.5999999999999</v>
      </c>
      <c r="EL380" s="6"/>
      <c r="EM380" s="6"/>
      <c r="EN380" s="7">
        <f>ROUND(256.72,2)</f>
        <v>256.72000000000003</v>
      </c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7">
        <f>ROUND(48898.9499999999,2)</f>
        <v>48898.95</v>
      </c>
      <c r="FC380" s="7">
        <f>ROUND(12298.7599999999,2)</f>
        <v>12298.76</v>
      </c>
      <c r="FD380" s="6"/>
      <c r="FE380" s="6"/>
      <c r="FF380" s="6"/>
      <c r="FG380" s="6"/>
      <c r="FH380" s="6"/>
      <c r="FI380" s="6"/>
      <c r="FJ380" s="7">
        <f>ROUND(325,2)</f>
        <v>325</v>
      </c>
      <c r="FK380" s="6"/>
      <c r="FL380" s="6"/>
      <c r="FM380" s="6"/>
      <c r="FN380" s="6"/>
      <c r="FO380" s="6"/>
      <c r="FP380" s="6"/>
      <c r="FQ380" s="6"/>
      <c r="FR380" s="6"/>
      <c r="FS380" s="6"/>
      <c r="FT380" s="7">
        <f>ROUND(3000,2)</f>
        <v>3000</v>
      </c>
      <c r="FU380" s="6"/>
      <c r="FV380" s="6"/>
      <c r="FW380" s="6"/>
      <c r="FX380" s="6"/>
      <c r="FY380" s="7">
        <f>ROUND(76064.6599999999,2)</f>
        <v>76064.66</v>
      </c>
    </row>
    <row r="381" spans="1:181" x14ac:dyDescent="0.3">
      <c r="A381" s="4" t="s">
        <v>938</v>
      </c>
      <c r="B381" s="5" t="s">
        <v>1029</v>
      </c>
      <c r="C381" s="5" t="s">
        <v>181</v>
      </c>
      <c r="D381" s="5" t="s">
        <v>939</v>
      </c>
      <c r="E381" s="5" t="s">
        <v>0</v>
      </c>
      <c r="F381" s="5" t="s">
        <v>0</v>
      </c>
      <c r="G381" s="5" t="s">
        <v>183</v>
      </c>
      <c r="H381" s="8">
        <v>33.380000000000003</v>
      </c>
      <c r="I381" s="7">
        <f>ROUND(41809.22,2)</f>
        <v>41809.22</v>
      </c>
      <c r="J381" s="6"/>
      <c r="K381" s="6"/>
      <c r="L381" s="6"/>
      <c r="M381" s="6"/>
      <c r="N381" s="7">
        <f>ROUND(1116.53,2)</f>
        <v>1116.53</v>
      </c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7">
        <f>ROUND(40,2)</f>
        <v>40</v>
      </c>
      <c r="AV381" s="6"/>
      <c r="AW381" s="6"/>
      <c r="AX381" s="6"/>
      <c r="AY381" s="7">
        <f>ROUND(25,2)</f>
        <v>25</v>
      </c>
      <c r="AZ381" s="6"/>
      <c r="BA381" s="6"/>
      <c r="BB381" s="7">
        <f>ROUND(20,2)</f>
        <v>20</v>
      </c>
      <c r="BC381" s="6"/>
      <c r="BD381" s="7">
        <f>ROUND(8,2)</f>
        <v>8</v>
      </c>
      <c r="BE381" s="6"/>
      <c r="BF381" s="6"/>
      <c r="BG381" s="7">
        <f>ROUND(16.75,2)</f>
        <v>16.75</v>
      </c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7">
        <f>ROUND(125,2)</f>
        <v>125</v>
      </c>
      <c r="BT381" s="6"/>
      <c r="BU381" s="6"/>
      <c r="BV381" s="6"/>
      <c r="BW381" s="6"/>
      <c r="BX381" s="6"/>
      <c r="BY381" s="7">
        <f>ROUND(5,2)</f>
        <v>5</v>
      </c>
      <c r="BZ381" s="7">
        <f>ROUND(5,2)</f>
        <v>5</v>
      </c>
      <c r="CA381" s="7">
        <f>ROUND(75,2)</f>
        <v>75</v>
      </c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7">
        <f>ROUND(5,2)</f>
        <v>5</v>
      </c>
      <c r="CQ381" s="7">
        <f>ROUND(1441.28,2)</f>
        <v>1441.28</v>
      </c>
      <c r="CR381" s="6"/>
      <c r="CS381" s="6"/>
      <c r="CT381" s="6"/>
      <c r="CU381" s="6"/>
      <c r="CV381" s="7">
        <f>ROUND(36444.79,2)</f>
        <v>36444.79</v>
      </c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7">
        <f>ROUND(1304.45,2)</f>
        <v>1304.45</v>
      </c>
      <c r="EE381" s="6"/>
      <c r="EF381" s="6"/>
      <c r="EG381" s="6"/>
      <c r="EH381" s="7">
        <f>ROUND(807.05,2)</f>
        <v>807.05</v>
      </c>
      <c r="EI381" s="6"/>
      <c r="EJ381" s="6"/>
      <c r="EK381" s="7">
        <f>ROUND(641.8,2)</f>
        <v>641.79999999999995</v>
      </c>
      <c r="EL381" s="6"/>
      <c r="EM381" s="6"/>
      <c r="EN381" s="7">
        <f>ROUND(256.72,2)</f>
        <v>256.72000000000003</v>
      </c>
      <c r="EO381" s="6"/>
      <c r="EP381" s="6"/>
      <c r="EQ381" s="7">
        <f>ROUND(537.51,2)</f>
        <v>537.51</v>
      </c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7">
        <f>ROUND(150,2)</f>
        <v>150</v>
      </c>
      <c r="FK381" s="6"/>
      <c r="FL381" s="6"/>
      <c r="FM381" s="6"/>
      <c r="FN381" s="6"/>
      <c r="FO381" s="6"/>
      <c r="FP381" s="6"/>
      <c r="FQ381" s="6"/>
      <c r="FR381" s="6"/>
      <c r="FS381" s="6"/>
      <c r="FT381" s="7">
        <f>ROUND(1500,2)</f>
        <v>1500</v>
      </c>
      <c r="FU381" s="6"/>
      <c r="FV381" s="6"/>
      <c r="FW381" s="6"/>
      <c r="FX381" s="7">
        <f>ROUND(166.9,2)</f>
        <v>166.9</v>
      </c>
      <c r="FY381" s="7">
        <f>ROUND(41809.22,2)</f>
        <v>41809.22</v>
      </c>
    </row>
    <row r="382" spans="1:181" x14ac:dyDescent="0.3">
      <c r="A382" s="4" t="s">
        <v>940</v>
      </c>
      <c r="B382" s="5" t="s">
        <v>1029</v>
      </c>
      <c r="C382" s="5" t="s">
        <v>181</v>
      </c>
      <c r="D382" s="5" t="s">
        <v>309</v>
      </c>
      <c r="E382" s="5" t="s">
        <v>0</v>
      </c>
      <c r="F382" s="5" t="s">
        <v>0</v>
      </c>
      <c r="G382" s="5" t="s">
        <v>183</v>
      </c>
      <c r="H382" s="8">
        <v>33.380000000000003</v>
      </c>
      <c r="I382" s="7">
        <f>ROUND(113956.239999999,2)</f>
        <v>113956.24</v>
      </c>
      <c r="J382" s="6"/>
      <c r="K382" s="6"/>
      <c r="L382" s="6"/>
      <c r="M382" s="6"/>
      <c r="N382" s="7">
        <f>ROUND(1701.97,2)</f>
        <v>1701.97</v>
      </c>
      <c r="O382" s="6"/>
      <c r="P382" s="6"/>
      <c r="Q382" s="7">
        <f>ROUND(734.779999999999,2)</f>
        <v>734.78</v>
      </c>
      <c r="R382" s="6"/>
      <c r="S382" s="6"/>
      <c r="T382" s="6"/>
      <c r="U382" s="6"/>
      <c r="V382" s="7">
        <f>ROUND(7.36,2)</f>
        <v>7.36</v>
      </c>
      <c r="W382" s="7">
        <f>ROUND(12.97,2)</f>
        <v>12.97</v>
      </c>
      <c r="X382" s="7">
        <f>ROUND(0.42,2)</f>
        <v>0.42</v>
      </c>
      <c r="Y382" s="7">
        <f>ROUND(0.33,2)</f>
        <v>0.33</v>
      </c>
      <c r="Z382" s="6"/>
      <c r="AA382" s="6"/>
      <c r="AB382" s="6"/>
      <c r="AC382" s="6"/>
      <c r="AD382" s="6"/>
      <c r="AE382" s="7">
        <f>ROUND(95.1,2)</f>
        <v>95.1</v>
      </c>
      <c r="AF382" s="6"/>
      <c r="AG382" s="7">
        <f>ROUND(10.4,2)</f>
        <v>10.4</v>
      </c>
      <c r="AH382" s="6"/>
      <c r="AI382" s="6"/>
      <c r="AJ382" s="6"/>
      <c r="AK382" s="6"/>
      <c r="AL382" s="6"/>
      <c r="AM382" s="6"/>
      <c r="AN382" s="6"/>
      <c r="AO382" s="6"/>
      <c r="AP382" s="7">
        <f>ROUND(147.21,2)</f>
        <v>147.21</v>
      </c>
      <c r="AQ382" s="6"/>
      <c r="AR382" s="7">
        <f>ROUND(5.61,2)</f>
        <v>5.61</v>
      </c>
      <c r="AS382" s="6"/>
      <c r="AT382" s="6"/>
      <c r="AU382" s="7">
        <f>ROUND(69.38,2)</f>
        <v>69.38</v>
      </c>
      <c r="AV382" s="7">
        <f>ROUND(2.62,2)</f>
        <v>2.62</v>
      </c>
      <c r="AW382" s="7">
        <f>ROUND(16,2)</f>
        <v>16</v>
      </c>
      <c r="AX382" s="6"/>
      <c r="AY382" s="7">
        <f>ROUND(48,2)</f>
        <v>48</v>
      </c>
      <c r="AZ382" s="7">
        <f>ROUND(8,2)</f>
        <v>8</v>
      </c>
      <c r="BA382" s="6"/>
      <c r="BB382" s="6"/>
      <c r="BC382" s="6"/>
      <c r="BD382" s="7">
        <f>ROUND(5.55,2)</f>
        <v>5.55</v>
      </c>
      <c r="BE382" s="7">
        <f>ROUND(1,2)</f>
        <v>1</v>
      </c>
      <c r="BF382" s="7">
        <f>ROUND(2.45,2)</f>
        <v>2.4500000000000002</v>
      </c>
      <c r="BG382" s="6"/>
      <c r="BH382" s="6"/>
      <c r="BI382" s="6"/>
      <c r="BJ382" s="6"/>
      <c r="BK382" s="6"/>
      <c r="BL382" s="6"/>
      <c r="BM382" s="6"/>
      <c r="BN382" s="6"/>
      <c r="BO382" s="7">
        <f>ROUND(33,2)</f>
        <v>33</v>
      </c>
      <c r="BP382" s="6"/>
      <c r="BQ382" s="7">
        <f>ROUND(8,2)</f>
        <v>8</v>
      </c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7">
        <f>ROUND(1.85,2)</f>
        <v>1.85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7">
        <f>ROUND(24,2)</f>
        <v>24</v>
      </c>
      <c r="CQ382" s="7">
        <f>ROUND(2936,2)</f>
        <v>2936</v>
      </c>
      <c r="CR382" s="6"/>
      <c r="CS382" s="6"/>
      <c r="CT382" s="6"/>
      <c r="CU382" s="6"/>
      <c r="CV382" s="7">
        <f>ROUND(55580.3999999999,2)</f>
        <v>55580.4</v>
      </c>
      <c r="CW382" s="6"/>
      <c r="CX382" s="6"/>
      <c r="CY382" s="7">
        <f>ROUND(35963.02,2)</f>
        <v>35963.019999999997</v>
      </c>
      <c r="CZ382" s="6"/>
      <c r="DA382" s="6"/>
      <c r="DB382" s="6"/>
      <c r="DC382" s="6"/>
      <c r="DD382" s="7">
        <f>ROUND(245.6,2)</f>
        <v>245.6</v>
      </c>
      <c r="DE382" s="7">
        <f>ROUND(635.14,2)</f>
        <v>635.14</v>
      </c>
      <c r="DF382" s="7">
        <f>ROUND(14.02,2)</f>
        <v>14.02</v>
      </c>
      <c r="DG382" s="7">
        <f>ROUND(16.52,2)</f>
        <v>16.52</v>
      </c>
      <c r="DH382" s="6"/>
      <c r="DI382" s="6"/>
      <c r="DJ382" s="6"/>
      <c r="DK382" s="6"/>
      <c r="DL382" s="6"/>
      <c r="DM382" s="6"/>
      <c r="DN382" s="7">
        <f>ROUND(3128.51999999999,2)</f>
        <v>3128.52</v>
      </c>
      <c r="DO382" s="6"/>
      <c r="DP382" s="7">
        <f>ROUND(515.829999999999,2)</f>
        <v>515.83000000000004</v>
      </c>
      <c r="DQ382" s="6"/>
      <c r="DR382" s="6"/>
      <c r="DS382" s="6"/>
      <c r="DT382" s="6"/>
      <c r="DU382" s="6"/>
      <c r="DV382" s="6"/>
      <c r="DW382" s="6"/>
      <c r="DX382" s="6"/>
      <c r="DY382" s="7">
        <f>ROUND(4766.1,2)</f>
        <v>4766.1000000000004</v>
      </c>
      <c r="DZ382" s="6"/>
      <c r="EA382" s="7">
        <f>ROUND(273.55,2)</f>
        <v>273.55</v>
      </c>
      <c r="EB382" s="6"/>
      <c r="EC382" s="6"/>
      <c r="ED382" s="7">
        <f>ROUND(2257.25,2)</f>
        <v>2257.25</v>
      </c>
      <c r="EE382" s="7">
        <f>ROUND(129.9,2)</f>
        <v>129.9</v>
      </c>
      <c r="EF382" s="7">
        <f>ROUND(521.12,2)</f>
        <v>521.12</v>
      </c>
      <c r="EG382" s="6"/>
      <c r="EH382" s="7">
        <f>ROUND(1540.32,2)</f>
        <v>1540.32</v>
      </c>
      <c r="EI382" s="7">
        <f>ROUND(385.08,2)</f>
        <v>385.08</v>
      </c>
      <c r="EJ382" s="6"/>
      <c r="EK382" s="6"/>
      <c r="EL382" s="6"/>
      <c r="EM382" s="6"/>
      <c r="EN382" s="7">
        <f>ROUND(178.1,2)</f>
        <v>178.1</v>
      </c>
      <c r="EO382" s="7">
        <f>ROUND(49.58,2)</f>
        <v>49.58</v>
      </c>
      <c r="EP382" s="7">
        <f>ROUND(117.93,2)</f>
        <v>117.93</v>
      </c>
      <c r="EQ382" s="6"/>
      <c r="ER382" s="6"/>
      <c r="ES382" s="6"/>
      <c r="ET382" s="6"/>
      <c r="EU382" s="6"/>
      <c r="EV382" s="7">
        <f>ROUND(500,2)</f>
        <v>500</v>
      </c>
      <c r="EW382" s="6"/>
      <c r="EX382" s="6"/>
      <c r="EY382" s="6"/>
      <c r="EZ382" s="6"/>
      <c r="FA382" s="6"/>
      <c r="FB382" s="7">
        <f>ROUND(1080.42,2)</f>
        <v>1080.42</v>
      </c>
      <c r="FC382" s="6"/>
      <c r="FD382" s="7">
        <f>ROUND(256.72,2)</f>
        <v>256.72000000000003</v>
      </c>
      <c r="FE382" s="6"/>
      <c r="FF382" s="6"/>
      <c r="FG382" s="6"/>
      <c r="FH382" s="6"/>
      <c r="FI382" s="6"/>
      <c r="FJ382" s="7">
        <f>ROUND(2000,2)</f>
        <v>2000</v>
      </c>
      <c r="FK382" s="6"/>
      <c r="FL382" s="6"/>
      <c r="FM382" s="6"/>
      <c r="FN382" s="6"/>
      <c r="FO382" s="6"/>
      <c r="FP382" s="6"/>
      <c r="FQ382" s="6"/>
      <c r="FR382" s="6"/>
      <c r="FS382" s="6"/>
      <c r="FT382" s="7">
        <f>ROUND(3000,2)</f>
        <v>3000</v>
      </c>
      <c r="FU382" s="6"/>
      <c r="FV382" s="6"/>
      <c r="FW382" s="6"/>
      <c r="FX382" s="7">
        <f>ROUND(801.12,2)</f>
        <v>801.12</v>
      </c>
      <c r="FY382" s="7">
        <f>ROUND(113956.239999999,2)</f>
        <v>113956.24</v>
      </c>
    </row>
    <row r="383" spans="1:181" x14ac:dyDescent="0.3">
      <c r="A383" s="4" t="s">
        <v>941</v>
      </c>
      <c r="B383" s="5" t="s">
        <v>1029</v>
      </c>
      <c r="C383" s="5" t="s">
        <v>181</v>
      </c>
      <c r="D383" s="5" t="s">
        <v>196</v>
      </c>
      <c r="E383" s="5" t="s">
        <v>0</v>
      </c>
      <c r="F383" s="5" t="s">
        <v>0</v>
      </c>
      <c r="G383" s="5" t="s">
        <v>183</v>
      </c>
      <c r="H383" s="8">
        <v>33.380000000000003</v>
      </c>
      <c r="I383" s="7">
        <f>ROUND(86873.46,2)</f>
        <v>86873.46</v>
      </c>
      <c r="J383" s="6"/>
      <c r="K383" s="6"/>
      <c r="L383" s="6"/>
      <c r="M383" s="6"/>
      <c r="N383" s="7">
        <f>ROUND(1385.02,2)</f>
        <v>1385.02</v>
      </c>
      <c r="O383" s="6"/>
      <c r="P383" s="6"/>
      <c r="Q383" s="7">
        <f>ROUND(157.43,2)</f>
        <v>157.43</v>
      </c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7">
        <f>ROUND(155.26,2)</f>
        <v>155.26</v>
      </c>
      <c r="AF383" s="6"/>
      <c r="AG383" s="7">
        <f>ROUND(58.66,2)</f>
        <v>58.66</v>
      </c>
      <c r="AH383" s="6"/>
      <c r="AI383" s="6"/>
      <c r="AJ383" s="6"/>
      <c r="AK383" s="6"/>
      <c r="AL383" s="6"/>
      <c r="AM383" s="6"/>
      <c r="AN383" s="6"/>
      <c r="AO383" s="6"/>
      <c r="AP383" s="7">
        <f>ROUND(329.159999999999,2)</f>
        <v>329.16</v>
      </c>
      <c r="AQ383" s="6"/>
      <c r="AR383" s="7">
        <f>ROUND(32.1999999999999,2)</f>
        <v>32.200000000000003</v>
      </c>
      <c r="AS383" s="6"/>
      <c r="AT383" s="6"/>
      <c r="AU383" s="7">
        <f>ROUND(74,2)</f>
        <v>74</v>
      </c>
      <c r="AV383" s="6"/>
      <c r="AW383" s="7">
        <f>ROUND(32,2)</f>
        <v>32</v>
      </c>
      <c r="AX383" s="6"/>
      <c r="AY383" s="7">
        <f>ROUND(44.97,2)</f>
        <v>44.97</v>
      </c>
      <c r="AZ383" s="7">
        <f>ROUND(5.03,2)</f>
        <v>5.03</v>
      </c>
      <c r="BA383" s="6"/>
      <c r="BB383" s="7">
        <f>ROUND(40,2)</f>
        <v>40</v>
      </c>
      <c r="BC383" s="6"/>
      <c r="BD383" s="7">
        <f>ROUND(8,2)</f>
        <v>8</v>
      </c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7">
        <f>ROUND(74.84,2)</f>
        <v>74.84</v>
      </c>
      <c r="BR383" s="7">
        <f>ROUND(5.75,2)</f>
        <v>5.75</v>
      </c>
      <c r="BS383" s="7">
        <f>ROUND(8,2)</f>
        <v>8</v>
      </c>
      <c r="BT383" s="7">
        <f>ROUND(6.52,2)</f>
        <v>6.52</v>
      </c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7">
        <f>ROUND(2416.84,2)</f>
        <v>2416.84</v>
      </c>
      <c r="CR383" s="6"/>
      <c r="CS383" s="6"/>
      <c r="CT383" s="6"/>
      <c r="CU383" s="6"/>
      <c r="CV383" s="7">
        <f>ROUND(45269.01,2)</f>
        <v>45269.01</v>
      </c>
      <c r="CW383" s="6"/>
      <c r="CX383" s="6"/>
      <c r="CY383" s="7">
        <f>ROUND(7743.10999999999,2)</f>
        <v>7743.11</v>
      </c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7">
        <f>ROUND(5036.76,2)</f>
        <v>5036.76</v>
      </c>
      <c r="DO383" s="6"/>
      <c r="DP383" s="7">
        <f>ROUND(2887.73,2)</f>
        <v>2887.73</v>
      </c>
      <c r="DQ383" s="6"/>
      <c r="DR383" s="6"/>
      <c r="DS383" s="6"/>
      <c r="DT383" s="6"/>
      <c r="DU383" s="6"/>
      <c r="DV383" s="6"/>
      <c r="DW383" s="6"/>
      <c r="DX383" s="6"/>
      <c r="DY383" s="7">
        <f>ROUND(10726.43,2)</f>
        <v>10726.43</v>
      </c>
      <c r="DZ383" s="6"/>
      <c r="EA383" s="7">
        <f>ROUND(1569.79,2)</f>
        <v>1569.79</v>
      </c>
      <c r="EB383" s="6"/>
      <c r="EC383" s="6"/>
      <c r="ED383" s="7">
        <f>ROUND(2410.6,2)</f>
        <v>2410.6</v>
      </c>
      <c r="EE383" s="6"/>
      <c r="EF383" s="7">
        <f>ROUND(1026.88,2)</f>
        <v>1026.8800000000001</v>
      </c>
      <c r="EG383" s="6"/>
      <c r="EH383" s="7">
        <f>ROUND(1466.13,2)</f>
        <v>1466.13</v>
      </c>
      <c r="EI383" s="7">
        <f>ROUND(242.12,2)</f>
        <v>242.12</v>
      </c>
      <c r="EJ383" s="6"/>
      <c r="EK383" s="7">
        <f>ROUND(1298.96,2)</f>
        <v>1298.96</v>
      </c>
      <c r="EL383" s="6"/>
      <c r="EM383" s="6"/>
      <c r="EN383" s="7">
        <f>ROUND(256.72,2)</f>
        <v>256.72000000000003</v>
      </c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7">
        <f>ROUND(2405.89,2)</f>
        <v>2405.89</v>
      </c>
      <c r="FE383" s="7">
        <f>ROUND(283.33,2)</f>
        <v>283.33</v>
      </c>
      <c r="FF383" s="6"/>
      <c r="FG383" s="6"/>
      <c r="FH383" s="6"/>
      <c r="FI383" s="6"/>
      <c r="FJ383" s="7">
        <f>ROUND(1250,2)</f>
        <v>1250</v>
      </c>
      <c r="FK383" s="6"/>
      <c r="FL383" s="6"/>
      <c r="FM383" s="6"/>
      <c r="FN383" s="6"/>
      <c r="FO383" s="6"/>
      <c r="FP383" s="6"/>
      <c r="FQ383" s="6"/>
      <c r="FR383" s="6"/>
      <c r="FS383" s="6"/>
      <c r="FT383" s="7">
        <f>ROUND(3000,2)</f>
        <v>3000</v>
      </c>
      <c r="FU383" s="6"/>
      <c r="FV383" s="6"/>
      <c r="FW383" s="6"/>
      <c r="FX383" s="6"/>
      <c r="FY383" s="7">
        <f>ROUND(86873.46,2)</f>
        <v>86873.46</v>
      </c>
    </row>
    <row r="384" spans="1:181" ht="26.4" x14ac:dyDescent="0.3">
      <c r="A384" s="4" t="s">
        <v>942</v>
      </c>
      <c r="B384" s="5"/>
      <c r="C384" s="5" t="s">
        <v>244</v>
      </c>
      <c r="D384" s="5" t="s">
        <v>943</v>
      </c>
      <c r="E384" s="5" t="s">
        <v>944</v>
      </c>
      <c r="F384" s="5" t="s">
        <v>0</v>
      </c>
      <c r="G384" s="5" t="s">
        <v>247</v>
      </c>
      <c r="H384" s="8">
        <f>ROUND(21.115,2)</f>
        <v>21.12</v>
      </c>
      <c r="I384" s="7">
        <f>ROUND(46899.5299999999,2)</f>
        <v>46899.53</v>
      </c>
      <c r="J384" s="7">
        <f>ROUND(1789.5,2)</f>
        <v>1789.5</v>
      </c>
      <c r="K384" s="7">
        <f>ROUND(2.75,2)</f>
        <v>2.75</v>
      </c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7">
        <f>ROUND(8,2)</f>
        <v>8</v>
      </c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7">
        <f>ROUND(56,2)</f>
        <v>56</v>
      </c>
      <c r="CI384" s="7">
        <f>ROUND(32,2)</f>
        <v>32</v>
      </c>
      <c r="CJ384" s="6"/>
      <c r="CK384" s="6"/>
      <c r="CL384" s="7">
        <f>ROUND(43.5,2)</f>
        <v>43.5</v>
      </c>
      <c r="CM384" s="6"/>
      <c r="CN384" s="7">
        <f>ROUND(192,2)</f>
        <v>192</v>
      </c>
      <c r="CO384" s="6"/>
      <c r="CP384" s="6"/>
      <c r="CQ384" s="7">
        <f>ROUND(2123.75,2)</f>
        <v>2123.75</v>
      </c>
      <c r="CR384" s="7">
        <f>ROUND(37785.2899999999,2)</f>
        <v>37785.29</v>
      </c>
      <c r="CS384" s="7">
        <f>ROUND(87.1,2)</f>
        <v>87.1</v>
      </c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7">
        <f>ROUND(168.92,2)</f>
        <v>168.92</v>
      </c>
      <c r="FH384" s="6"/>
      <c r="FI384" s="6"/>
      <c r="FJ384" s="7">
        <f>ROUND(2027.52,2)</f>
        <v>2027.52</v>
      </c>
      <c r="FK384" s="6"/>
      <c r="FL384" s="6"/>
      <c r="FM384" s="6"/>
      <c r="FN384" s="7">
        <f>ROUND(1182.43999999999,2)</f>
        <v>1182.44</v>
      </c>
      <c r="FO384" s="7">
        <f>ROUND(675.68,2)</f>
        <v>675.68</v>
      </c>
      <c r="FP384" s="6"/>
      <c r="FQ384" s="6"/>
      <c r="FR384" s="6"/>
      <c r="FS384" s="7">
        <f>ROUND(918.499999999999,2)</f>
        <v>918.5</v>
      </c>
      <c r="FT384" s="6"/>
      <c r="FU384" s="6"/>
      <c r="FV384" s="7">
        <f>ROUND(4054.08,2)</f>
        <v>4054.08</v>
      </c>
      <c r="FW384" s="6"/>
      <c r="FX384" s="6"/>
      <c r="FY384" s="7">
        <f>ROUND(46899.5299999999,2)</f>
        <v>46899.53</v>
      </c>
    </row>
    <row r="385" spans="1:181" x14ac:dyDescent="0.3">
      <c r="A385" s="4" t="s">
        <v>945</v>
      </c>
      <c r="B385" s="5" t="s">
        <v>1029</v>
      </c>
      <c r="C385" s="5" t="s">
        <v>181</v>
      </c>
      <c r="D385" s="5" t="s">
        <v>545</v>
      </c>
      <c r="E385" s="5" t="s">
        <v>0</v>
      </c>
      <c r="F385" s="5" t="s">
        <v>0</v>
      </c>
      <c r="G385" s="5" t="s">
        <v>183</v>
      </c>
      <c r="H385" s="8">
        <v>33.380000000000003</v>
      </c>
      <c r="I385" s="7">
        <f>ROUND(92237.2699999999,2)</f>
        <v>92237.27</v>
      </c>
      <c r="J385" s="6"/>
      <c r="K385" s="6"/>
      <c r="L385" s="6"/>
      <c r="M385" s="6"/>
      <c r="N385" s="7">
        <f>ROUND(1907.85,2)</f>
        <v>1907.85</v>
      </c>
      <c r="O385" s="6"/>
      <c r="P385" s="6"/>
      <c r="Q385" s="7">
        <f>ROUND(366.739999999999,2)</f>
        <v>366.74</v>
      </c>
      <c r="R385" s="6"/>
      <c r="S385" s="6"/>
      <c r="T385" s="6"/>
      <c r="U385" s="6"/>
      <c r="V385" s="7">
        <f>ROUND(6,2)</f>
        <v>6</v>
      </c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7">
        <f>ROUND(68,2)</f>
        <v>68</v>
      </c>
      <c r="AV385" s="6"/>
      <c r="AW385" s="7">
        <f>ROUND(27.8,2)</f>
        <v>27.8</v>
      </c>
      <c r="AX385" s="7">
        <f>ROUND(4.2,2)</f>
        <v>4.2</v>
      </c>
      <c r="AY385" s="7">
        <f>ROUND(93.42,2)</f>
        <v>93.42</v>
      </c>
      <c r="AZ385" s="7">
        <f>ROUND(2.58,2)</f>
        <v>2.58</v>
      </c>
      <c r="BA385" s="6"/>
      <c r="BB385" s="7">
        <f>ROUND(24,2)</f>
        <v>24</v>
      </c>
      <c r="BC385" s="6"/>
      <c r="BD385" s="7">
        <f>ROUND(8,2)</f>
        <v>8</v>
      </c>
      <c r="BE385" s="7">
        <f>ROUND(2.53,2)</f>
        <v>2.5299999999999998</v>
      </c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7">
        <f>ROUND(8,2)</f>
        <v>8</v>
      </c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7">
        <f>ROUND(2519.11999999999,2)</f>
        <v>2519.12</v>
      </c>
      <c r="CR385" s="6"/>
      <c r="CS385" s="6"/>
      <c r="CT385" s="6"/>
      <c r="CU385" s="6"/>
      <c r="CV385" s="7">
        <f>ROUND(62229.3199999999,2)</f>
        <v>62229.32</v>
      </c>
      <c r="CW385" s="6"/>
      <c r="CX385" s="6"/>
      <c r="CY385" s="7">
        <f>ROUND(17983.7799999999,2)</f>
        <v>17983.78</v>
      </c>
      <c r="CZ385" s="6"/>
      <c r="DA385" s="6"/>
      <c r="DB385" s="6"/>
      <c r="DC385" s="6"/>
      <c r="DD385" s="7">
        <f>ROUND(199.2,2)</f>
        <v>199.2</v>
      </c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7">
        <f>ROUND(2215.48,2)</f>
        <v>2215.48</v>
      </c>
      <c r="EE385" s="6"/>
      <c r="EF385" s="7">
        <f>ROUND(899.78,2)</f>
        <v>899.78</v>
      </c>
      <c r="EG385" s="7">
        <f>ROUND(202.17,2)</f>
        <v>202.17</v>
      </c>
      <c r="EH385" s="7">
        <f>ROUND(2997.85,2)</f>
        <v>2997.85</v>
      </c>
      <c r="EI385" s="7">
        <f>ROUND(124.19,2)</f>
        <v>124.19</v>
      </c>
      <c r="EJ385" s="6"/>
      <c r="EK385" s="7">
        <f>ROUND(770.16,2)</f>
        <v>770.16</v>
      </c>
      <c r="EL385" s="6"/>
      <c r="EM385" s="6"/>
      <c r="EN385" s="7">
        <f>ROUND(256.72,2)</f>
        <v>256.72000000000003</v>
      </c>
      <c r="EO385" s="7">
        <f>ROUND(83.62,2)</f>
        <v>83.62</v>
      </c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7">
        <f>ROUND(1275,2)</f>
        <v>1275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7">
        <f>ROUND(3000,2)</f>
        <v>3000</v>
      </c>
      <c r="FU385" s="6"/>
      <c r="FV385" s="6"/>
      <c r="FW385" s="6"/>
      <c r="FX385" s="6"/>
      <c r="FY385" s="7">
        <f>ROUND(92237.2699999999,2)</f>
        <v>92237.27</v>
      </c>
    </row>
    <row r="386" spans="1:181" x14ac:dyDescent="0.3">
      <c r="A386" s="4" t="s">
        <v>946</v>
      </c>
      <c r="B386" s="5" t="s">
        <v>1029</v>
      </c>
      <c r="C386" s="5" t="s">
        <v>181</v>
      </c>
      <c r="D386" s="5" t="s">
        <v>471</v>
      </c>
      <c r="E386" s="5" t="s">
        <v>947</v>
      </c>
      <c r="F386" s="5" t="s">
        <v>0</v>
      </c>
      <c r="G386" s="5" t="s">
        <v>183</v>
      </c>
      <c r="H386" s="9">
        <v>17.5</v>
      </c>
      <c r="I386" s="7">
        <f>ROUND(1723.75,2)</f>
        <v>1723.75</v>
      </c>
      <c r="J386" s="7">
        <f>ROUND(8,2)</f>
        <v>8</v>
      </c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7">
        <f>ROUND(90.5,2)</f>
        <v>90.5</v>
      </c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>
        <f>ROUND(5,2)</f>
        <v>5</v>
      </c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7">
        <f>ROUND(103.5,2)</f>
        <v>103.5</v>
      </c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7">
        <f>ROUND(1583.75,2)</f>
        <v>1583.75</v>
      </c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7">
        <f>ROUND(140,2)</f>
        <v>140</v>
      </c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7">
        <f>ROUND(1723.75,2)</f>
        <v>1723.75</v>
      </c>
    </row>
    <row r="387" spans="1:181" x14ac:dyDescent="0.3">
      <c r="A387" s="4" t="s">
        <v>948</v>
      </c>
      <c r="B387" s="5" t="s">
        <v>1029</v>
      </c>
      <c r="C387" s="5" t="s">
        <v>181</v>
      </c>
      <c r="D387" s="5" t="s">
        <v>196</v>
      </c>
      <c r="E387" s="5" t="s">
        <v>0</v>
      </c>
      <c r="F387" s="5" t="s">
        <v>0</v>
      </c>
      <c r="G387" s="5" t="s">
        <v>183</v>
      </c>
      <c r="H387" s="8">
        <v>33.380000000000003</v>
      </c>
      <c r="I387" s="7">
        <f>ROUND(96487.96,2)</f>
        <v>96487.96</v>
      </c>
      <c r="J387" s="6"/>
      <c r="K387" s="6"/>
      <c r="L387" s="6"/>
      <c r="M387" s="6"/>
      <c r="N387" s="7">
        <f>ROUND(908.95,2)</f>
        <v>908.95</v>
      </c>
      <c r="O387" s="6"/>
      <c r="P387" s="6"/>
      <c r="Q387" s="7">
        <f>ROUND(211.83,2)</f>
        <v>211.83</v>
      </c>
      <c r="R387" s="6"/>
      <c r="S387" s="6"/>
      <c r="T387" s="6"/>
      <c r="U387" s="6"/>
      <c r="V387" s="7">
        <f>ROUND(28.86,2)</f>
        <v>28.86</v>
      </c>
      <c r="W387" s="7">
        <f>ROUND(14.34,2)</f>
        <v>14.34</v>
      </c>
      <c r="X387" s="7">
        <f>ROUND(3.94,2)</f>
        <v>3.94</v>
      </c>
      <c r="Y387" s="7">
        <f>ROUND(1.97,2)</f>
        <v>1.97</v>
      </c>
      <c r="Z387" s="6"/>
      <c r="AA387" s="6"/>
      <c r="AB387" s="6"/>
      <c r="AC387" s="6"/>
      <c r="AD387" s="6"/>
      <c r="AE387" s="7">
        <f>ROUND(229.46,2)</f>
        <v>229.46</v>
      </c>
      <c r="AF387" s="6"/>
      <c r="AG387" s="7">
        <f>ROUND(65.71,2)</f>
        <v>65.709999999999994</v>
      </c>
      <c r="AH387" s="6"/>
      <c r="AI387" s="6"/>
      <c r="AJ387" s="6"/>
      <c r="AK387" s="6"/>
      <c r="AL387" s="6"/>
      <c r="AM387" s="6"/>
      <c r="AN387" s="6"/>
      <c r="AO387" s="6"/>
      <c r="AP387" s="7">
        <f>ROUND(626.06,2)</f>
        <v>626.05999999999995</v>
      </c>
      <c r="AQ387" s="6"/>
      <c r="AR387" s="7">
        <f>ROUND(119.42,2)</f>
        <v>119.42</v>
      </c>
      <c r="AS387" s="6"/>
      <c r="AT387" s="6"/>
      <c r="AU387" s="7">
        <f>ROUND(76,2)</f>
        <v>76</v>
      </c>
      <c r="AV387" s="6"/>
      <c r="AW387" s="7">
        <f>ROUND(35.48,2)</f>
        <v>35.479999999999997</v>
      </c>
      <c r="AX387" s="7">
        <f>ROUND(6.52,2)</f>
        <v>6.52</v>
      </c>
      <c r="AY387" s="7">
        <f>ROUND(77.08,2)</f>
        <v>77.08</v>
      </c>
      <c r="AZ387" s="7">
        <f>ROUND(12.92,2)</f>
        <v>12.92</v>
      </c>
      <c r="BA387" s="6"/>
      <c r="BB387" s="6"/>
      <c r="BC387" s="6"/>
      <c r="BD387" s="7">
        <f>ROUND(24.92,2)</f>
        <v>24.92</v>
      </c>
      <c r="BE387" s="6"/>
      <c r="BF387" s="7">
        <f>ROUND(0.08,2)</f>
        <v>0.08</v>
      </c>
      <c r="BG387" s="6"/>
      <c r="BH387" s="6"/>
      <c r="BI387" s="6"/>
      <c r="BJ387" s="6"/>
      <c r="BK387" s="6"/>
      <c r="BL387" s="6"/>
      <c r="BM387" s="6"/>
      <c r="BN387" s="6"/>
      <c r="BO387" s="7">
        <f>ROUND(70.4799999999999,2)</f>
        <v>70.48</v>
      </c>
      <c r="BP387" s="7">
        <f>ROUND(1.77,2)</f>
        <v>1.77</v>
      </c>
      <c r="BQ387" s="7">
        <f>ROUND(52.35,2)</f>
        <v>52.35</v>
      </c>
      <c r="BR387" s="7">
        <f>ROUND(10.08,2)</f>
        <v>10.08</v>
      </c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7">
        <f>ROUND(4.75,2)</f>
        <v>4.75</v>
      </c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7">
        <f>ROUND(2582.97,2)</f>
        <v>2582.9699999999998</v>
      </c>
      <c r="CR387" s="6"/>
      <c r="CS387" s="6"/>
      <c r="CT387" s="6"/>
      <c r="CU387" s="6"/>
      <c r="CV387" s="7">
        <f>ROUND(29604.3299999999,2)</f>
        <v>29604.33</v>
      </c>
      <c r="CW387" s="6"/>
      <c r="CX387" s="6"/>
      <c r="CY387" s="7">
        <f>ROUND(10361.8399999999,2)</f>
        <v>10361.84</v>
      </c>
      <c r="CZ387" s="6"/>
      <c r="DA387" s="6"/>
      <c r="DB387" s="6"/>
      <c r="DC387" s="6"/>
      <c r="DD387" s="7">
        <f>ROUND(934.26,2)</f>
        <v>934.26</v>
      </c>
      <c r="DE387" s="7">
        <f>ROUND(701.4,2)</f>
        <v>701.4</v>
      </c>
      <c r="DF387" s="7">
        <f>ROUND(128.89,2)</f>
        <v>128.88999999999999</v>
      </c>
      <c r="DG387" s="7">
        <f>ROUND(96.41,2)</f>
        <v>96.41</v>
      </c>
      <c r="DH387" s="6"/>
      <c r="DI387" s="6"/>
      <c r="DJ387" s="6"/>
      <c r="DK387" s="6"/>
      <c r="DL387" s="6"/>
      <c r="DM387" s="6"/>
      <c r="DN387" s="7">
        <f>ROUND(7530.45999999999,2)</f>
        <v>7530.46</v>
      </c>
      <c r="DO387" s="6"/>
      <c r="DP387" s="7">
        <f>ROUND(3228.5,2)</f>
        <v>3228.5</v>
      </c>
      <c r="DQ387" s="6"/>
      <c r="DR387" s="6"/>
      <c r="DS387" s="6"/>
      <c r="DT387" s="6"/>
      <c r="DU387" s="6"/>
      <c r="DV387" s="6"/>
      <c r="DW387" s="6"/>
      <c r="DX387" s="6"/>
      <c r="DY387" s="7">
        <f>ROUND(20441.9699999999,2)</f>
        <v>20441.97</v>
      </c>
      <c r="DZ387" s="6"/>
      <c r="EA387" s="7">
        <f>ROUND(5845.11,2)</f>
        <v>5845.11</v>
      </c>
      <c r="EB387" s="6"/>
      <c r="EC387" s="6"/>
      <c r="ED387" s="7">
        <f>ROUND(2476.7,2)</f>
        <v>2476.6999999999998</v>
      </c>
      <c r="EE387" s="6"/>
      <c r="EF387" s="7">
        <f>ROUND(1148.87,2)</f>
        <v>1148.8699999999999</v>
      </c>
      <c r="EG387" s="7">
        <f>ROUND(313.84,2)</f>
        <v>313.83999999999997</v>
      </c>
      <c r="EH387" s="7">
        <f>ROUND(2483.1,2)</f>
        <v>2483.1</v>
      </c>
      <c r="EI387" s="7">
        <f>ROUND(621.9,2)</f>
        <v>621.9</v>
      </c>
      <c r="EJ387" s="6"/>
      <c r="EK387" s="6"/>
      <c r="EL387" s="6"/>
      <c r="EM387" s="6"/>
      <c r="EN387" s="7">
        <f>ROUND(815.93,2)</f>
        <v>815.93</v>
      </c>
      <c r="EO387" s="6"/>
      <c r="EP387" s="7">
        <f>ROUND(3.97,2)</f>
        <v>3.97</v>
      </c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7">
        <f>ROUND(2305.35,2)</f>
        <v>2305.35</v>
      </c>
      <c r="FC387" s="7">
        <f>ROUND(88.4,2)</f>
        <v>88.4</v>
      </c>
      <c r="FD387" s="7">
        <f>ROUND(1705.79,2)</f>
        <v>1705.79</v>
      </c>
      <c r="FE387" s="7">
        <f>ROUND(493.24,2)</f>
        <v>493.24</v>
      </c>
      <c r="FF387" s="6"/>
      <c r="FG387" s="6"/>
      <c r="FH387" s="6"/>
      <c r="FI387" s="7">
        <f>ROUND(157.7,2)</f>
        <v>157.69999999999999</v>
      </c>
      <c r="FJ387" s="7">
        <f>ROUND(2000,2)</f>
        <v>2000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7">
        <f>ROUND(3000,2)</f>
        <v>3000</v>
      </c>
      <c r="FU387" s="6"/>
      <c r="FV387" s="6"/>
      <c r="FW387" s="6"/>
      <c r="FX387" s="6"/>
      <c r="FY387" s="7">
        <f>ROUND(96487.96,2)</f>
        <v>96487.96</v>
      </c>
    </row>
    <row r="388" spans="1:181" x14ac:dyDescent="0.3">
      <c r="A388" s="4" t="s">
        <v>949</v>
      </c>
      <c r="B388" s="5" t="s">
        <v>1029</v>
      </c>
      <c r="C388" s="5" t="s">
        <v>181</v>
      </c>
      <c r="D388" s="5" t="s">
        <v>950</v>
      </c>
      <c r="E388" s="5" t="s">
        <v>0</v>
      </c>
      <c r="F388" s="5" t="s">
        <v>0</v>
      </c>
      <c r="G388" s="5" t="s">
        <v>183</v>
      </c>
      <c r="H388" s="8">
        <v>33.71</v>
      </c>
      <c r="I388" s="7">
        <f>ROUND(58238.7399999999,2)</f>
        <v>58238.74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7">
        <f>ROUND(543.65,2)</f>
        <v>543.65</v>
      </c>
      <c r="AF388" s="6"/>
      <c r="AG388" s="7">
        <f>ROUND(56.77,2)</f>
        <v>56.77</v>
      </c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7">
        <f>ROUND(52,2)</f>
        <v>52</v>
      </c>
      <c r="AV388" s="6"/>
      <c r="AW388" s="7">
        <f>ROUND(32,2)</f>
        <v>32</v>
      </c>
      <c r="AX388" s="6"/>
      <c r="AY388" s="7">
        <f>ROUND(120,2)</f>
        <v>120</v>
      </c>
      <c r="AZ388" s="6"/>
      <c r="BA388" s="6"/>
      <c r="BB388" s="7">
        <f>ROUND(16,2)</f>
        <v>16</v>
      </c>
      <c r="BC388" s="6"/>
      <c r="BD388" s="7">
        <f>ROUND(8,2)</f>
        <v>8</v>
      </c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7">
        <f>ROUND(224,2)</f>
        <v>224</v>
      </c>
      <c r="BP388" s="6"/>
      <c r="BQ388" s="7">
        <f>ROUND(587.5,2)</f>
        <v>587.5</v>
      </c>
      <c r="BR388" s="7">
        <f>ROUND(0.78,2)</f>
        <v>0.78</v>
      </c>
      <c r="BS388" s="7">
        <f>ROUND(36.83,2)</f>
        <v>36.83</v>
      </c>
      <c r="BT388" s="7">
        <f>ROUND(4.6,2)</f>
        <v>4.5999999999999996</v>
      </c>
      <c r="BU388" s="6"/>
      <c r="BV388" s="6"/>
      <c r="BW388" s="7">
        <f>ROUND(16,2)</f>
        <v>16</v>
      </c>
      <c r="BX388" s="6"/>
      <c r="BY388" s="7">
        <f>ROUND(16,2)</f>
        <v>16</v>
      </c>
      <c r="BZ388" s="6"/>
      <c r="CA388" s="7">
        <f>ROUND(16,2)</f>
        <v>16</v>
      </c>
      <c r="CB388" s="6"/>
      <c r="CC388" s="7">
        <f>ROUND(480,2)</f>
        <v>480</v>
      </c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7">
        <f>ROUND(24,2)</f>
        <v>24</v>
      </c>
      <c r="CQ388" s="7">
        <f>ROUND(2234.13,2)</f>
        <v>2234.13</v>
      </c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7">
        <f>ROUND(17679.39,2)</f>
        <v>17679.39</v>
      </c>
      <c r="DO388" s="6"/>
      <c r="DP388" s="7">
        <f>ROUND(2734.04999999999,2)</f>
        <v>2734.05</v>
      </c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7">
        <f>ROUND(1684.04,2)</f>
        <v>1684.04</v>
      </c>
      <c r="EE388" s="6"/>
      <c r="EF388" s="7">
        <f>ROUND(1034.56,2)</f>
        <v>1034.56</v>
      </c>
      <c r="EG388" s="6"/>
      <c r="EH388" s="7">
        <f>ROUND(3889.2,2)</f>
        <v>3889.2</v>
      </c>
      <c r="EI388" s="6"/>
      <c r="EJ388" s="6"/>
      <c r="EK388" s="7">
        <f>ROUND(513.44,2)</f>
        <v>513.44000000000005</v>
      </c>
      <c r="EL388" s="6"/>
      <c r="EM388" s="6"/>
      <c r="EN388" s="7">
        <f>ROUND(256.72,2)</f>
        <v>256.72000000000003</v>
      </c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7">
        <f>ROUND(7403.2,2)</f>
        <v>7403.2</v>
      </c>
      <c r="FC388" s="6"/>
      <c r="FD388" s="7">
        <f>ROUND(18872.56,2)</f>
        <v>18872.560000000001</v>
      </c>
      <c r="FE388" s="7">
        <f>ROUND(37.54,2)</f>
        <v>37.54</v>
      </c>
      <c r="FF388" s="6"/>
      <c r="FG388" s="6"/>
      <c r="FH388" s="6"/>
      <c r="FI388" s="6"/>
      <c r="FJ388" s="7">
        <f>ROUND(325,2)</f>
        <v>325</v>
      </c>
      <c r="FK388" s="6"/>
      <c r="FL388" s="6"/>
      <c r="FM388" s="6"/>
      <c r="FN388" s="6"/>
      <c r="FO388" s="6"/>
      <c r="FP388" s="6"/>
      <c r="FQ388" s="6"/>
      <c r="FR388" s="6"/>
      <c r="FS388" s="6"/>
      <c r="FT388" s="7">
        <f>ROUND(3000,2)</f>
        <v>3000</v>
      </c>
      <c r="FU388" s="6"/>
      <c r="FV388" s="6"/>
      <c r="FW388" s="6"/>
      <c r="FX388" s="7">
        <f>ROUND(809.04,2)</f>
        <v>809.04</v>
      </c>
      <c r="FY388" s="7">
        <f>ROUND(58238.7399999999,2)</f>
        <v>58238.74</v>
      </c>
    </row>
    <row r="389" spans="1:181" x14ac:dyDescent="0.3">
      <c r="A389" s="4" t="s">
        <v>951</v>
      </c>
      <c r="B389" s="5" t="s">
        <v>1029</v>
      </c>
      <c r="C389" s="5" t="s">
        <v>181</v>
      </c>
      <c r="D389" s="5" t="s">
        <v>332</v>
      </c>
      <c r="E389" s="5" t="s">
        <v>0</v>
      </c>
      <c r="F389" s="5" t="s">
        <v>0</v>
      </c>
      <c r="G389" s="5" t="s">
        <v>183</v>
      </c>
      <c r="H389" s="8">
        <v>33.380000000000003</v>
      </c>
      <c r="I389" s="7">
        <f>ROUND(67771.65,2)</f>
        <v>67771.649999999994</v>
      </c>
      <c r="J389" s="6"/>
      <c r="K389" s="6"/>
      <c r="L389" s="6"/>
      <c r="M389" s="6"/>
      <c r="N389" s="7">
        <f>ROUND(1540.58,2)</f>
        <v>1540.58</v>
      </c>
      <c r="O389" s="6"/>
      <c r="P389" s="6"/>
      <c r="Q389" s="7">
        <f>ROUND(79.46,2)</f>
        <v>79.459999999999994</v>
      </c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7">
        <f>ROUND(64,2)</f>
        <v>64</v>
      </c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7">
        <f>ROUND(44,2)</f>
        <v>44</v>
      </c>
      <c r="AV389" s="6"/>
      <c r="AW389" s="7">
        <f>ROUND(40,2)</f>
        <v>40</v>
      </c>
      <c r="AX389" s="6"/>
      <c r="AY389" s="7">
        <f>ROUND(111.33,2)</f>
        <v>111.33</v>
      </c>
      <c r="AZ389" s="7">
        <f>ROUND(0.67,2)</f>
        <v>0.67</v>
      </c>
      <c r="BA389" s="6"/>
      <c r="BB389" s="7">
        <f>ROUND(24,2)</f>
        <v>24</v>
      </c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7">
        <f>ROUND(257.35,2)</f>
        <v>257.35000000000002</v>
      </c>
      <c r="BT389" s="7">
        <f>ROUND(2.17,2)</f>
        <v>2.17</v>
      </c>
      <c r="BU389" s="7">
        <f>ROUND(8,2)</f>
        <v>8</v>
      </c>
      <c r="BV389" s="6"/>
      <c r="BW389" s="7">
        <f>ROUND(24,2)</f>
        <v>24</v>
      </c>
      <c r="BX389" s="6"/>
      <c r="BY389" s="6"/>
      <c r="BZ389" s="6"/>
      <c r="CA389" s="7">
        <f>ROUND(40,2)</f>
        <v>40</v>
      </c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7">
        <f>ROUND(8,2)</f>
        <v>8</v>
      </c>
      <c r="CQ389" s="7">
        <f>ROUND(2243.56,2)</f>
        <v>2243.56</v>
      </c>
      <c r="CR389" s="6"/>
      <c r="CS389" s="6"/>
      <c r="CT389" s="6"/>
      <c r="CU389" s="6"/>
      <c r="CV389" s="7">
        <f>ROUND(50424.4999999999,2)</f>
        <v>50424.5</v>
      </c>
      <c r="CW389" s="6"/>
      <c r="CX389" s="6"/>
      <c r="CY389" s="7">
        <f>ROUND(3917.79,2)</f>
        <v>3917.79</v>
      </c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7">
        <f>ROUND(2136.32,2)</f>
        <v>2136.3200000000002</v>
      </c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7">
        <f>ROUND(1429.96,2)</f>
        <v>1429.96</v>
      </c>
      <c r="EE389" s="6"/>
      <c r="EF389" s="7">
        <f>ROUND(1314.32,2)</f>
        <v>1314.32</v>
      </c>
      <c r="EG389" s="6"/>
      <c r="EH389" s="7">
        <f>ROUND(3620.66,2)</f>
        <v>3620.66</v>
      </c>
      <c r="EI389" s="7">
        <f>ROUND(33.22,2)</f>
        <v>33.22</v>
      </c>
      <c r="EJ389" s="6"/>
      <c r="EK389" s="7">
        <f>ROUND(777.84,2)</f>
        <v>777.84</v>
      </c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7">
        <f>ROUND(850,2)</f>
        <v>850</v>
      </c>
      <c r="FK389" s="6"/>
      <c r="FL389" s="6"/>
      <c r="FM389" s="6"/>
      <c r="FN389" s="6"/>
      <c r="FO389" s="6"/>
      <c r="FP389" s="6"/>
      <c r="FQ389" s="6"/>
      <c r="FR389" s="6"/>
      <c r="FS389" s="6"/>
      <c r="FT389" s="7">
        <f>ROUND(3000,2)</f>
        <v>3000</v>
      </c>
      <c r="FU389" s="6"/>
      <c r="FV389" s="6"/>
      <c r="FW389" s="6"/>
      <c r="FX389" s="7">
        <f>ROUND(267.04,2)</f>
        <v>267.04000000000002</v>
      </c>
      <c r="FY389" s="7">
        <f>ROUND(67771.65,2)</f>
        <v>67771.649999999994</v>
      </c>
    </row>
    <row r="390" spans="1:181" x14ac:dyDescent="0.3">
      <c r="A390" s="4" t="s">
        <v>952</v>
      </c>
      <c r="B390" s="5" t="s">
        <v>1029</v>
      </c>
      <c r="C390" s="5" t="s">
        <v>181</v>
      </c>
      <c r="D390" s="5" t="s">
        <v>953</v>
      </c>
      <c r="E390" s="5" t="s">
        <v>0</v>
      </c>
      <c r="F390" s="5" t="s">
        <v>0</v>
      </c>
      <c r="G390" s="5" t="s">
        <v>183</v>
      </c>
      <c r="H390" s="9">
        <v>31.71</v>
      </c>
      <c r="I390" s="7">
        <f>ROUND(67633.79,2)</f>
        <v>67633.789999999994</v>
      </c>
      <c r="J390" s="6"/>
      <c r="K390" s="6"/>
      <c r="L390" s="6"/>
      <c r="M390" s="6"/>
      <c r="N390" s="7">
        <f>ROUND(898.699999999999,2)</f>
        <v>898.7</v>
      </c>
      <c r="O390" s="6"/>
      <c r="P390" s="6"/>
      <c r="Q390" s="7">
        <f>ROUND(103.12,2)</f>
        <v>103.12</v>
      </c>
      <c r="R390" s="6"/>
      <c r="S390" s="6"/>
      <c r="T390" s="6"/>
      <c r="U390" s="6"/>
      <c r="V390" s="7">
        <f>ROUND(29.83,2)</f>
        <v>29.83</v>
      </c>
      <c r="W390" s="7">
        <f>ROUND(2.33,2)</f>
        <v>2.33</v>
      </c>
      <c r="X390" s="7">
        <f>ROUND(1.17,2)</f>
        <v>1.17</v>
      </c>
      <c r="Y390" s="6"/>
      <c r="Z390" s="6"/>
      <c r="AA390" s="6"/>
      <c r="AB390" s="6"/>
      <c r="AC390" s="6"/>
      <c r="AD390" s="6"/>
      <c r="AE390" s="7">
        <f>ROUND(243.97,2)</f>
        <v>243.97</v>
      </c>
      <c r="AF390" s="6"/>
      <c r="AG390" s="7">
        <f>ROUND(27,2)</f>
        <v>27</v>
      </c>
      <c r="AH390" s="6"/>
      <c r="AI390" s="6"/>
      <c r="AJ390" s="6"/>
      <c r="AK390" s="6"/>
      <c r="AL390" s="6"/>
      <c r="AM390" s="6"/>
      <c r="AN390" s="6"/>
      <c r="AO390" s="6"/>
      <c r="AP390" s="7">
        <f>ROUND(528.609999999999,2)</f>
        <v>528.61</v>
      </c>
      <c r="AQ390" s="6"/>
      <c r="AR390" s="7">
        <f>ROUND(66.0399999999999,2)</f>
        <v>66.040000000000006</v>
      </c>
      <c r="AS390" s="6"/>
      <c r="AT390" s="6"/>
      <c r="AU390" s="7">
        <f>ROUND(66,2)</f>
        <v>66</v>
      </c>
      <c r="AV390" s="6"/>
      <c r="AW390" s="7">
        <f>ROUND(34,2)</f>
        <v>34</v>
      </c>
      <c r="AX390" s="6"/>
      <c r="AY390" s="7">
        <f>ROUND(31.67,2)</f>
        <v>31.67</v>
      </c>
      <c r="AZ390" s="7">
        <f>ROUND(16.33,2)</f>
        <v>16.329999999999998</v>
      </c>
      <c r="BA390" s="6"/>
      <c r="BB390" s="6"/>
      <c r="BC390" s="6"/>
      <c r="BD390" s="7">
        <f>ROUND(8,2)</f>
        <v>8</v>
      </c>
      <c r="BE390" s="6"/>
      <c r="BF390" s="6"/>
      <c r="BG390" s="6"/>
      <c r="BH390" s="6"/>
      <c r="BI390" s="6"/>
      <c r="BJ390" s="6"/>
      <c r="BK390" s="6"/>
      <c r="BL390" s="6"/>
      <c r="BM390" s="7">
        <f>ROUND(3.75,2)</f>
        <v>3.75</v>
      </c>
      <c r="BN390" s="6"/>
      <c r="BO390" s="7">
        <f>ROUND(20.25,2)</f>
        <v>20.25</v>
      </c>
      <c r="BP390" s="6"/>
      <c r="BQ390" s="6"/>
      <c r="BR390" s="6"/>
      <c r="BS390" s="7">
        <f>ROUND(16,2)</f>
        <v>16</v>
      </c>
      <c r="BT390" s="7">
        <f>ROUND(2.67999999999999,2)</f>
        <v>2.68</v>
      </c>
      <c r="BU390" s="7">
        <f>ROUND(88,2)</f>
        <v>88</v>
      </c>
      <c r="BV390" s="6"/>
      <c r="BW390" s="6"/>
      <c r="BX390" s="6"/>
      <c r="BY390" s="7">
        <f>ROUND(10,2)</f>
        <v>10</v>
      </c>
      <c r="BZ390" s="6"/>
      <c r="CA390" s="7">
        <f>ROUND(8,2)</f>
        <v>8</v>
      </c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7">
        <f>ROUND(2205.45,2)</f>
        <v>2205.4499999999998</v>
      </c>
      <c r="CR390" s="6"/>
      <c r="CS390" s="6"/>
      <c r="CT390" s="6"/>
      <c r="CU390" s="6"/>
      <c r="CV390" s="7">
        <f>ROUND(25972.3,2)</f>
        <v>25972.3</v>
      </c>
      <c r="CW390" s="6"/>
      <c r="CX390" s="6"/>
      <c r="CY390" s="7">
        <f>ROUND(4479.84,2)</f>
        <v>4479.84</v>
      </c>
      <c r="CZ390" s="6"/>
      <c r="DA390" s="6"/>
      <c r="DB390" s="6"/>
      <c r="DC390" s="6"/>
      <c r="DD390" s="7">
        <f>ROUND(879.14,2)</f>
        <v>879.14</v>
      </c>
      <c r="DE390" s="7">
        <f>ROUND(100.94,2)</f>
        <v>100.94</v>
      </c>
      <c r="DF390" s="7">
        <f>ROUND(35.56,2)</f>
        <v>35.56</v>
      </c>
      <c r="DG390" s="6"/>
      <c r="DH390" s="6"/>
      <c r="DI390" s="6"/>
      <c r="DJ390" s="6"/>
      <c r="DK390" s="6"/>
      <c r="DL390" s="6"/>
      <c r="DM390" s="6"/>
      <c r="DN390" s="7">
        <f>ROUND(7001.62,2)</f>
        <v>7001.62</v>
      </c>
      <c r="DO390" s="6"/>
      <c r="DP390" s="7">
        <f>ROUND(1216.66999999999,2)</f>
        <v>1216.67</v>
      </c>
      <c r="DQ390" s="6"/>
      <c r="DR390" s="6"/>
      <c r="DS390" s="6"/>
      <c r="DT390" s="6"/>
      <c r="DU390" s="6"/>
      <c r="DV390" s="6"/>
      <c r="DW390" s="6"/>
      <c r="DX390" s="6"/>
      <c r="DY390" s="7">
        <f>ROUND(15369.2499999999,2)</f>
        <v>15369.25</v>
      </c>
      <c r="DZ390" s="6"/>
      <c r="EA390" s="7">
        <f>ROUND(2939.89,2)</f>
        <v>2939.89</v>
      </c>
      <c r="EB390" s="6"/>
      <c r="EC390" s="6"/>
      <c r="ED390" s="7">
        <f>ROUND(1929.34,2)</f>
        <v>1929.34</v>
      </c>
      <c r="EE390" s="6"/>
      <c r="EF390" s="7">
        <f>ROUND(986.8,2)</f>
        <v>986.8</v>
      </c>
      <c r="EG390" s="6"/>
      <c r="EH390" s="7">
        <f>ROUND(900.08,2)</f>
        <v>900.08</v>
      </c>
      <c r="EI390" s="7">
        <f>ROUND(715.68,2)</f>
        <v>715.68</v>
      </c>
      <c r="EJ390" s="6"/>
      <c r="EK390" s="6"/>
      <c r="EL390" s="6"/>
      <c r="EM390" s="6"/>
      <c r="EN390" s="7">
        <f>ROUND(231.04,2)</f>
        <v>231.04</v>
      </c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7">
        <f>ROUND(117.75,2)</f>
        <v>117.75</v>
      </c>
      <c r="FA390" s="6"/>
      <c r="FB390" s="7">
        <f>ROUND(607.89,2)</f>
        <v>607.89</v>
      </c>
      <c r="FC390" s="6"/>
      <c r="FD390" s="6"/>
      <c r="FE390" s="6"/>
      <c r="FF390" s="6"/>
      <c r="FG390" s="6"/>
      <c r="FH390" s="6"/>
      <c r="FI390" s="6"/>
      <c r="FJ390" s="7">
        <f>ROUND(1150,2)</f>
        <v>1150</v>
      </c>
      <c r="FK390" s="6"/>
      <c r="FL390" s="6"/>
      <c r="FM390" s="6"/>
      <c r="FN390" s="6"/>
      <c r="FO390" s="6"/>
      <c r="FP390" s="6"/>
      <c r="FQ390" s="6"/>
      <c r="FR390" s="6"/>
      <c r="FS390" s="6"/>
      <c r="FT390" s="7">
        <f>ROUND(3000,2)</f>
        <v>3000</v>
      </c>
      <c r="FU390" s="6"/>
      <c r="FV390" s="6"/>
      <c r="FW390" s="6"/>
      <c r="FX390" s="6"/>
      <c r="FY390" s="7">
        <f>ROUND(67633.7899999999,2)</f>
        <v>67633.789999999994</v>
      </c>
    </row>
    <row r="391" spans="1:181" x14ac:dyDescent="0.3">
      <c r="A391" s="4" t="s">
        <v>954</v>
      </c>
      <c r="B391" s="5" t="s">
        <v>1029</v>
      </c>
      <c r="C391" s="5" t="s">
        <v>181</v>
      </c>
      <c r="D391" s="5" t="s">
        <v>955</v>
      </c>
      <c r="E391" s="5" t="s">
        <v>0</v>
      </c>
      <c r="F391" s="5" t="s">
        <v>0</v>
      </c>
      <c r="G391" s="5" t="s">
        <v>183</v>
      </c>
      <c r="H391" s="8">
        <v>33.880000000000003</v>
      </c>
      <c r="I391" s="7">
        <f>ROUND(83947.74,2)</f>
        <v>83947.74</v>
      </c>
      <c r="J391" s="7">
        <f>ROUND(40,2)</f>
        <v>40</v>
      </c>
      <c r="K391" s="7">
        <f>ROUND(2.75,2)</f>
        <v>2.75</v>
      </c>
      <c r="L391" s="6"/>
      <c r="M391" s="6"/>
      <c r="N391" s="7">
        <f>ROUND(1808.98,2)</f>
        <v>1808.98</v>
      </c>
      <c r="O391" s="6"/>
      <c r="P391" s="6"/>
      <c r="Q391" s="7">
        <f>ROUND(190.85,2)</f>
        <v>190.85</v>
      </c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7">
        <f>ROUND(63.87,2)</f>
        <v>63.87</v>
      </c>
      <c r="AV391" s="7">
        <f>ROUND(4.13,2)</f>
        <v>4.13</v>
      </c>
      <c r="AW391" s="7">
        <f>ROUND(24,2)</f>
        <v>24</v>
      </c>
      <c r="AX391" s="6"/>
      <c r="AY391" s="7">
        <f>ROUND(147.35,2)</f>
        <v>147.35</v>
      </c>
      <c r="AZ391" s="7">
        <f>ROUND(4.65,2)</f>
        <v>4.6500000000000004</v>
      </c>
      <c r="BA391" s="6"/>
      <c r="BB391" s="7">
        <f>ROUND(40,2)</f>
        <v>40</v>
      </c>
      <c r="BC391" s="6"/>
      <c r="BD391" s="7">
        <f>ROUND(5,2)</f>
        <v>5</v>
      </c>
      <c r="BE391" s="7">
        <f>ROUND(1.13,2)</f>
        <v>1.1299999999999999</v>
      </c>
      <c r="BF391" s="7">
        <f>ROUND(3,2)</f>
        <v>3</v>
      </c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7">
        <f>ROUND(8.83,2)</f>
        <v>8.83</v>
      </c>
      <c r="BU391" s="7">
        <f>ROUND(8.12,2)</f>
        <v>8.1199999999999992</v>
      </c>
      <c r="BV391" s="7">
        <f>ROUND(0.67,2)</f>
        <v>0.67</v>
      </c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7">
        <f>ROUND(2353.33,2)</f>
        <v>2353.33</v>
      </c>
      <c r="CR391" s="7">
        <f>ROUND(1283.6,2)</f>
        <v>1283.5999999999999</v>
      </c>
      <c r="CS391" s="7">
        <f>ROUND(132.37,2)</f>
        <v>132.37</v>
      </c>
      <c r="CT391" s="6"/>
      <c r="CU391" s="6"/>
      <c r="CV391" s="7">
        <f>ROUND(58968.4899999999,2)</f>
        <v>58968.49</v>
      </c>
      <c r="CW391" s="6"/>
      <c r="CX391" s="6"/>
      <c r="CY391" s="7">
        <f>ROUND(9404.2,2)</f>
        <v>9404.2000000000007</v>
      </c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7">
        <f>ROUND(2082.98,2)</f>
        <v>2082.98</v>
      </c>
      <c r="EE391" s="7">
        <f>ROUND(204.77,2)</f>
        <v>204.77</v>
      </c>
      <c r="EF391" s="7">
        <f>ROUND(777.84,2)</f>
        <v>777.84</v>
      </c>
      <c r="EG391" s="6"/>
      <c r="EH391" s="7">
        <f>ROUND(4833.68,2)</f>
        <v>4833.68</v>
      </c>
      <c r="EI391" s="7">
        <f>ROUND(227.28,2)</f>
        <v>227.28</v>
      </c>
      <c r="EJ391" s="6"/>
      <c r="EK391" s="7">
        <f>ROUND(1283.6,2)</f>
        <v>1283.5999999999999</v>
      </c>
      <c r="EL391" s="6"/>
      <c r="EM391" s="6"/>
      <c r="EN391" s="7">
        <f>ROUND(160.45,2)</f>
        <v>160.44999999999999</v>
      </c>
      <c r="EO391" s="7">
        <f>ROUND(37.35,2)</f>
        <v>37.35</v>
      </c>
      <c r="EP391" s="7">
        <f>ROUND(144.41,2)</f>
        <v>144.41</v>
      </c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7">
        <f>ROUND(256.72,2)</f>
        <v>256.72000000000003</v>
      </c>
      <c r="FG391" s="6"/>
      <c r="FH391" s="6"/>
      <c r="FI391" s="6"/>
      <c r="FJ391" s="7">
        <f>ROUND(1150,2)</f>
        <v>1150</v>
      </c>
      <c r="FK391" s="6"/>
      <c r="FL391" s="6"/>
      <c r="FM391" s="6"/>
      <c r="FN391" s="6"/>
      <c r="FO391" s="6"/>
      <c r="FP391" s="6"/>
      <c r="FQ391" s="6"/>
      <c r="FR391" s="6"/>
      <c r="FS391" s="6"/>
      <c r="FT391" s="7">
        <f>ROUND(3000,2)</f>
        <v>3000</v>
      </c>
      <c r="FU391" s="6"/>
      <c r="FV391" s="6"/>
      <c r="FW391" s="6"/>
      <c r="FX391" s="6"/>
      <c r="FY391" s="7">
        <f>ROUND(83947.74,2)</f>
        <v>83947.74</v>
      </c>
    </row>
    <row r="392" spans="1:181" ht="26.4" x14ac:dyDescent="0.3">
      <c r="A392" s="4" t="s">
        <v>956</v>
      </c>
      <c r="B392" s="5"/>
      <c r="C392" s="5" t="s">
        <v>476</v>
      </c>
      <c r="D392" s="5" t="s">
        <v>957</v>
      </c>
      <c r="E392" s="5" t="s">
        <v>0</v>
      </c>
      <c r="F392" s="5" t="s">
        <v>0</v>
      </c>
      <c r="G392" s="5" t="s">
        <v>543</v>
      </c>
      <c r="H392" s="8">
        <f>ROUND(1318.21,2)</f>
        <v>1318.21</v>
      </c>
      <c r="I392" s="7">
        <f>ROUND(71142.56,2)</f>
        <v>71142.559999999998</v>
      </c>
      <c r="J392" s="7">
        <f>ROUND(1736,2)</f>
        <v>1736</v>
      </c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7">
        <f>ROUND(-16,2)</f>
        <v>-16</v>
      </c>
      <c r="AJ392" s="7">
        <f>ROUND(2,2)</f>
        <v>2</v>
      </c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7">
        <f>ROUND(120,2)</f>
        <v>120</v>
      </c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7">
        <f>ROUND(8,2)</f>
        <v>8</v>
      </c>
      <c r="BX392" s="6"/>
      <c r="BY392" s="6"/>
      <c r="BZ392" s="6"/>
      <c r="CA392" s="6"/>
      <c r="CB392" s="6"/>
      <c r="CC392" s="6"/>
      <c r="CD392" s="6"/>
      <c r="CE392" s="6"/>
      <c r="CF392" s="6"/>
      <c r="CG392" s="7">
        <f>ROUND(48,2)</f>
        <v>48</v>
      </c>
      <c r="CH392" s="7">
        <f>ROUND(48,2)</f>
        <v>48</v>
      </c>
      <c r="CI392" s="7">
        <f>ROUND(32,2)</f>
        <v>32</v>
      </c>
      <c r="CJ392" s="6"/>
      <c r="CK392" s="6"/>
      <c r="CL392" s="6"/>
      <c r="CM392" s="6"/>
      <c r="CN392" s="7">
        <f>ROUND(112,2)</f>
        <v>112</v>
      </c>
      <c r="CO392" s="6"/>
      <c r="CP392" s="6"/>
      <c r="CQ392" s="7">
        <f>ROUND(2090,2)</f>
        <v>2090</v>
      </c>
      <c r="CR392" s="7">
        <f>ROUND(66437.9599999999,2)</f>
        <v>66437.960000000006</v>
      </c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7">
        <f>ROUND(-527.28,2)</f>
        <v>-527.28</v>
      </c>
      <c r="DS392" s="7">
        <f>ROUND(750,2)</f>
        <v>750</v>
      </c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7">
        <f>ROUND(1318.19999999999,2)</f>
        <v>1318.2</v>
      </c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7">
        <f>ROUND(527.28,2)</f>
        <v>527.28</v>
      </c>
      <c r="FK392" s="6"/>
      <c r="FL392" s="6"/>
      <c r="FM392" s="7">
        <f>ROUND(790.92,2)</f>
        <v>790.92</v>
      </c>
      <c r="FN392" s="7">
        <f>ROUND(790.92,2)</f>
        <v>790.92</v>
      </c>
      <c r="FO392" s="7">
        <f>ROUND(527.28,2)</f>
        <v>527.28</v>
      </c>
      <c r="FP392" s="6"/>
      <c r="FQ392" s="6"/>
      <c r="FR392" s="6"/>
      <c r="FS392" s="6"/>
      <c r="FT392" s="6"/>
      <c r="FU392" s="6"/>
      <c r="FV392" s="7">
        <f>ROUND(527.28,2)</f>
        <v>527.28</v>
      </c>
      <c r="FW392" s="6"/>
      <c r="FX392" s="6"/>
      <c r="FY392" s="7">
        <f>ROUND(71142.56,2)</f>
        <v>71142.559999999998</v>
      </c>
    </row>
    <row r="393" spans="1:181" x14ac:dyDescent="0.3">
      <c r="A393" s="4" t="s">
        <v>958</v>
      </c>
      <c r="B393" s="5" t="s">
        <v>1029</v>
      </c>
      <c r="C393" s="5" t="s">
        <v>181</v>
      </c>
      <c r="D393" s="5" t="s">
        <v>471</v>
      </c>
      <c r="E393" s="5" t="s">
        <v>959</v>
      </c>
      <c r="F393" s="5" t="s">
        <v>0</v>
      </c>
      <c r="G393" s="5" t="s">
        <v>183</v>
      </c>
      <c r="H393" s="9">
        <v>17.5</v>
      </c>
      <c r="I393" s="7">
        <f>ROUND(420,2)</f>
        <v>420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7">
        <f>ROUND(24,2)</f>
        <v>24</v>
      </c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>
        <f>ROUND(5,2)</f>
        <v>5</v>
      </c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7">
        <f>ROUND(29,2)</f>
        <v>29</v>
      </c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7">
        <f>ROUND(420,2)</f>
        <v>420</v>
      </c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7">
        <f>ROUND(420,2)</f>
        <v>420</v>
      </c>
    </row>
    <row r="394" spans="1:181" x14ac:dyDescent="0.3">
      <c r="A394" s="4" t="s">
        <v>960</v>
      </c>
      <c r="B394" s="5" t="s">
        <v>1029</v>
      </c>
      <c r="C394" s="5" t="s">
        <v>181</v>
      </c>
      <c r="D394" s="5" t="s">
        <v>289</v>
      </c>
      <c r="E394" s="5" t="s">
        <v>0</v>
      </c>
      <c r="F394" s="5" t="s">
        <v>0</v>
      </c>
      <c r="G394" s="5" t="s">
        <v>183</v>
      </c>
      <c r="H394" s="8">
        <v>33.380000000000003</v>
      </c>
      <c r="I394" s="7">
        <f>ROUND(87191.21,2)</f>
        <v>87191.21</v>
      </c>
      <c r="J394" s="6"/>
      <c r="K394" s="6"/>
      <c r="L394" s="6"/>
      <c r="M394" s="6"/>
      <c r="N394" s="7">
        <f>ROUND(1777.02,2)</f>
        <v>1777.02</v>
      </c>
      <c r="O394" s="6"/>
      <c r="P394" s="6"/>
      <c r="Q394" s="7">
        <f>ROUND(242.26,2)</f>
        <v>242.26</v>
      </c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7">
        <f>ROUND(11.5,2)</f>
        <v>11.5</v>
      </c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7">
        <f>ROUND(123.05,2)</f>
        <v>123.05</v>
      </c>
      <c r="AQ394" s="6"/>
      <c r="AR394" s="7">
        <f>ROUND(18.43,2)</f>
        <v>18.43</v>
      </c>
      <c r="AS394" s="6"/>
      <c r="AT394" s="6"/>
      <c r="AU394" s="7">
        <f>ROUND(74,2)</f>
        <v>74</v>
      </c>
      <c r="AV394" s="6"/>
      <c r="AW394" s="7">
        <f>ROUND(24.53,2)</f>
        <v>24.53</v>
      </c>
      <c r="AX394" s="7">
        <f>ROUND(7.47,2)</f>
        <v>7.47</v>
      </c>
      <c r="AY394" s="7">
        <f>ROUND(24,2)</f>
        <v>24</v>
      </c>
      <c r="AZ394" s="6"/>
      <c r="BA394" s="6"/>
      <c r="BB394" s="7">
        <f>ROUND(40,2)</f>
        <v>40</v>
      </c>
      <c r="BC394" s="6"/>
      <c r="BD394" s="7">
        <f>ROUND(8,2)</f>
        <v>8</v>
      </c>
      <c r="BE394" s="6"/>
      <c r="BF394" s="6"/>
      <c r="BG394" s="7">
        <f>ROUND(42.47,2)</f>
        <v>42.47</v>
      </c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7">
        <f>ROUND(8,2)</f>
        <v>8</v>
      </c>
      <c r="BT394" s="7">
        <f>ROUND(6.67,2)</f>
        <v>6.67</v>
      </c>
      <c r="BU394" s="7">
        <f>ROUND(29.92,2)</f>
        <v>29.92</v>
      </c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7">
        <f>ROUND(16,2)</f>
        <v>16</v>
      </c>
      <c r="CQ394" s="7">
        <f>ROUND(2453.32,2)</f>
        <v>2453.3200000000002</v>
      </c>
      <c r="CR394" s="6"/>
      <c r="CS394" s="6"/>
      <c r="CT394" s="6"/>
      <c r="CU394" s="6"/>
      <c r="CV394" s="7">
        <f>ROUND(58182.95,2)</f>
        <v>58182.95</v>
      </c>
      <c r="CW394" s="6"/>
      <c r="CX394" s="6"/>
      <c r="CY394" s="7">
        <f>ROUND(11918.1899999999,2)</f>
        <v>11918.19</v>
      </c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7">
        <f>ROUND(370.969999999999,2)</f>
        <v>370.97</v>
      </c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7">
        <f>ROUND(3999.24,2)</f>
        <v>3999.24</v>
      </c>
      <c r="DZ394" s="6"/>
      <c r="EA394" s="7">
        <f>ROUND(889.829999999999,2)</f>
        <v>889.83</v>
      </c>
      <c r="EB394" s="6"/>
      <c r="EC394" s="6"/>
      <c r="ED394" s="7">
        <f>ROUND(2410.6,2)</f>
        <v>2410.6</v>
      </c>
      <c r="EE394" s="6"/>
      <c r="EF394" s="7">
        <f>ROUND(810.719999999999,2)</f>
        <v>810.72</v>
      </c>
      <c r="EG394" s="7">
        <f>ROUND(370.33,2)</f>
        <v>370.33</v>
      </c>
      <c r="EH394" s="7">
        <f>ROUND(801.12,2)</f>
        <v>801.12</v>
      </c>
      <c r="EI394" s="6"/>
      <c r="EJ394" s="6"/>
      <c r="EK394" s="7">
        <f>ROUND(1283.6,2)</f>
        <v>1283.5999999999999</v>
      </c>
      <c r="EL394" s="6"/>
      <c r="EM394" s="6"/>
      <c r="EN394" s="7">
        <f>ROUND(256.72,2)</f>
        <v>256.72000000000003</v>
      </c>
      <c r="EO394" s="6"/>
      <c r="EP394" s="6"/>
      <c r="EQ394" s="7">
        <f>ROUND(1362.86,2)</f>
        <v>1362.86</v>
      </c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7">
        <f>ROUND(1000,2)</f>
        <v>1000</v>
      </c>
      <c r="FK394" s="6"/>
      <c r="FL394" s="6"/>
      <c r="FM394" s="6"/>
      <c r="FN394" s="6"/>
      <c r="FO394" s="6"/>
      <c r="FP394" s="6"/>
      <c r="FQ394" s="6"/>
      <c r="FR394" s="6"/>
      <c r="FS394" s="6"/>
      <c r="FT394" s="7">
        <f>ROUND(3000,2)</f>
        <v>3000</v>
      </c>
      <c r="FU394" s="6"/>
      <c r="FV394" s="6"/>
      <c r="FW394" s="6"/>
      <c r="FX394" s="7">
        <f>ROUND(534.08,2)</f>
        <v>534.08000000000004</v>
      </c>
      <c r="FY394" s="7">
        <f>ROUND(87191.21,2)</f>
        <v>87191.21</v>
      </c>
    </row>
    <row r="395" spans="1:181" x14ac:dyDescent="0.3">
      <c r="A395" s="4" t="s">
        <v>961</v>
      </c>
      <c r="B395" s="5" t="s">
        <v>1029</v>
      </c>
      <c r="C395" s="5" t="s">
        <v>181</v>
      </c>
      <c r="D395" s="5" t="s">
        <v>950</v>
      </c>
      <c r="E395" s="5" t="s">
        <v>0</v>
      </c>
      <c r="F395" s="5" t="s">
        <v>0</v>
      </c>
      <c r="G395" s="5" t="s">
        <v>183</v>
      </c>
      <c r="H395" s="8">
        <v>33.380000000000003</v>
      </c>
      <c r="I395" s="7">
        <f>ROUND(49509.9899999999,2)</f>
        <v>49509.99</v>
      </c>
      <c r="J395" s="6"/>
      <c r="K395" s="6"/>
      <c r="L395" s="6"/>
      <c r="M395" s="6"/>
      <c r="N395" s="7">
        <f>ROUND(997.06,2)</f>
        <v>997.06</v>
      </c>
      <c r="O395" s="6"/>
      <c r="P395" s="6"/>
      <c r="Q395" s="7">
        <f>ROUND(91.73,2)</f>
        <v>91.73</v>
      </c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7">
        <f>ROUND(36,2)</f>
        <v>36</v>
      </c>
      <c r="AV395" s="6"/>
      <c r="AW395" s="7">
        <f>ROUND(24,2)</f>
        <v>24</v>
      </c>
      <c r="AX395" s="6"/>
      <c r="AY395" s="7">
        <f>ROUND(160,2)</f>
        <v>160</v>
      </c>
      <c r="AZ395" s="6"/>
      <c r="BA395" s="6"/>
      <c r="BB395" s="6"/>
      <c r="BC395" s="6"/>
      <c r="BD395" s="7">
        <f>ROUND(8,2)</f>
        <v>8</v>
      </c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7">
        <f>ROUND(156.579999999999,2)</f>
        <v>156.58000000000001</v>
      </c>
      <c r="BT395" s="7">
        <f>ROUND(13.95,2)</f>
        <v>13.95</v>
      </c>
      <c r="BU395" s="7">
        <f>ROUND(111.17,2)</f>
        <v>111.17</v>
      </c>
      <c r="BV395" s="7">
        <f>ROUND(4.58,2)</f>
        <v>4.58</v>
      </c>
      <c r="BW395" s="7">
        <f>ROUND(32,2)</f>
        <v>32</v>
      </c>
      <c r="BX395" s="6"/>
      <c r="BY395" s="7">
        <f>ROUND(40,2)</f>
        <v>40</v>
      </c>
      <c r="BZ395" s="6"/>
      <c r="CA395" s="7">
        <f>ROUND(16,2)</f>
        <v>16</v>
      </c>
      <c r="CB395" s="6"/>
      <c r="CC395" s="7">
        <f>ROUND(632,2)</f>
        <v>632</v>
      </c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7">
        <f>ROUND(2323.07,2)</f>
        <v>2323.0700000000002</v>
      </c>
      <c r="CR395" s="6"/>
      <c r="CS395" s="6"/>
      <c r="CT395" s="6"/>
      <c r="CU395" s="6"/>
      <c r="CV395" s="7">
        <f>ROUND(32431.92,2)</f>
        <v>32431.919999999998</v>
      </c>
      <c r="CW395" s="6"/>
      <c r="CX395" s="6"/>
      <c r="CY395" s="7">
        <f>ROUND(4483.46,2)</f>
        <v>4483.46</v>
      </c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7">
        <f>ROUND(1162.92,2)</f>
        <v>1162.92</v>
      </c>
      <c r="EE395" s="6"/>
      <c r="EF395" s="7">
        <f>ROUND(770.16,2)</f>
        <v>770.16</v>
      </c>
      <c r="EG395" s="6"/>
      <c r="EH395" s="7">
        <f>ROUND(5134.4,2)</f>
        <v>5134.3999999999996</v>
      </c>
      <c r="EI395" s="6"/>
      <c r="EJ395" s="6"/>
      <c r="EK395" s="6"/>
      <c r="EL395" s="6"/>
      <c r="EM395" s="6"/>
      <c r="EN395" s="7">
        <f>ROUND(256.72,2)</f>
        <v>256.72000000000003</v>
      </c>
      <c r="EO395" s="6"/>
      <c r="EP395" s="6"/>
      <c r="EQ395" s="6"/>
      <c r="ER395" s="6"/>
      <c r="ES395" s="6"/>
      <c r="ET395" s="6"/>
      <c r="EU395" s="6"/>
      <c r="EV395" s="7">
        <f>ROUND(500,2)</f>
        <v>500</v>
      </c>
      <c r="EW395" s="6"/>
      <c r="EX395" s="6"/>
      <c r="EY395" s="6"/>
      <c r="EZ395" s="6"/>
      <c r="FA395" s="6"/>
      <c r="FB395" s="6"/>
      <c r="FC395" s="6"/>
      <c r="FD395" s="6"/>
      <c r="FE395" s="6"/>
      <c r="FF395" s="7">
        <f>ROUND(1770.41,2)</f>
        <v>1770.41</v>
      </c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7">
        <f>ROUND(3000,2)</f>
        <v>3000</v>
      </c>
      <c r="FU395" s="6"/>
      <c r="FV395" s="6"/>
      <c r="FW395" s="6"/>
      <c r="FX395" s="6"/>
      <c r="FY395" s="7">
        <f>ROUND(49509.9899999999,2)</f>
        <v>49509.99</v>
      </c>
    </row>
    <row r="396" spans="1:181" x14ac:dyDescent="0.3">
      <c r="A396" s="4" t="s">
        <v>962</v>
      </c>
      <c r="B396" s="5" t="s">
        <v>1029</v>
      </c>
      <c r="C396" s="5" t="s">
        <v>181</v>
      </c>
      <c r="D396" s="5" t="s">
        <v>792</v>
      </c>
      <c r="E396" s="5" t="s">
        <v>0</v>
      </c>
      <c r="F396" s="5" t="s">
        <v>0</v>
      </c>
      <c r="G396" s="5" t="s">
        <v>183</v>
      </c>
      <c r="H396" s="8">
        <v>33.380000000000003</v>
      </c>
      <c r="I396" s="7">
        <f>ROUND(75952.95,2)</f>
        <v>75952.95</v>
      </c>
      <c r="J396" s="6"/>
      <c r="K396" s="6"/>
      <c r="L396" s="6"/>
      <c r="M396" s="6"/>
      <c r="N396" s="7">
        <f>ROUND(1809.8,2)</f>
        <v>1809.8</v>
      </c>
      <c r="O396" s="6"/>
      <c r="P396" s="6"/>
      <c r="Q396" s="7">
        <f>ROUND(76.77,2)</f>
        <v>76.77</v>
      </c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7">
        <f>ROUND(68,2)</f>
        <v>68</v>
      </c>
      <c r="AV396" s="6"/>
      <c r="AW396" s="7">
        <f>ROUND(30.66,2)</f>
        <v>30.66</v>
      </c>
      <c r="AX396" s="7">
        <f>ROUND(9.34,2)</f>
        <v>9.34</v>
      </c>
      <c r="AY396" s="7">
        <f>ROUND(102.75,2)</f>
        <v>102.75</v>
      </c>
      <c r="AZ396" s="7">
        <f>ROUND(1.25,2)</f>
        <v>1.25</v>
      </c>
      <c r="BA396" s="6"/>
      <c r="BB396" s="7">
        <f>ROUND(8,2)</f>
        <v>8</v>
      </c>
      <c r="BC396" s="6"/>
      <c r="BD396" s="7">
        <f>ROUND(8,2)</f>
        <v>8</v>
      </c>
      <c r="BE396" s="7">
        <f>ROUND(2.75,2)</f>
        <v>2.75</v>
      </c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7">
        <f>ROUND(6,2)</f>
        <v>6</v>
      </c>
      <c r="BU396" s="7">
        <f>ROUND(48,2)</f>
        <v>48</v>
      </c>
      <c r="BV396" s="6"/>
      <c r="BW396" s="6"/>
      <c r="BX396" s="6"/>
      <c r="BY396" s="7">
        <f>ROUND(32,2)</f>
        <v>32</v>
      </c>
      <c r="BZ396" s="6"/>
      <c r="CA396" s="7">
        <f>ROUND(24,2)</f>
        <v>24</v>
      </c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7">
        <f>ROUND(2227.32,2)</f>
        <v>2227.3200000000002</v>
      </c>
      <c r="CR396" s="6"/>
      <c r="CS396" s="6"/>
      <c r="CT396" s="6"/>
      <c r="CU396" s="6"/>
      <c r="CV396" s="7">
        <f>ROUND(58958.4499999999,2)</f>
        <v>58958.45</v>
      </c>
      <c r="CW396" s="6"/>
      <c r="CX396" s="6"/>
      <c r="CY396" s="7">
        <f>ROUND(3773.83,2)</f>
        <v>3773.83</v>
      </c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7">
        <f>ROUND(2215.48,2)</f>
        <v>2215.48</v>
      </c>
      <c r="EE396" s="6"/>
      <c r="EF396" s="7">
        <f>ROUND(1005.64,2)</f>
        <v>1005.64</v>
      </c>
      <c r="EG396" s="7">
        <f>ROUND(463.04,2)</f>
        <v>463.04</v>
      </c>
      <c r="EH396" s="7">
        <f>ROUND(3338.05,2)</f>
        <v>3338.05</v>
      </c>
      <c r="EI396" s="7">
        <f>ROUND(60.53,2)</f>
        <v>60.53</v>
      </c>
      <c r="EJ396" s="6"/>
      <c r="EK396" s="7">
        <f>ROUND(256.72,2)</f>
        <v>256.72000000000003</v>
      </c>
      <c r="EL396" s="6"/>
      <c r="EM396" s="6"/>
      <c r="EN396" s="7">
        <f>ROUND(256.72,2)</f>
        <v>256.72000000000003</v>
      </c>
      <c r="EO396" s="7">
        <f>ROUND(90.89,2)</f>
        <v>90.89</v>
      </c>
      <c r="EP396" s="6"/>
      <c r="EQ396" s="6"/>
      <c r="ER396" s="6"/>
      <c r="ES396" s="6"/>
      <c r="ET396" s="6"/>
      <c r="EU396" s="6"/>
      <c r="EV396" s="7">
        <f>ROUND(500,2)</f>
        <v>500</v>
      </c>
      <c r="EW396" s="6"/>
      <c r="EX396" s="6"/>
      <c r="EY396" s="6"/>
      <c r="EZ396" s="6"/>
      <c r="FA396" s="6"/>
      <c r="FB396" s="6"/>
      <c r="FC396" s="6"/>
      <c r="FD396" s="6"/>
      <c r="FE396" s="6"/>
      <c r="FF396" s="7">
        <f>ROUND(1283.6,2)</f>
        <v>1283.5999999999999</v>
      </c>
      <c r="FG396" s="6"/>
      <c r="FH396" s="6"/>
      <c r="FI396" s="6"/>
      <c r="FJ396" s="7">
        <f>ROUND(750,2)</f>
        <v>750</v>
      </c>
      <c r="FK396" s="6"/>
      <c r="FL396" s="6"/>
      <c r="FM396" s="6"/>
      <c r="FN396" s="6"/>
      <c r="FO396" s="6"/>
      <c r="FP396" s="6"/>
      <c r="FQ396" s="6"/>
      <c r="FR396" s="6"/>
      <c r="FS396" s="6"/>
      <c r="FT396" s="7">
        <f>ROUND(3000,2)</f>
        <v>3000</v>
      </c>
      <c r="FU396" s="6"/>
      <c r="FV396" s="6"/>
      <c r="FW396" s="6"/>
      <c r="FX396" s="6"/>
      <c r="FY396" s="7">
        <f>ROUND(75952.95,2)</f>
        <v>75952.95</v>
      </c>
    </row>
    <row r="397" spans="1:181" x14ac:dyDescent="0.3">
      <c r="A397" s="4" t="s">
        <v>963</v>
      </c>
      <c r="B397" s="5" t="s">
        <v>1029</v>
      </c>
      <c r="C397" s="5" t="s">
        <v>181</v>
      </c>
      <c r="D397" s="5" t="s">
        <v>268</v>
      </c>
      <c r="E397" s="5" t="s">
        <v>0</v>
      </c>
      <c r="F397" s="5" t="s">
        <v>0</v>
      </c>
      <c r="G397" s="5" t="s">
        <v>183</v>
      </c>
      <c r="H397" s="9">
        <v>28.37</v>
      </c>
      <c r="I397" s="7">
        <f>ROUND(24401.09,2)</f>
        <v>24401.09</v>
      </c>
      <c r="J397" s="6"/>
      <c r="K397" s="6"/>
      <c r="L397" s="6"/>
      <c r="M397" s="6"/>
      <c r="N397" s="7">
        <f>ROUND(505.209999999999,2)</f>
        <v>505.21</v>
      </c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7">
        <f>ROUND(20,2)</f>
        <v>20</v>
      </c>
      <c r="AV397" s="6"/>
      <c r="AW397" s="6"/>
      <c r="AX397" s="6"/>
      <c r="AY397" s="6"/>
      <c r="AZ397" s="6"/>
      <c r="BA397" s="6"/>
      <c r="BB397" s="6"/>
      <c r="BC397" s="6"/>
      <c r="BD397" s="7">
        <f>ROUND(363.73,2)</f>
        <v>363.73</v>
      </c>
      <c r="BE397" s="7">
        <f>ROUND(0.92,2)</f>
        <v>0.92</v>
      </c>
      <c r="BF397" s="7">
        <f>ROUND(28.49,2)</f>
        <v>28.49</v>
      </c>
      <c r="BG397" s="6"/>
      <c r="BH397" s="6"/>
      <c r="BI397" s="7">
        <f>ROUND(51.75,2)</f>
        <v>51.75</v>
      </c>
      <c r="BJ397" s="7">
        <f>ROUND(10.75,2)</f>
        <v>10.75</v>
      </c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7">
        <f>ROUND(15,2)</f>
        <v>15</v>
      </c>
      <c r="CQ397" s="7">
        <f>ROUND(995.85,2)</f>
        <v>995.85</v>
      </c>
      <c r="CR397" s="6"/>
      <c r="CS397" s="6"/>
      <c r="CT397" s="6"/>
      <c r="CU397" s="6"/>
      <c r="CV397" s="7">
        <f>ROUND(13421.7299999999,2)</f>
        <v>13421.73</v>
      </c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7">
        <f>ROUND(501.999999999999,2)</f>
        <v>502</v>
      </c>
      <c r="EE397" s="6"/>
      <c r="EF397" s="6"/>
      <c r="EG397" s="6"/>
      <c r="EH397" s="6"/>
      <c r="EI397" s="6"/>
      <c r="EJ397" s="6"/>
      <c r="EK397" s="6"/>
      <c r="EL397" s="6"/>
      <c r="EM397" s="6"/>
      <c r="EN397" s="7">
        <f>ROUND(6365.28,2)</f>
        <v>6365.28</v>
      </c>
      <c r="EO397" s="7">
        <f>ROUND(25.84,2)</f>
        <v>25.84</v>
      </c>
      <c r="EP397" s="7">
        <f>ROUND(747.87,2)</f>
        <v>747.87</v>
      </c>
      <c r="EQ397" s="6"/>
      <c r="ER397" s="6"/>
      <c r="ES397" s="6"/>
      <c r="ET397" s="7">
        <f>ROUND(905.63,2)</f>
        <v>905.63</v>
      </c>
      <c r="EU397" s="7">
        <f>ROUND(282.19,2)</f>
        <v>282.19</v>
      </c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7">
        <f>ROUND(225,2)</f>
        <v>225</v>
      </c>
      <c r="FK397" s="6"/>
      <c r="FL397" s="6"/>
      <c r="FM397" s="6"/>
      <c r="FN397" s="6"/>
      <c r="FO397" s="6"/>
      <c r="FP397" s="6"/>
      <c r="FQ397" s="6"/>
      <c r="FR397" s="6"/>
      <c r="FS397" s="6"/>
      <c r="FT397" s="7">
        <f>ROUND(1500,2)</f>
        <v>1500</v>
      </c>
      <c r="FU397" s="6"/>
      <c r="FV397" s="6"/>
      <c r="FW397" s="6"/>
      <c r="FX397" s="7">
        <f>ROUND(425.55,2)</f>
        <v>425.55</v>
      </c>
      <c r="FY397" s="7">
        <f>ROUND(24401.09,2)</f>
        <v>24401.09</v>
      </c>
    </row>
    <row r="398" spans="1:181" x14ac:dyDescent="0.3">
      <c r="A398" s="4" t="s">
        <v>964</v>
      </c>
      <c r="B398" s="5" t="s">
        <v>1029</v>
      </c>
      <c r="C398" s="5" t="s">
        <v>181</v>
      </c>
      <c r="D398" s="5" t="s">
        <v>194</v>
      </c>
      <c r="E398" s="5" t="s">
        <v>0</v>
      </c>
      <c r="F398" s="5" t="s">
        <v>0</v>
      </c>
      <c r="G398" s="5" t="s">
        <v>183</v>
      </c>
      <c r="H398" s="8">
        <v>33.380000000000003</v>
      </c>
      <c r="I398" s="7">
        <f>ROUND(88228.48,2)</f>
        <v>88228.479999999996</v>
      </c>
      <c r="J398" s="6"/>
      <c r="K398" s="6"/>
      <c r="L398" s="6"/>
      <c r="M398" s="6"/>
      <c r="N398" s="7">
        <f>ROUND(1964.67,2)</f>
        <v>1964.67</v>
      </c>
      <c r="O398" s="6"/>
      <c r="P398" s="6"/>
      <c r="Q398" s="7">
        <f>ROUND(270.77,2)</f>
        <v>270.77</v>
      </c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7">
        <f>ROUND(68,2)</f>
        <v>68</v>
      </c>
      <c r="AV398" s="6"/>
      <c r="AW398" s="7">
        <f>ROUND(29.75,2)</f>
        <v>29.75</v>
      </c>
      <c r="AX398" s="7">
        <f>ROUND(2.25,2)</f>
        <v>2.25</v>
      </c>
      <c r="AY398" s="7">
        <f>ROUND(61,2)</f>
        <v>61</v>
      </c>
      <c r="AZ398" s="7">
        <f>ROUND(3,2)</f>
        <v>3</v>
      </c>
      <c r="BA398" s="6"/>
      <c r="BB398" s="7">
        <f>ROUND(8,2)</f>
        <v>8</v>
      </c>
      <c r="BC398" s="6"/>
      <c r="BD398" s="7">
        <f>ROUND(8,2)</f>
        <v>8</v>
      </c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7">
        <f>ROUND(8,2)</f>
        <v>8</v>
      </c>
      <c r="CQ398" s="7">
        <f>ROUND(2423.44,2)</f>
        <v>2423.44</v>
      </c>
      <c r="CR398" s="6"/>
      <c r="CS398" s="6"/>
      <c r="CT398" s="6"/>
      <c r="CU398" s="6"/>
      <c r="CV398" s="7">
        <f>ROUND(64279.2499999999,2)</f>
        <v>64279.25</v>
      </c>
      <c r="CW398" s="6"/>
      <c r="CX398" s="6"/>
      <c r="CY398" s="7">
        <f>ROUND(13291.07,2)</f>
        <v>13291.07</v>
      </c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7">
        <f>ROUND(2215.48,2)</f>
        <v>2215.48</v>
      </c>
      <c r="EE398" s="6"/>
      <c r="EF398" s="7">
        <f>ROUND(983.24,2)</f>
        <v>983.24</v>
      </c>
      <c r="EG398" s="7">
        <f>ROUND(111.54,2)</f>
        <v>111.54</v>
      </c>
      <c r="EH398" s="7">
        <f>ROUND(2018.69,2)</f>
        <v>2018.69</v>
      </c>
      <c r="EI398" s="7">
        <f>ROUND(148.73,2)</f>
        <v>148.72999999999999</v>
      </c>
      <c r="EJ398" s="6"/>
      <c r="EK398" s="7">
        <f>ROUND(256.72,2)</f>
        <v>256.72000000000003</v>
      </c>
      <c r="EL398" s="6"/>
      <c r="EM398" s="6"/>
      <c r="EN398" s="7">
        <f>ROUND(256.72,2)</f>
        <v>256.72000000000003</v>
      </c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7">
        <f>ROUND(1400,2)</f>
        <v>1400</v>
      </c>
      <c r="FK398" s="6"/>
      <c r="FL398" s="6"/>
      <c r="FM398" s="6"/>
      <c r="FN398" s="6"/>
      <c r="FO398" s="6"/>
      <c r="FP398" s="6"/>
      <c r="FQ398" s="6"/>
      <c r="FR398" s="6"/>
      <c r="FS398" s="6"/>
      <c r="FT398" s="7">
        <f>ROUND(3000,2)</f>
        <v>3000</v>
      </c>
      <c r="FU398" s="6"/>
      <c r="FV398" s="6"/>
      <c r="FW398" s="6"/>
      <c r="FX398" s="7">
        <f>ROUND(267.04,2)</f>
        <v>267.04000000000002</v>
      </c>
      <c r="FY398" s="7">
        <f>ROUND(88228.48,2)</f>
        <v>88228.479999999996</v>
      </c>
    </row>
    <row r="399" spans="1:181" x14ac:dyDescent="0.3">
      <c r="A399" s="4" t="s">
        <v>965</v>
      </c>
      <c r="B399" s="5" t="s">
        <v>1029</v>
      </c>
      <c r="C399" s="5" t="s">
        <v>181</v>
      </c>
      <c r="D399" s="5" t="s">
        <v>725</v>
      </c>
      <c r="E399" s="5" t="s">
        <v>801</v>
      </c>
      <c r="F399" s="5" t="s">
        <v>0</v>
      </c>
      <c r="G399" s="5" t="s">
        <v>183</v>
      </c>
      <c r="H399" s="8">
        <v>33.049999999999997</v>
      </c>
      <c r="I399" s="7">
        <f>ROUND(33540.4799999999,2)</f>
        <v>33540.480000000003</v>
      </c>
      <c r="J399" s="6"/>
      <c r="K399" s="6"/>
      <c r="L399" s="6"/>
      <c r="M399" s="6"/>
      <c r="N399" s="7">
        <f>ROUND(907.629999999999,2)</f>
        <v>907.63</v>
      </c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7">
        <f>ROUND(30,2)</f>
        <v>30</v>
      </c>
      <c r="AV399" s="6"/>
      <c r="AW399" s="6"/>
      <c r="AX399" s="6"/>
      <c r="AY399" s="7">
        <f>ROUND(70,2)</f>
        <v>70</v>
      </c>
      <c r="AZ399" s="6"/>
      <c r="BA399" s="6"/>
      <c r="BB399" s="6"/>
      <c r="BC399" s="6"/>
      <c r="BD399" s="7">
        <f>ROUND(8,2)</f>
        <v>8</v>
      </c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7">
        <f>ROUND(20,2)</f>
        <v>20</v>
      </c>
      <c r="BZ399" s="6"/>
      <c r="CA399" s="7">
        <f>ROUND(5,2)</f>
        <v>5</v>
      </c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7">
        <f>ROUND(5,2)</f>
        <v>5</v>
      </c>
      <c r="CQ399" s="7">
        <f>ROUND(1045.63,2)</f>
        <v>1045.6300000000001</v>
      </c>
      <c r="CR399" s="6"/>
      <c r="CS399" s="6"/>
      <c r="CT399" s="6"/>
      <c r="CU399" s="6"/>
      <c r="CV399" s="7">
        <f>ROUND(29307.71,2)</f>
        <v>29307.71</v>
      </c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7">
        <f>ROUND(972.3,2)</f>
        <v>972.3</v>
      </c>
      <c r="EE399" s="6"/>
      <c r="EF399" s="6"/>
      <c r="EG399" s="6"/>
      <c r="EH399" s="7">
        <f>ROUND(2313.5,2)</f>
        <v>2313.5</v>
      </c>
      <c r="EI399" s="6"/>
      <c r="EJ399" s="6"/>
      <c r="EK399" s="6"/>
      <c r="EL399" s="6"/>
      <c r="EM399" s="6"/>
      <c r="EN399" s="7">
        <f>ROUND(256.72,2)</f>
        <v>256.72000000000003</v>
      </c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7">
        <f>ROUND(525,2)</f>
        <v>525</v>
      </c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7">
        <f>ROUND(165.25,2)</f>
        <v>165.25</v>
      </c>
      <c r="FY399" s="7">
        <f>ROUND(33540.4799999999,2)</f>
        <v>33540.480000000003</v>
      </c>
    </row>
    <row r="400" spans="1:181" x14ac:dyDescent="0.3">
      <c r="A400" s="4" t="s">
        <v>966</v>
      </c>
      <c r="B400" s="5"/>
      <c r="C400" s="5" t="s">
        <v>311</v>
      </c>
      <c r="D400" s="5" t="s">
        <v>967</v>
      </c>
      <c r="E400" s="5" t="s">
        <v>0</v>
      </c>
      <c r="F400" s="5" t="s">
        <v>0</v>
      </c>
      <c r="G400" s="5" t="s">
        <v>968</v>
      </c>
      <c r="H400" s="8">
        <f>ROUND(1699.63,2)</f>
        <v>1699.63</v>
      </c>
      <c r="I400" s="7">
        <f>ROUND(97558.72,2)</f>
        <v>97558.720000000001</v>
      </c>
      <c r="J400" s="7">
        <f>ROUND(1550,2)</f>
        <v>1550</v>
      </c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7">
        <f>ROUND(-8,2)</f>
        <v>-8</v>
      </c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7">
        <f>ROUND(12,2)</f>
        <v>12</v>
      </c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7">
        <f>ROUND(8,2)</f>
        <v>8</v>
      </c>
      <c r="BX400" s="6"/>
      <c r="BY400" s="6"/>
      <c r="BZ400" s="6"/>
      <c r="CA400" s="6"/>
      <c r="CB400" s="6"/>
      <c r="CC400" s="6"/>
      <c r="CD400" s="6"/>
      <c r="CE400" s="6"/>
      <c r="CF400" s="7">
        <f>ROUND(40,2)</f>
        <v>40</v>
      </c>
      <c r="CG400" s="7">
        <f>ROUND(46,2)</f>
        <v>46</v>
      </c>
      <c r="CH400" s="7">
        <f>ROUND(56,2)</f>
        <v>56</v>
      </c>
      <c r="CI400" s="7">
        <f>ROUND(32,2)</f>
        <v>32</v>
      </c>
      <c r="CJ400" s="6"/>
      <c r="CK400" s="6"/>
      <c r="CL400" s="6"/>
      <c r="CM400" s="6"/>
      <c r="CN400" s="7">
        <f>ROUND(176,2)</f>
        <v>176</v>
      </c>
      <c r="CO400" s="6"/>
      <c r="CP400" s="7">
        <f>ROUND(80,2)</f>
        <v>80</v>
      </c>
      <c r="CQ400" s="7">
        <f>ROUND(1992,2)</f>
        <v>1992</v>
      </c>
      <c r="CR400" s="7">
        <f>ROUND(81157.3199999999,2)</f>
        <v>81157.320000000007</v>
      </c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7">
        <f>ROUND(-339.93,2)</f>
        <v>-339.93</v>
      </c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7">
        <f>ROUND(4079.12,2)</f>
        <v>4079.12</v>
      </c>
      <c r="FK400" s="6"/>
      <c r="FL400" s="7">
        <f>ROUND(1699.64,2)</f>
        <v>1699.64</v>
      </c>
      <c r="FM400" s="7">
        <f>ROUND(1954.57,2)</f>
        <v>1954.57</v>
      </c>
      <c r="FN400" s="7">
        <f>ROUND(1019.79,2)</f>
        <v>1019.79</v>
      </c>
      <c r="FO400" s="6"/>
      <c r="FP400" s="6"/>
      <c r="FQ400" s="6"/>
      <c r="FR400" s="6"/>
      <c r="FS400" s="6"/>
      <c r="FT400" s="6"/>
      <c r="FU400" s="6"/>
      <c r="FV400" s="7">
        <f>ROUND(4589.01,2)</f>
        <v>4589.01</v>
      </c>
      <c r="FW400" s="6"/>
      <c r="FX400" s="7">
        <f>ROUND(3399.2,2)</f>
        <v>3399.2</v>
      </c>
      <c r="FY400" s="7">
        <f>ROUND(97558.72,2)</f>
        <v>97558.720000000001</v>
      </c>
    </row>
    <row r="401" spans="1:181" x14ac:dyDescent="0.3">
      <c r="A401" s="4" t="s">
        <v>969</v>
      </c>
      <c r="B401" s="5" t="s">
        <v>1029</v>
      </c>
      <c r="C401" s="5" t="s">
        <v>181</v>
      </c>
      <c r="D401" s="5" t="s">
        <v>196</v>
      </c>
      <c r="E401" s="5" t="s">
        <v>0</v>
      </c>
      <c r="F401" s="5" t="s">
        <v>0</v>
      </c>
      <c r="G401" s="5" t="s">
        <v>183</v>
      </c>
      <c r="H401" s="8">
        <v>33.380000000000003</v>
      </c>
      <c r="I401" s="7">
        <f>ROUND(88541.5699999999,2)</f>
        <v>88541.57</v>
      </c>
      <c r="J401" s="6"/>
      <c r="K401" s="6"/>
      <c r="L401" s="6"/>
      <c r="M401" s="6"/>
      <c r="N401" s="7">
        <f>ROUND(2020.98,2)</f>
        <v>2020.98</v>
      </c>
      <c r="O401" s="6"/>
      <c r="P401" s="6"/>
      <c r="Q401" s="7">
        <f>ROUND(218.92,2)</f>
        <v>218.92</v>
      </c>
      <c r="R401" s="6"/>
      <c r="S401" s="6"/>
      <c r="T401" s="6"/>
      <c r="U401" s="6"/>
      <c r="V401" s="6"/>
      <c r="W401" s="6"/>
      <c r="X401" s="6"/>
      <c r="Y401" s="6"/>
      <c r="Z401" s="7">
        <f>ROUND(0.27,2)</f>
        <v>0.27</v>
      </c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7">
        <f>ROUND(68,2)</f>
        <v>68</v>
      </c>
      <c r="AV401" s="6"/>
      <c r="AW401" s="7">
        <f>ROUND(11.5499999999999,2)</f>
        <v>11.55</v>
      </c>
      <c r="AX401" s="7">
        <f>ROUND(12.45,2)</f>
        <v>12.45</v>
      </c>
      <c r="AY401" s="7">
        <f>ROUND(12.44,2)</f>
        <v>12.44</v>
      </c>
      <c r="AZ401" s="7">
        <f>ROUND(19.56,2)</f>
        <v>19.559999999999999</v>
      </c>
      <c r="BA401" s="6"/>
      <c r="BB401" s="6"/>
      <c r="BC401" s="6"/>
      <c r="BD401" s="7">
        <f>ROUND(8,2)</f>
        <v>8</v>
      </c>
      <c r="BE401" s="6"/>
      <c r="BF401" s="6"/>
      <c r="BG401" s="6"/>
      <c r="BH401" s="7">
        <f>ROUND(8,2)</f>
        <v>8</v>
      </c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7">
        <f>ROUND(48,2)</f>
        <v>48</v>
      </c>
      <c r="CQ401" s="7">
        <f>ROUND(2428.17,2)</f>
        <v>2428.17</v>
      </c>
      <c r="CR401" s="6"/>
      <c r="CS401" s="6"/>
      <c r="CT401" s="6"/>
      <c r="CU401" s="6"/>
      <c r="CV401" s="7">
        <f>ROUND(66098.4399999999,2)</f>
        <v>66098.44</v>
      </c>
      <c r="CW401" s="6"/>
      <c r="CX401" s="6"/>
      <c r="CY401" s="7">
        <f>ROUND(10714.36,2)</f>
        <v>10714.36</v>
      </c>
      <c r="CZ401" s="6"/>
      <c r="DA401" s="6"/>
      <c r="DB401" s="6"/>
      <c r="DC401" s="6"/>
      <c r="DD401" s="6"/>
      <c r="DE401" s="6"/>
      <c r="DF401" s="6"/>
      <c r="DG401" s="6"/>
      <c r="DH401" s="7">
        <f>ROUND(17.85,2)</f>
        <v>17.850000000000001</v>
      </c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7">
        <f>ROUND(2215.48,2)</f>
        <v>2215.48</v>
      </c>
      <c r="EE401" s="6"/>
      <c r="EF401" s="7">
        <f>ROUND(381.729999999999,2)</f>
        <v>381.73</v>
      </c>
      <c r="EG401" s="7">
        <f>ROUND(617.21,2)</f>
        <v>617.21</v>
      </c>
      <c r="EH401" s="7">
        <f>ROUND(411.14,2)</f>
        <v>411.14</v>
      </c>
      <c r="EI401" s="7">
        <f>ROUND(969.68,2)</f>
        <v>969.68</v>
      </c>
      <c r="EJ401" s="6"/>
      <c r="EK401" s="6"/>
      <c r="EL401" s="6"/>
      <c r="EM401" s="6"/>
      <c r="EN401" s="7">
        <f>ROUND(256.72,2)</f>
        <v>256.72000000000003</v>
      </c>
      <c r="EO401" s="6"/>
      <c r="EP401" s="6"/>
      <c r="EQ401" s="6"/>
      <c r="ER401" s="6"/>
      <c r="ES401" s="7">
        <f>ROUND(256.72,2)</f>
        <v>256.72000000000003</v>
      </c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7">
        <f>ROUND(2000,2)</f>
        <v>2000</v>
      </c>
      <c r="FK401" s="6"/>
      <c r="FL401" s="6"/>
      <c r="FM401" s="6"/>
      <c r="FN401" s="6"/>
      <c r="FO401" s="6"/>
      <c r="FP401" s="6"/>
      <c r="FQ401" s="6"/>
      <c r="FR401" s="6"/>
      <c r="FS401" s="6"/>
      <c r="FT401" s="7">
        <f>ROUND(3000,2)</f>
        <v>3000</v>
      </c>
      <c r="FU401" s="6"/>
      <c r="FV401" s="6"/>
      <c r="FW401" s="6"/>
      <c r="FX401" s="7">
        <f>ROUND(1602.24,2)</f>
        <v>1602.24</v>
      </c>
      <c r="FY401" s="7">
        <f>ROUND(88541.5699999999,2)</f>
        <v>88541.57</v>
      </c>
    </row>
    <row r="402" spans="1:181" x14ac:dyDescent="0.3">
      <c r="A402" s="4" t="s">
        <v>970</v>
      </c>
      <c r="B402" s="5" t="s">
        <v>1029</v>
      </c>
      <c r="C402" s="5" t="s">
        <v>236</v>
      </c>
      <c r="D402" s="5" t="s">
        <v>435</v>
      </c>
      <c r="E402" s="5" t="s">
        <v>0</v>
      </c>
      <c r="F402" s="5" t="s">
        <v>0</v>
      </c>
      <c r="G402" s="5" t="s">
        <v>330</v>
      </c>
      <c r="H402" s="8">
        <v>28.28</v>
      </c>
      <c r="I402" s="7">
        <f>ROUND(64932.88,2)</f>
        <v>64932.88</v>
      </c>
      <c r="J402" s="6"/>
      <c r="K402" s="6"/>
      <c r="L402" s="6"/>
      <c r="M402" s="6"/>
      <c r="N402" s="6"/>
      <c r="O402" s="6"/>
      <c r="P402" s="6"/>
      <c r="Q402" s="6"/>
      <c r="R402" s="7">
        <f>ROUND(1904,2)</f>
        <v>1904</v>
      </c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7">
        <f>ROUND(56,2)</f>
        <v>56</v>
      </c>
      <c r="AV402" s="6"/>
      <c r="AW402" s="7">
        <f>ROUND(48,2)</f>
        <v>48</v>
      </c>
      <c r="AX402" s="6"/>
      <c r="AY402" s="7">
        <f>ROUND(120,2)</f>
        <v>120</v>
      </c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7">
        <f>ROUND(2128,2)</f>
        <v>2128</v>
      </c>
      <c r="CR402" s="6"/>
      <c r="CS402" s="6"/>
      <c r="CT402" s="6"/>
      <c r="CU402" s="6"/>
      <c r="CV402" s="6"/>
      <c r="CW402" s="6"/>
      <c r="CX402" s="6"/>
      <c r="CY402" s="6"/>
      <c r="CZ402" s="7">
        <f>ROUND(53656.4,2)</f>
        <v>53656.4</v>
      </c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7">
        <f>ROUND(1570.24,2)</f>
        <v>1570.24</v>
      </c>
      <c r="EE402" s="6"/>
      <c r="EF402" s="7">
        <f>ROUND(1346.24,2)</f>
        <v>1346.24</v>
      </c>
      <c r="EG402" s="6"/>
      <c r="EH402" s="7">
        <f>ROUND(3360,2)</f>
        <v>3360</v>
      </c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7">
        <f>ROUND(2000,2)</f>
        <v>2000</v>
      </c>
      <c r="FK402" s="6"/>
      <c r="FL402" s="6"/>
      <c r="FM402" s="6"/>
      <c r="FN402" s="6"/>
      <c r="FO402" s="6"/>
      <c r="FP402" s="6"/>
      <c r="FQ402" s="6"/>
      <c r="FR402" s="6"/>
      <c r="FS402" s="6"/>
      <c r="FT402" s="7">
        <f>ROUND(3000,2)</f>
        <v>3000</v>
      </c>
      <c r="FU402" s="6"/>
      <c r="FV402" s="6"/>
      <c r="FW402" s="6"/>
      <c r="FX402" s="6"/>
      <c r="FY402" s="7">
        <f>ROUND(64932.88,2)</f>
        <v>64932.88</v>
      </c>
    </row>
    <row r="403" spans="1:181" ht="26.4" x14ac:dyDescent="0.3">
      <c r="A403" s="4" t="s">
        <v>971</v>
      </c>
      <c r="B403" s="5"/>
      <c r="C403" s="5" t="s">
        <v>311</v>
      </c>
      <c r="D403" s="5" t="s">
        <v>972</v>
      </c>
      <c r="E403" s="5" t="s">
        <v>0</v>
      </c>
      <c r="F403" s="5" t="s">
        <v>0</v>
      </c>
      <c r="G403" s="5" t="s">
        <v>312</v>
      </c>
      <c r="H403" s="8">
        <f>ROUND(20,2)</f>
        <v>20</v>
      </c>
      <c r="I403" s="7">
        <f>ROUND(47515,2)</f>
        <v>47515</v>
      </c>
      <c r="J403" s="7">
        <f>ROUND(1676,2)</f>
        <v>1676</v>
      </c>
      <c r="K403" s="7">
        <f>ROUND(298.5,2)</f>
        <v>298.5</v>
      </c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7">
        <f>ROUND(8,2)</f>
        <v>8</v>
      </c>
      <c r="BX403" s="6"/>
      <c r="BY403" s="6"/>
      <c r="BZ403" s="6"/>
      <c r="CA403" s="6"/>
      <c r="CB403" s="6"/>
      <c r="CC403" s="6"/>
      <c r="CD403" s="6"/>
      <c r="CE403" s="6"/>
      <c r="CF403" s="6"/>
      <c r="CG403" s="7">
        <f>ROUND(48,2)</f>
        <v>48</v>
      </c>
      <c r="CH403" s="7">
        <f>ROUND(40,2)</f>
        <v>40</v>
      </c>
      <c r="CI403" s="7">
        <f>ROUND(32,2)</f>
        <v>32</v>
      </c>
      <c r="CJ403" s="6"/>
      <c r="CK403" s="6"/>
      <c r="CL403" s="7">
        <f>ROUND(4,2)</f>
        <v>4</v>
      </c>
      <c r="CM403" s="6"/>
      <c r="CN403" s="7">
        <f>ROUND(32,2)</f>
        <v>32</v>
      </c>
      <c r="CO403" s="6"/>
      <c r="CP403" s="6"/>
      <c r="CQ403" s="7">
        <f>ROUND(2138.5,2)</f>
        <v>2138.5</v>
      </c>
      <c r="CR403" s="7">
        <f>ROUND(33520,2)</f>
        <v>33520</v>
      </c>
      <c r="CS403" s="7">
        <f>ROUND(8955,2)</f>
        <v>8955</v>
      </c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7">
        <f>ROUND(160,2)</f>
        <v>160</v>
      </c>
      <c r="FH403" s="6"/>
      <c r="FI403" s="6"/>
      <c r="FJ403" s="7">
        <f>ROUND(1760,2)</f>
        <v>1760</v>
      </c>
      <c r="FK403" s="6"/>
      <c r="FL403" s="6"/>
      <c r="FM403" s="7">
        <f>ROUND(960,2)</f>
        <v>960</v>
      </c>
      <c r="FN403" s="7">
        <f>ROUND(800,2)</f>
        <v>800</v>
      </c>
      <c r="FO403" s="7">
        <f>ROUND(640,2)</f>
        <v>640</v>
      </c>
      <c r="FP403" s="6"/>
      <c r="FQ403" s="6"/>
      <c r="FR403" s="6"/>
      <c r="FS403" s="7">
        <f>ROUND(80,2)</f>
        <v>80</v>
      </c>
      <c r="FT403" s="6"/>
      <c r="FU403" s="6"/>
      <c r="FV403" s="7">
        <f>ROUND(640,2)</f>
        <v>640</v>
      </c>
      <c r="FW403" s="6"/>
      <c r="FX403" s="6"/>
      <c r="FY403" s="7">
        <f>ROUND(47515,2)</f>
        <v>47515</v>
      </c>
    </row>
    <row r="404" spans="1:181" x14ac:dyDescent="0.3">
      <c r="A404" s="4" t="s">
        <v>973</v>
      </c>
      <c r="B404" s="5" t="s">
        <v>1029</v>
      </c>
      <c r="C404" s="5" t="s">
        <v>181</v>
      </c>
      <c r="D404" s="5" t="s">
        <v>249</v>
      </c>
      <c r="E404" s="5" t="s">
        <v>974</v>
      </c>
      <c r="F404" s="5" t="s">
        <v>0</v>
      </c>
      <c r="G404" s="5" t="s">
        <v>183</v>
      </c>
      <c r="H404" s="8">
        <v>33.380000000000003</v>
      </c>
      <c r="I404" s="7">
        <f>ROUND(5817.31,2)</f>
        <v>5817.31</v>
      </c>
      <c r="J404" s="6"/>
      <c r="K404" s="6"/>
      <c r="L404" s="6"/>
      <c r="M404" s="6"/>
      <c r="N404" s="7">
        <f>ROUND(21.7,2)</f>
        <v>21.7</v>
      </c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7">
        <f>ROUND(18,2)</f>
        <v>18</v>
      </c>
      <c r="AQ404" s="6"/>
      <c r="AR404" s="6"/>
      <c r="AS404" s="6"/>
      <c r="AT404" s="6"/>
      <c r="AU404" s="6"/>
      <c r="AV404" s="6"/>
      <c r="AW404" s="6"/>
      <c r="AX404" s="6"/>
      <c r="AY404" s="7">
        <f>ROUND(18,2)</f>
        <v>18</v>
      </c>
      <c r="AZ404" s="6"/>
      <c r="BA404" s="6"/>
      <c r="BB404" s="7">
        <f>ROUND(26,2)</f>
        <v>26</v>
      </c>
      <c r="BC404" s="6"/>
      <c r="BD404" s="7">
        <f>ROUND(8,2)</f>
        <v>8</v>
      </c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7">
        <f>ROUND(360,2)</f>
        <v>360</v>
      </c>
      <c r="BT404" s="6"/>
      <c r="BU404" s="7">
        <f>ROUND(196,2)</f>
        <v>196</v>
      </c>
      <c r="BV404" s="6"/>
      <c r="BW404" s="7">
        <f>ROUND(26,2)</f>
        <v>26</v>
      </c>
      <c r="BX404" s="7">
        <f>ROUND(24,2)</f>
        <v>24</v>
      </c>
      <c r="BY404" s="7">
        <f>ROUND(10,2)</f>
        <v>10</v>
      </c>
      <c r="BZ404" s="6"/>
      <c r="CA404" s="7">
        <f>ROUND(116,2)</f>
        <v>116</v>
      </c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7">
        <f>ROUND(64,2)</f>
        <v>64</v>
      </c>
      <c r="CQ404" s="7">
        <f>ROUND(887.7,2)</f>
        <v>887.7</v>
      </c>
      <c r="CR404" s="6"/>
      <c r="CS404" s="6"/>
      <c r="CT404" s="6"/>
      <c r="CU404" s="6"/>
      <c r="CV404" s="7">
        <f>ROUND(696.349999999999,2)</f>
        <v>696.35</v>
      </c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7">
        <f>ROUND(577.62,2)</f>
        <v>577.62</v>
      </c>
      <c r="DZ404" s="6"/>
      <c r="EA404" s="6"/>
      <c r="EB404" s="6"/>
      <c r="EC404" s="6"/>
      <c r="ED404" s="6"/>
      <c r="EE404" s="6"/>
      <c r="EF404" s="6"/>
      <c r="EG404" s="6"/>
      <c r="EH404" s="7">
        <f>ROUND(577.62,2)</f>
        <v>577.62</v>
      </c>
      <c r="EI404" s="6"/>
      <c r="EJ404" s="6"/>
      <c r="EK404" s="7">
        <f>ROUND(834.34,2)</f>
        <v>834.34</v>
      </c>
      <c r="EL404" s="6"/>
      <c r="EM404" s="6"/>
      <c r="EN404" s="7">
        <f>ROUND(256.72,2)</f>
        <v>256.72000000000003</v>
      </c>
      <c r="EO404" s="6"/>
      <c r="EP404" s="6"/>
      <c r="EQ404" s="6"/>
      <c r="ER404" s="6"/>
      <c r="ES404" s="6"/>
      <c r="ET404" s="6"/>
      <c r="EU404" s="6"/>
      <c r="EV404" s="7">
        <f>ROUND(500,2)</f>
        <v>500</v>
      </c>
      <c r="EW404" s="6"/>
      <c r="EX404" s="6"/>
      <c r="EY404" s="6"/>
      <c r="EZ404" s="6"/>
      <c r="FA404" s="6"/>
      <c r="FB404" s="6"/>
      <c r="FC404" s="6"/>
      <c r="FD404" s="6"/>
      <c r="FE404" s="6"/>
      <c r="FF404" s="7">
        <f>ROUND(320.9,2)</f>
        <v>320.89999999999998</v>
      </c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7">
        <f>ROUND(2053.76,2)</f>
        <v>2053.7600000000002</v>
      </c>
      <c r="FY404" s="7">
        <f>ROUND(5817.31,2)</f>
        <v>5817.31</v>
      </c>
    </row>
    <row r="405" spans="1:181" x14ac:dyDescent="0.3">
      <c r="A405" s="4" t="s">
        <v>975</v>
      </c>
      <c r="B405" s="5" t="s">
        <v>1029</v>
      </c>
      <c r="C405" s="5" t="s">
        <v>181</v>
      </c>
      <c r="D405" s="5" t="s">
        <v>309</v>
      </c>
      <c r="E405" s="5" t="s">
        <v>0</v>
      </c>
      <c r="F405" s="5" t="s">
        <v>0</v>
      </c>
      <c r="G405" s="5" t="s">
        <v>183</v>
      </c>
      <c r="H405" s="8">
        <v>33.380000000000003</v>
      </c>
      <c r="I405" s="7">
        <f>ROUND(105360.85,2)</f>
        <v>105360.85</v>
      </c>
      <c r="J405" s="6"/>
      <c r="K405" s="6"/>
      <c r="L405" s="6"/>
      <c r="M405" s="6"/>
      <c r="N405" s="7">
        <f>ROUND(1172.44999999999,2)</f>
        <v>1172.45</v>
      </c>
      <c r="O405" s="6"/>
      <c r="P405" s="6"/>
      <c r="Q405" s="7">
        <f>ROUND(286.52,2)</f>
        <v>286.52</v>
      </c>
      <c r="R405" s="6"/>
      <c r="S405" s="6"/>
      <c r="T405" s="6"/>
      <c r="U405" s="6"/>
      <c r="V405" s="7">
        <f>ROUND(27.43,2)</f>
        <v>27.43</v>
      </c>
      <c r="W405" s="7">
        <f>ROUND(8.83,2)</f>
        <v>8.83</v>
      </c>
      <c r="X405" s="7">
        <f>ROUND(6.2,2)</f>
        <v>6.2</v>
      </c>
      <c r="Y405" s="7">
        <f>ROUND(1.98,2)</f>
        <v>1.98</v>
      </c>
      <c r="Z405" s="7">
        <f>ROUND(0.28,2)</f>
        <v>0.28000000000000003</v>
      </c>
      <c r="AA405" s="6"/>
      <c r="AB405" s="6"/>
      <c r="AC405" s="6"/>
      <c r="AD405" s="6"/>
      <c r="AE405" s="7">
        <f>ROUND(221.649999999999,2)</f>
        <v>221.65</v>
      </c>
      <c r="AF405" s="6"/>
      <c r="AG405" s="7">
        <f>ROUND(106.59,2)</f>
        <v>106.59</v>
      </c>
      <c r="AH405" s="6"/>
      <c r="AI405" s="6"/>
      <c r="AJ405" s="6"/>
      <c r="AK405" s="6"/>
      <c r="AL405" s="6"/>
      <c r="AM405" s="6"/>
      <c r="AN405" s="6"/>
      <c r="AO405" s="6"/>
      <c r="AP405" s="7">
        <f>ROUND(458.419999999999,2)</f>
        <v>458.42</v>
      </c>
      <c r="AQ405" s="6"/>
      <c r="AR405" s="7">
        <f>ROUND(197.2,2)</f>
        <v>197.2</v>
      </c>
      <c r="AS405" s="6"/>
      <c r="AT405" s="6"/>
      <c r="AU405" s="7">
        <f>ROUND(75.67,2)</f>
        <v>75.67</v>
      </c>
      <c r="AV405" s="7">
        <f>ROUND(0.33,2)</f>
        <v>0.33</v>
      </c>
      <c r="AW405" s="7">
        <f>ROUND(33,2)</f>
        <v>33</v>
      </c>
      <c r="AX405" s="7">
        <f>ROUND(3,2)</f>
        <v>3</v>
      </c>
      <c r="AY405" s="7">
        <f>ROUND(38,2)</f>
        <v>38</v>
      </c>
      <c r="AZ405" s="7">
        <f>ROUND(16,2)</f>
        <v>16</v>
      </c>
      <c r="BA405" s="6"/>
      <c r="BB405" s="7">
        <f>ROUND(28,2)</f>
        <v>28</v>
      </c>
      <c r="BC405" s="6"/>
      <c r="BD405" s="7">
        <f>ROUND(25,2)</f>
        <v>25</v>
      </c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7">
        <f>ROUND(39.83,2)</f>
        <v>39.83</v>
      </c>
      <c r="BP405" s="7">
        <f>ROUND(3.42,2)</f>
        <v>3.42</v>
      </c>
      <c r="BQ405" s="7">
        <f>ROUND(5.42,2)</f>
        <v>5.42</v>
      </c>
      <c r="BR405" s="6"/>
      <c r="BS405" s="6"/>
      <c r="BT405" s="7">
        <f>ROUND(0.42,2)</f>
        <v>0.42</v>
      </c>
      <c r="BU405" s="7">
        <f>ROUND(17.66,2)</f>
        <v>17.66</v>
      </c>
      <c r="BV405" s="6"/>
      <c r="BW405" s="6"/>
      <c r="BX405" s="6"/>
      <c r="BY405" s="7">
        <f>ROUND(18,2)</f>
        <v>18</v>
      </c>
      <c r="BZ405" s="6"/>
      <c r="CA405" s="7">
        <f>ROUND(24,2)</f>
        <v>24</v>
      </c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7">
        <f>ROUND(24,2)</f>
        <v>24</v>
      </c>
      <c r="CQ405" s="7">
        <f>ROUND(2839.3,2)</f>
        <v>2839.3</v>
      </c>
      <c r="CR405" s="6"/>
      <c r="CS405" s="6"/>
      <c r="CT405" s="6"/>
      <c r="CU405" s="6"/>
      <c r="CV405" s="7">
        <f>ROUND(38225.45,2)</f>
        <v>38225.449999999997</v>
      </c>
      <c r="CW405" s="6"/>
      <c r="CX405" s="6"/>
      <c r="CY405" s="7">
        <f>ROUND(14048.64,2)</f>
        <v>14048.64</v>
      </c>
      <c r="CZ405" s="6"/>
      <c r="DA405" s="6"/>
      <c r="DB405" s="6"/>
      <c r="DC405" s="6"/>
      <c r="DD405" s="7">
        <f>ROUND(886.439999999999,2)</f>
        <v>886.44</v>
      </c>
      <c r="DE405" s="7">
        <f>ROUND(431.409999999999,2)</f>
        <v>431.41</v>
      </c>
      <c r="DF405" s="7">
        <f>ROUND(200.9,2)</f>
        <v>200.9</v>
      </c>
      <c r="DG405" s="7">
        <f>ROUND(96.6799999999999,2)</f>
        <v>96.68</v>
      </c>
      <c r="DH405" s="7">
        <f>ROUND(17.97,2)</f>
        <v>17.97</v>
      </c>
      <c r="DI405" s="6"/>
      <c r="DJ405" s="6"/>
      <c r="DK405" s="6"/>
      <c r="DL405" s="6"/>
      <c r="DM405" s="6"/>
      <c r="DN405" s="7">
        <f>ROUND(7284.21,2)</f>
        <v>7284.21</v>
      </c>
      <c r="DO405" s="6"/>
      <c r="DP405" s="7">
        <f>ROUND(5199.73,2)</f>
        <v>5199.7299999999996</v>
      </c>
      <c r="DQ405" s="6"/>
      <c r="DR405" s="6"/>
      <c r="DS405" s="6"/>
      <c r="DT405" s="6"/>
      <c r="DU405" s="6"/>
      <c r="DV405" s="6"/>
      <c r="DW405" s="6"/>
      <c r="DX405" s="6"/>
      <c r="DY405" s="7">
        <f>ROUND(14992.5899999999,2)</f>
        <v>14992.59</v>
      </c>
      <c r="DZ405" s="6"/>
      <c r="EA405" s="7">
        <f>ROUND(9753,2)</f>
        <v>9753</v>
      </c>
      <c r="EB405" s="6"/>
      <c r="EC405" s="6"/>
      <c r="ED405" s="7">
        <f>ROUND(2465.79,2)</f>
        <v>2465.79</v>
      </c>
      <c r="EE405" s="7">
        <f>ROUND(16.36,2)</f>
        <v>16.36</v>
      </c>
      <c r="EF405" s="7">
        <f>ROUND(1066.65,2)</f>
        <v>1066.6500000000001</v>
      </c>
      <c r="EG405" s="7">
        <f>ROUND(144.41,2)</f>
        <v>144.41</v>
      </c>
      <c r="EH405" s="7">
        <f>ROUND(1227.1,2)</f>
        <v>1227.0999999999999</v>
      </c>
      <c r="EI405" s="7">
        <f>ROUND(770.16,2)</f>
        <v>770.16</v>
      </c>
      <c r="EJ405" s="6"/>
      <c r="EK405" s="7">
        <f>ROUND(906.199999999999,2)</f>
        <v>906.2</v>
      </c>
      <c r="EL405" s="6"/>
      <c r="EM405" s="6"/>
      <c r="EN405" s="7">
        <f>ROUND(818.569999999999,2)</f>
        <v>818.57</v>
      </c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7">
        <f>ROUND(1301.44999999999,2)</f>
        <v>1301.45</v>
      </c>
      <c r="FC405" s="7">
        <f>ROUND(165.39,2)</f>
        <v>165.39</v>
      </c>
      <c r="FD405" s="7">
        <f>ROUND(173.93,2)</f>
        <v>173.93</v>
      </c>
      <c r="FE405" s="6"/>
      <c r="FF405" s="7">
        <f>ROUND(566.7,2)</f>
        <v>566.70000000000005</v>
      </c>
      <c r="FG405" s="6"/>
      <c r="FH405" s="6"/>
      <c r="FI405" s="6"/>
      <c r="FJ405" s="7">
        <f>ROUND(800,2)</f>
        <v>800</v>
      </c>
      <c r="FK405" s="6"/>
      <c r="FL405" s="6"/>
      <c r="FM405" s="6"/>
      <c r="FN405" s="6"/>
      <c r="FO405" s="6"/>
      <c r="FP405" s="6"/>
      <c r="FQ405" s="6"/>
      <c r="FR405" s="6"/>
      <c r="FS405" s="6"/>
      <c r="FT405" s="7">
        <f>ROUND(3000,2)</f>
        <v>3000</v>
      </c>
      <c r="FU405" s="6"/>
      <c r="FV405" s="6"/>
      <c r="FW405" s="6"/>
      <c r="FX405" s="7">
        <f>ROUND(801.12,2)</f>
        <v>801.12</v>
      </c>
      <c r="FY405" s="7">
        <f>ROUND(105360.85,2)</f>
        <v>105360.85</v>
      </c>
    </row>
    <row r="406" spans="1:181" ht="26.4" x14ac:dyDescent="0.3">
      <c r="A406" s="4" t="s">
        <v>976</v>
      </c>
      <c r="B406" s="5" t="s">
        <v>1029</v>
      </c>
      <c r="C406" s="5" t="s">
        <v>181</v>
      </c>
      <c r="D406" s="5" t="s">
        <v>267</v>
      </c>
      <c r="E406" s="5" t="s">
        <v>0</v>
      </c>
      <c r="F406" s="5" t="s">
        <v>0</v>
      </c>
      <c r="G406" s="5" t="s">
        <v>183</v>
      </c>
      <c r="H406" s="9">
        <v>31.71</v>
      </c>
      <c r="I406" s="7">
        <f>ROUND(82000.3,2)</f>
        <v>82000.3</v>
      </c>
      <c r="J406" s="6"/>
      <c r="K406" s="6"/>
      <c r="L406" s="6"/>
      <c r="M406" s="6"/>
      <c r="N406" s="7">
        <f>ROUND(1509.06,2)</f>
        <v>1509.06</v>
      </c>
      <c r="O406" s="6"/>
      <c r="P406" s="6"/>
      <c r="Q406" s="7">
        <f>ROUND(230.47,2)</f>
        <v>230.47</v>
      </c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7">
        <f>ROUND(56.53,2)</f>
        <v>56.53</v>
      </c>
      <c r="AF406" s="6"/>
      <c r="AG406" s="7">
        <f>ROUND(1.3,2)</f>
        <v>1.3</v>
      </c>
      <c r="AH406" s="6"/>
      <c r="AI406" s="6"/>
      <c r="AJ406" s="6"/>
      <c r="AK406" s="6"/>
      <c r="AL406" s="6"/>
      <c r="AM406" s="6"/>
      <c r="AN406" s="6"/>
      <c r="AO406" s="6"/>
      <c r="AP406" s="7">
        <f>ROUND(395.91,2)</f>
        <v>395.91</v>
      </c>
      <c r="AQ406" s="6"/>
      <c r="AR406" s="7">
        <f>ROUND(71.16,2)</f>
        <v>71.16</v>
      </c>
      <c r="AS406" s="6"/>
      <c r="AT406" s="6"/>
      <c r="AU406" s="7">
        <f>ROUND(72,2)</f>
        <v>72</v>
      </c>
      <c r="AV406" s="6"/>
      <c r="AW406" s="7">
        <f>ROUND(32,2)</f>
        <v>32</v>
      </c>
      <c r="AX406" s="6"/>
      <c r="AY406" s="7">
        <f>ROUND(32,2)</f>
        <v>32</v>
      </c>
      <c r="AZ406" s="6"/>
      <c r="BA406" s="6"/>
      <c r="BB406" s="7">
        <f>ROUND(8,2)</f>
        <v>8</v>
      </c>
      <c r="BC406" s="6"/>
      <c r="BD406" s="7">
        <f>ROUND(8,2)</f>
        <v>8</v>
      </c>
      <c r="BE406" s="7">
        <f>ROUND(3.58,2)</f>
        <v>3.58</v>
      </c>
      <c r="BF406" s="6"/>
      <c r="BG406" s="6"/>
      <c r="BH406" s="6"/>
      <c r="BI406" s="6"/>
      <c r="BJ406" s="6"/>
      <c r="BK406" s="6"/>
      <c r="BL406" s="6"/>
      <c r="BM406" s="6"/>
      <c r="BN406" s="6"/>
      <c r="BO406" s="7">
        <f>ROUND(17.5,2)</f>
        <v>17.5</v>
      </c>
      <c r="BP406" s="6"/>
      <c r="BQ406" s="6"/>
      <c r="BR406" s="6"/>
      <c r="BS406" s="6"/>
      <c r="BT406" s="7">
        <f>ROUND(1,2)</f>
        <v>1</v>
      </c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7">
        <f>ROUND(2438.51,2)</f>
        <v>2438.5100000000002</v>
      </c>
      <c r="CR406" s="6"/>
      <c r="CS406" s="6"/>
      <c r="CT406" s="6"/>
      <c r="CU406" s="6"/>
      <c r="CV406" s="7">
        <f>ROUND(45611.8199999999,2)</f>
        <v>45611.82</v>
      </c>
      <c r="CW406" s="6"/>
      <c r="CX406" s="6"/>
      <c r="CY406" s="7">
        <f>ROUND(10254.7999999999,2)</f>
        <v>10254.799999999999</v>
      </c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7">
        <f>ROUND(1649.01,2)</f>
        <v>1649.01</v>
      </c>
      <c r="DO406" s="6"/>
      <c r="DP406" s="7">
        <f>ROUND(56.32,2)</f>
        <v>56.32</v>
      </c>
      <c r="DQ406" s="6"/>
      <c r="DR406" s="6"/>
      <c r="DS406" s="6"/>
      <c r="DT406" s="6"/>
      <c r="DU406" s="6"/>
      <c r="DV406" s="6"/>
      <c r="DW406" s="6"/>
      <c r="DX406" s="6"/>
      <c r="DY406" s="7">
        <f>ROUND(11665.1,2)</f>
        <v>11665.1</v>
      </c>
      <c r="DZ406" s="6"/>
      <c r="EA406" s="7">
        <f>ROUND(3055.38,2)</f>
        <v>3055.38</v>
      </c>
      <c r="EB406" s="6"/>
      <c r="EC406" s="6"/>
      <c r="ED406" s="7">
        <f>ROUND(2117.27999999999,2)</f>
        <v>2117.2800000000002</v>
      </c>
      <c r="EE406" s="6"/>
      <c r="EF406" s="7">
        <f>ROUND(984.64,2)</f>
        <v>984.64</v>
      </c>
      <c r="EG406" s="6"/>
      <c r="EH406" s="7">
        <f>ROUND(1004.8,2)</f>
        <v>1004.8</v>
      </c>
      <c r="EI406" s="6"/>
      <c r="EJ406" s="6"/>
      <c r="EK406" s="7">
        <f>ROUND(251.2,2)</f>
        <v>251.2</v>
      </c>
      <c r="EL406" s="6"/>
      <c r="EM406" s="6"/>
      <c r="EN406" s="7">
        <f>ROUND(231.04,2)</f>
        <v>231.04</v>
      </c>
      <c r="EO406" s="7">
        <f>ROUND(113.99,2)</f>
        <v>113.99</v>
      </c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7">
        <f>ROUND(554.92,2)</f>
        <v>554.91999999999996</v>
      </c>
      <c r="FC406" s="6"/>
      <c r="FD406" s="6"/>
      <c r="FE406" s="6"/>
      <c r="FF406" s="6"/>
      <c r="FG406" s="6"/>
      <c r="FH406" s="6"/>
      <c r="FI406" s="6"/>
      <c r="FJ406" s="7">
        <f>ROUND(1450,2)</f>
        <v>1450</v>
      </c>
      <c r="FK406" s="6"/>
      <c r="FL406" s="6"/>
      <c r="FM406" s="6"/>
      <c r="FN406" s="6"/>
      <c r="FO406" s="6"/>
      <c r="FP406" s="6"/>
      <c r="FQ406" s="6"/>
      <c r="FR406" s="6"/>
      <c r="FS406" s="6"/>
      <c r="FT406" s="7">
        <f>ROUND(3000,2)</f>
        <v>3000</v>
      </c>
      <c r="FU406" s="6"/>
      <c r="FV406" s="6"/>
      <c r="FW406" s="6"/>
      <c r="FX406" s="6"/>
      <c r="FY406" s="7">
        <f>ROUND(82000.3,2)</f>
        <v>82000.3</v>
      </c>
    </row>
    <row r="407" spans="1:181" x14ac:dyDescent="0.3">
      <c r="A407" s="4" t="s">
        <v>977</v>
      </c>
      <c r="B407" s="5" t="s">
        <v>1029</v>
      </c>
      <c r="C407" s="5" t="s">
        <v>181</v>
      </c>
      <c r="D407" s="5" t="s">
        <v>554</v>
      </c>
      <c r="E407" s="5" t="s">
        <v>0</v>
      </c>
      <c r="F407" s="5" t="s">
        <v>0</v>
      </c>
      <c r="G407" s="5" t="s">
        <v>183</v>
      </c>
      <c r="H407" s="9">
        <v>30.04</v>
      </c>
      <c r="I407" s="7">
        <f>ROUND(42910.1899999999,2)</f>
        <v>42910.19</v>
      </c>
      <c r="J407" s="6"/>
      <c r="K407" s="6"/>
      <c r="L407" s="6"/>
      <c r="M407" s="6"/>
      <c r="N407" s="7">
        <f>ROUND(1199.31999999999,2)</f>
        <v>1199.32</v>
      </c>
      <c r="O407" s="6"/>
      <c r="P407" s="6"/>
      <c r="Q407" s="7">
        <f>ROUND(0.49,2)</f>
        <v>0.49</v>
      </c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7">
        <f>ROUND(96.03,2)</f>
        <v>96.03</v>
      </c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7">
        <f>ROUND(40,2)</f>
        <v>40</v>
      </c>
      <c r="AV407" s="6"/>
      <c r="AW407" s="7">
        <f>ROUND(5,2)</f>
        <v>5</v>
      </c>
      <c r="AX407" s="6"/>
      <c r="AY407" s="6"/>
      <c r="AZ407" s="6"/>
      <c r="BA407" s="6"/>
      <c r="BB407" s="7">
        <f>ROUND(5,2)</f>
        <v>5</v>
      </c>
      <c r="BC407" s="6"/>
      <c r="BD407" s="7">
        <f>ROUND(157.8,2)</f>
        <v>157.80000000000001</v>
      </c>
      <c r="BE407" s="6"/>
      <c r="BF407" s="7">
        <f>ROUND(21.02,2)</f>
        <v>21.02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7">
        <f>ROUND(30,2)</f>
        <v>30</v>
      </c>
      <c r="BR407" s="6"/>
      <c r="BS407" s="6"/>
      <c r="BT407" s="6"/>
      <c r="BU407" s="6"/>
      <c r="BV407" s="6"/>
      <c r="BW407" s="6"/>
      <c r="BX407" s="6"/>
      <c r="BY407" s="7">
        <f>ROUND(5,2)</f>
        <v>5</v>
      </c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7">
        <f>ROUND(10,2)</f>
        <v>10</v>
      </c>
      <c r="CQ407" s="7">
        <f>ROUND(1569.65999999999,2)</f>
        <v>1569.66</v>
      </c>
      <c r="CR407" s="6"/>
      <c r="CS407" s="6"/>
      <c r="CT407" s="6"/>
      <c r="CU407" s="6"/>
      <c r="CV407" s="7">
        <f>ROUND(32392.81,2)</f>
        <v>32392.81</v>
      </c>
      <c r="CW407" s="6"/>
      <c r="CX407" s="6"/>
      <c r="CY407" s="7">
        <f>ROUND(12.86,2)</f>
        <v>12.86</v>
      </c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7">
        <f>ROUND(2581.25,2)</f>
        <v>2581.25</v>
      </c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7">
        <f>ROUND(1019.59999999999,2)</f>
        <v>1019.6</v>
      </c>
      <c r="EE407" s="6"/>
      <c r="EF407" s="7">
        <f>ROUND(140.45,2)</f>
        <v>140.44999999999999</v>
      </c>
      <c r="EG407" s="6"/>
      <c r="EH407" s="6"/>
      <c r="EI407" s="6"/>
      <c r="EJ407" s="6"/>
      <c r="EK407" s="7">
        <f>ROUND(148.75,2)</f>
        <v>148.75</v>
      </c>
      <c r="EL407" s="6"/>
      <c r="EM407" s="6"/>
      <c r="EN407" s="7">
        <f>ROUND(2839.74,2)</f>
        <v>2839.74</v>
      </c>
      <c r="EO407" s="6"/>
      <c r="EP407" s="7">
        <f>ROUND(551.78,2)</f>
        <v>551.78</v>
      </c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7">
        <f>ROUND(647.55,2)</f>
        <v>647.54999999999995</v>
      </c>
      <c r="FE407" s="6"/>
      <c r="FF407" s="6"/>
      <c r="FG407" s="6"/>
      <c r="FH407" s="6"/>
      <c r="FI407" s="6"/>
      <c r="FJ407" s="7">
        <f>ROUND(775,2)</f>
        <v>775</v>
      </c>
      <c r="FK407" s="6"/>
      <c r="FL407" s="6"/>
      <c r="FM407" s="6"/>
      <c r="FN407" s="6"/>
      <c r="FO407" s="6"/>
      <c r="FP407" s="6"/>
      <c r="FQ407" s="6"/>
      <c r="FR407" s="6"/>
      <c r="FS407" s="6"/>
      <c r="FT407" s="7">
        <f>ROUND(1500,2)</f>
        <v>1500</v>
      </c>
      <c r="FU407" s="6"/>
      <c r="FV407" s="6"/>
      <c r="FW407" s="6"/>
      <c r="FX407" s="7">
        <f>ROUND(300.4,2)</f>
        <v>300.39999999999998</v>
      </c>
      <c r="FY407" s="7">
        <f>ROUND(42910.1899999999,2)</f>
        <v>42910.19</v>
      </c>
    </row>
    <row r="408" spans="1:181" x14ac:dyDescent="0.3">
      <c r="A408" s="4" t="s">
        <v>978</v>
      </c>
      <c r="B408" s="5" t="s">
        <v>1029</v>
      </c>
      <c r="C408" s="5" t="s">
        <v>181</v>
      </c>
      <c r="D408" s="5" t="s">
        <v>344</v>
      </c>
      <c r="E408" s="5" t="s">
        <v>0</v>
      </c>
      <c r="F408" s="5" t="s">
        <v>0</v>
      </c>
      <c r="G408" s="5" t="s">
        <v>183</v>
      </c>
      <c r="H408" s="8">
        <v>33.380000000000003</v>
      </c>
      <c r="I408" s="7">
        <f>ROUND(65283.06,2)</f>
        <v>65283.06</v>
      </c>
      <c r="J408" s="6"/>
      <c r="K408" s="6"/>
      <c r="L408" s="6"/>
      <c r="M408" s="6"/>
      <c r="N408" s="7">
        <f>ROUND(1649.6,2)</f>
        <v>1649.6</v>
      </c>
      <c r="O408" s="6"/>
      <c r="P408" s="6"/>
      <c r="Q408" s="7">
        <f>ROUND(42.93,2)</f>
        <v>42.93</v>
      </c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7">
        <f>ROUND(8,2)</f>
        <v>8</v>
      </c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7">
        <f>ROUND(57.75,2)</f>
        <v>57.75</v>
      </c>
      <c r="AQ408" s="6"/>
      <c r="AR408" s="6"/>
      <c r="AS408" s="6"/>
      <c r="AT408" s="6"/>
      <c r="AU408" s="7">
        <f>ROUND(52,2)</f>
        <v>52</v>
      </c>
      <c r="AV408" s="6"/>
      <c r="AW408" s="7">
        <f>ROUND(34.98,2)</f>
        <v>34.979999999999997</v>
      </c>
      <c r="AX408" s="7">
        <f>ROUND(1.02,2)</f>
        <v>1.02</v>
      </c>
      <c r="AY408" s="7">
        <f>ROUND(50,2)</f>
        <v>50</v>
      </c>
      <c r="AZ408" s="6"/>
      <c r="BA408" s="6"/>
      <c r="BB408" s="6"/>
      <c r="BC408" s="6"/>
      <c r="BD408" s="7">
        <f>ROUND(8,2)</f>
        <v>8</v>
      </c>
      <c r="BE408" s="7">
        <f>ROUND(1.58,2)</f>
        <v>1.58</v>
      </c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7">
        <f>ROUND(104,2)</f>
        <v>104</v>
      </c>
      <c r="BT408" s="7">
        <f>ROUND(7.9,2)</f>
        <v>7.9</v>
      </c>
      <c r="BU408" s="6"/>
      <c r="BV408" s="6"/>
      <c r="BW408" s="7">
        <f>ROUND(16,2)</f>
        <v>16</v>
      </c>
      <c r="BX408" s="7">
        <f>ROUND(24,2)</f>
        <v>24</v>
      </c>
      <c r="BY408" s="7">
        <f>ROUND(42,2)</f>
        <v>42</v>
      </c>
      <c r="BZ408" s="6"/>
      <c r="CA408" s="7">
        <f>ROUND(103.5,2)</f>
        <v>103.5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7">
        <f>ROUND(2203.26,2)</f>
        <v>2203.2600000000002</v>
      </c>
      <c r="CR408" s="6"/>
      <c r="CS408" s="6"/>
      <c r="CT408" s="6"/>
      <c r="CU408" s="6"/>
      <c r="CV408" s="7">
        <f>ROUND(53337.25,2)</f>
        <v>53337.25</v>
      </c>
      <c r="CW408" s="6"/>
      <c r="CX408" s="6"/>
      <c r="CY408" s="7">
        <f>ROUND(2074.39999999999,2)</f>
        <v>2074.4</v>
      </c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7">
        <f>ROUND(267.04,2)</f>
        <v>267.04000000000002</v>
      </c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7">
        <f>ROUND(1760.79,2)</f>
        <v>1760.79</v>
      </c>
      <c r="DZ408" s="6"/>
      <c r="EA408" s="6"/>
      <c r="EB408" s="6"/>
      <c r="EC408" s="6"/>
      <c r="ED408" s="7">
        <f>ROUND(1662.36,2)</f>
        <v>1662.36</v>
      </c>
      <c r="EE408" s="6"/>
      <c r="EF408" s="7">
        <f>ROUND(1107.53,2)</f>
        <v>1107.53</v>
      </c>
      <c r="EG408" s="7">
        <f>ROUND(50.57,2)</f>
        <v>50.57</v>
      </c>
      <c r="EH408" s="7">
        <f>ROUND(1565.46,2)</f>
        <v>1565.46</v>
      </c>
      <c r="EI408" s="6"/>
      <c r="EJ408" s="6"/>
      <c r="EK408" s="6"/>
      <c r="EL408" s="6"/>
      <c r="EM408" s="6"/>
      <c r="EN408" s="7">
        <f>ROUND(256.72,2)</f>
        <v>256.72000000000003</v>
      </c>
      <c r="EO408" s="7">
        <f>ROUND(50.94,2)</f>
        <v>50.94</v>
      </c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7">
        <f>ROUND(150,2)</f>
        <v>150</v>
      </c>
      <c r="FK408" s="6"/>
      <c r="FL408" s="6"/>
      <c r="FM408" s="6"/>
      <c r="FN408" s="6"/>
      <c r="FO408" s="6"/>
      <c r="FP408" s="6"/>
      <c r="FQ408" s="6"/>
      <c r="FR408" s="6"/>
      <c r="FS408" s="6"/>
      <c r="FT408" s="7">
        <f>ROUND(3000,2)</f>
        <v>3000</v>
      </c>
      <c r="FU408" s="6"/>
      <c r="FV408" s="6"/>
      <c r="FW408" s="6"/>
      <c r="FX408" s="6"/>
      <c r="FY408" s="7">
        <f>ROUND(65283.06,2)</f>
        <v>65283.06</v>
      </c>
    </row>
    <row r="409" spans="1:181" x14ac:dyDescent="0.3">
      <c r="A409" s="4" t="s">
        <v>979</v>
      </c>
      <c r="B409" s="5" t="s">
        <v>1029</v>
      </c>
      <c r="C409" s="5" t="s">
        <v>181</v>
      </c>
      <c r="D409" s="5" t="s">
        <v>527</v>
      </c>
      <c r="E409" s="5" t="s">
        <v>0</v>
      </c>
      <c r="F409" s="5" t="s">
        <v>0</v>
      </c>
      <c r="G409" s="5" t="s">
        <v>183</v>
      </c>
      <c r="H409" s="8">
        <v>33.71</v>
      </c>
      <c r="I409" s="7">
        <f>ROUND(92890.6299999999,2)</f>
        <v>92890.63</v>
      </c>
      <c r="J409" s="6"/>
      <c r="K409" s="6"/>
      <c r="L409" s="6"/>
      <c r="M409" s="6"/>
      <c r="N409" s="6"/>
      <c r="O409" s="6"/>
      <c r="P409" s="6"/>
      <c r="Q409" s="7">
        <f>ROUND(2,2)</f>
        <v>2</v>
      </c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7">
        <f>ROUND(1935.27,2)</f>
        <v>1935.27</v>
      </c>
      <c r="AF409" s="6"/>
      <c r="AG409" s="7">
        <f>ROUND(322.08,2)</f>
        <v>322.08</v>
      </c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7">
        <f>ROUND(60,2)</f>
        <v>60</v>
      </c>
      <c r="AV409" s="7">
        <f>ROUND(8,2)</f>
        <v>8</v>
      </c>
      <c r="AW409" s="7">
        <f>ROUND(40,2)</f>
        <v>40</v>
      </c>
      <c r="AX409" s="6"/>
      <c r="AY409" s="7">
        <f>ROUND(60,2)</f>
        <v>60</v>
      </c>
      <c r="AZ409" s="7">
        <f>ROUND(28,2)</f>
        <v>28</v>
      </c>
      <c r="BA409" s="6"/>
      <c r="BB409" s="7">
        <f>ROUND(40,2)</f>
        <v>40</v>
      </c>
      <c r="BC409" s="6"/>
      <c r="BD409" s="6"/>
      <c r="BE409" s="6"/>
      <c r="BF409" s="7">
        <f>ROUND(8,2)</f>
        <v>8</v>
      </c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7">
        <f>ROUND(16,2)</f>
        <v>16</v>
      </c>
      <c r="BT409" s="7">
        <f>ROUND(2.67,2)</f>
        <v>2.67</v>
      </c>
      <c r="BU409" s="7">
        <f>ROUND(18.08,2)</f>
        <v>18.079999999999998</v>
      </c>
      <c r="BV409" s="7">
        <f>ROUND(3.25,2)</f>
        <v>3.25</v>
      </c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7">
        <f>ROUND(24,2)</f>
        <v>24</v>
      </c>
      <c r="CQ409" s="7">
        <f>ROUND(2567.35,2)</f>
        <v>2567.35</v>
      </c>
      <c r="CR409" s="6"/>
      <c r="CS409" s="6"/>
      <c r="CT409" s="6"/>
      <c r="CU409" s="6"/>
      <c r="CV409" s="6"/>
      <c r="CW409" s="6"/>
      <c r="CX409" s="6"/>
      <c r="CY409" s="7">
        <f>ROUND(96.27,2)</f>
        <v>96.27</v>
      </c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7">
        <f>ROUND(63064.4899999999,2)</f>
        <v>63064.49</v>
      </c>
      <c r="DO409" s="6"/>
      <c r="DP409" s="7">
        <f>ROUND(15764.5,2)</f>
        <v>15764.5</v>
      </c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7">
        <f>ROUND(1953.72,2)</f>
        <v>1953.72</v>
      </c>
      <c r="EE409" s="7">
        <f>ROUND(396.64,2)</f>
        <v>396.64</v>
      </c>
      <c r="EF409" s="7">
        <f>ROUND(1296.56,2)</f>
        <v>1296.56</v>
      </c>
      <c r="EG409" s="6"/>
      <c r="EH409" s="7">
        <f>ROUND(1973.4,2)</f>
        <v>1973.4</v>
      </c>
      <c r="EI409" s="7">
        <f>ROUND(1356.42,2)</f>
        <v>1356.42</v>
      </c>
      <c r="EJ409" s="6"/>
      <c r="EK409" s="7">
        <f>ROUND(1298.96,2)</f>
        <v>1298.96</v>
      </c>
      <c r="EL409" s="6"/>
      <c r="EM409" s="6"/>
      <c r="EN409" s="6"/>
      <c r="EO409" s="6"/>
      <c r="EP409" s="7">
        <f>ROUND(385.08,2)</f>
        <v>385.08</v>
      </c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7">
        <f>ROUND(595.55,2)</f>
        <v>595.54999999999995</v>
      </c>
      <c r="FG409" s="6"/>
      <c r="FH409" s="6"/>
      <c r="FI409" s="6"/>
      <c r="FJ409" s="7">
        <f>ROUND(900,2)</f>
        <v>900</v>
      </c>
      <c r="FK409" s="6"/>
      <c r="FL409" s="6"/>
      <c r="FM409" s="6"/>
      <c r="FN409" s="6"/>
      <c r="FO409" s="6"/>
      <c r="FP409" s="6"/>
      <c r="FQ409" s="6"/>
      <c r="FR409" s="6"/>
      <c r="FS409" s="6"/>
      <c r="FT409" s="7">
        <f>ROUND(3000,2)</f>
        <v>3000</v>
      </c>
      <c r="FU409" s="6"/>
      <c r="FV409" s="6"/>
      <c r="FW409" s="6"/>
      <c r="FX409" s="7">
        <f>ROUND(809.04,2)</f>
        <v>809.04</v>
      </c>
      <c r="FY409" s="7">
        <f>ROUND(92890.6299999999,2)</f>
        <v>92890.63</v>
      </c>
    </row>
    <row r="410" spans="1:181" x14ac:dyDescent="0.3">
      <c r="A410" s="4" t="s">
        <v>980</v>
      </c>
      <c r="B410" s="5" t="s">
        <v>1029</v>
      </c>
      <c r="C410" s="5" t="s">
        <v>181</v>
      </c>
      <c r="D410" s="5" t="s">
        <v>194</v>
      </c>
      <c r="E410" s="5" t="s">
        <v>0</v>
      </c>
      <c r="F410" s="5" t="s">
        <v>0</v>
      </c>
      <c r="G410" s="5" t="s">
        <v>183</v>
      </c>
      <c r="H410" s="8">
        <v>33.380000000000003</v>
      </c>
      <c r="I410" s="7">
        <f>ROUND(88037.9399999999,2)</f>
        <v>88037.94</v>
      </c>
      <c r="J410" s="6"/>
      <c r="K410" s="6"/>
      <c r="L410" s="6"/>
      <c r="M410" s="6"/>
      <c r="N410" s="7">
        <f>ROUND(1441.28,2)</f>
        <v>1441.28</v>
      </c>
      <c r="O410" s="6"/>
      <c r="P410" s="6"/>
      <c r="Q410" s="7">
        <f>ROUND(166,2)</f>
        <v>166</v>
      </c>
      <c r="R410" s="6"/>
      <c r="S410" s="6"/>
      <c r="T410" s="6"/>
      <c r="U410" s="6"/>
      <c r="V410" s="7">
        <f>ROUND(14.56,2)</f>
        <v>14.56</v>
      </c>
      <c r="W410" s="7">
        <f>ROUND(11.5,2)</f>
        <v>11.5</v>
      </c>
      <c r="X410" s="7">
        <f>ROUND(0.59,2)</f>
        <v>0.59</v>
      </c>
      <c r="Y410" s="6"/>
      <c r="Z410" s="6"/>
      <c r="AA410" s="6"/>
      <c r="AB410" s="6"/>
      <c r="AC410" s="6"/>
      <c r="AD410" s="6"/>
      <c r="AE410" s="7">
        <f>ROUND(113.2,2)</f>
        <v>113.2</v>
      </c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7">
        <f>ROUND(308.84,2)</f>
        <v>308.83999999999997</v>
      </c>
      <c r="AQ410" s="6"/>
      <c r="AR410" s="7">
        <f>ROUND(143.26,2)</f>
        <v>143.26</v>
      </c>
      <c r="AS410" s="6"/>
      <c r="AT410" s="6"/>
      <c r="AU410" s="7">
        <f>ROUND(76,2)</f>
        <v>76</v>
      </c>
      <c r="AV410" s="6"/>
      <c r="AW410" s="7">
        <f>ROUND(36,2)</f>
        <v>36</v>
      </c>
      <c r="AX410" s="6"/>
      <c r="AY410" s="7">
        <f>ROUND(18,2)</f>
        <v>18</v>
      </c>
      <c r="AZ410" s="6"/>
      <c r="BA410" s="6"/>
      <c r="BB410" s="7">
        <f>ROUND(10,2)</f>
        <v>10</v>
      </c>
      <c r="BC410" s="6"/>
      <c r="BD410" s="7">
        <f>ROUND(8,2)</f>
        <v>8</v>
      </c>
      <c r="BE410" s="7">
        <f>ROUND(0.55,2)</f>
        <v>0.55000000000000004</v>
      </c>
      <c r="BF410" s="6"/>
      <c r="BG410" s="6"/>
      <c r="BH410" s="6"/>
      <c r="BI410" s="6"/>
      <c r="BJ410" s="6"/>
      <c r="BK410" s="6"/>
      <c r="BL410" s="6"/>
      <c r="BM410" s="6"/>
      <c r="BN410" s="6"/>
      <c r="BO410" s="7">
        <f>ROUND(10,2)</f>
        <v>10</v>
      </c>
      <c r="BP410" s="7">
        <f>ROUND(0.25,2)</f>
        <v>0.25</v>
      </c>
      <c r="BQ410" s="7">
        <f>ROUND(20,2)</f>
        <v>20</v>
      </c>
      <c r="BR410" s="6"/>
      <c r="BS410" s="7">
        <f>ROUND(38.23,2)</f>
        <v>38.229999999999997</v>
      </c>
      <c r="BT410" s="7">
        <f>ROUND(8.29,2)</f>
        <v>8.2899999999999991</v>
      </c>
      <c r="BU410" s="7">
        <f>ROUND(105.35,2)</f>
        <v>105.35</v>
      </c>
      <c r="BV410" s="7">
        <f>ROUND(8.36,2)</f>
        <v>8.36</v>
      </c>
      <c r="BW410" s="6"/>
      <c r="BX410" s="7">
        <f>ROUND(24,2)</f>
        <v>24</v>
      </c>
      <c r="BY410" s="7">
        <f>ROUND(36,2)</f>
        <v>36</v>
      </c>
      <c r="BZ410" s="6"/>
      <c r="CA410" s="7">
        <f>ROUND(19,2)</f>
        <v>19</v>
      </c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7">
        <f>ROUND(16,2)</f>
        <v>16</v>
      </c>
      <c r="CQ410" s="7">
        <f>ROUND(2633.25999999999,2)</f>
        <v>2633.26</v>
      </c>
      <c r="CR410" s="6"/>
      <c r="CS410" s="6"/>
      <c r="CT410" s="6"/>
      <c r="CU410" s="6"/>
      <c r="CV410" s="7">
        <f>ROUND(47078.4099999999,2)</f>
        <v>47078.41</v>
      </c>
      <c r="CW410" s="6"/>
      <c r="CX410" s="6"/>
      <c r="CY410" s="7">
        <f>ROUND(8136.46,2)</f>
        <v>8136.46</v>
      </c>
      <c r="CZ410" s="6"/>
      <c r="DA410" s="6"/>
      <c r="DB410" s="6"/>
      <c r="DC410" s="6"/>
      <c r="DD410" s="7">
        <f>ROUND(468.12,2)</f>
        <v>468.12</v>
      </c>
      <c r="DE410" s="7">
        <f>ROUND(554.73,2)</f>
        <v>554.73</v>
      </c>
      <c r="DF410" s="7">
        <f>ROUND(19.1,2)</f>
        <v>19.100000000000001</v>
      </c>
      <c r="DG410" s="6"/>
      <c r="DH410" s="6"/>
      <c r="DI410" s="6"/>
      <c r="DJ410" s="6"/>
      <c r="DK410" s="6"/>
      <c r="DL410" s="6"/>
      <c r="DM410" s="6"/>
      <c r="DN410" s="7">
        <f>ROUND(3708.05,2)</f>
        <v>3708.05</v>
      </c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7">
        <f>ROUND(10032.07,2)</f>
        <v>10032.07</v>
      </c>
      <c r="DZ410" s="6"/>
      <c r="EA410" s="7">
        <f>ROUND(7029.76,2)</f>
        <v>7029.76</v>
      </c>
      <c r="EB410" s="6"/>
      <c r="EC410" s="6"/>
      <c r="ED410" s="7">
        <f>ROUND(2474.78,2)</f>
        <v>2474.7800000000002</v>
      </c>
      <c r="EE410" s="6"/>
      <c r="EF410" s="7">
        <f>ROUND(1162.92,2)</f>
        <v>1162.92</v>
      </c>
      <c r="EG410" s="6"/>
      <c r="EH410" s="7">
        <f>ROUND(597.54,2)</f>
        <v>597.54</v>
      </c>
      <c r="EI410" s="6"/>
      <c r="EJ410" s="6"/>
      <c r="EK410" s="7">
        <f>ROUND(320.9,2)</f>
        <v>320.89999999999998</v>
      </c>
      <c r="EL410" s="6"/>
      <c r="EM410" s="6"/>
      <c r="EN410" s="7">
        <f>ROUND(256.72,2)</f>
        <v>256.72000000000003</v>
      </c>
      <c r="EO410" s="7">
        <f>ROUND(18.18,2)</f>
        <v>18.18</v>
      </c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7">
        <f>ROUND(333.8,2)</f>
        <v>333.8</v>
      </c>
      <c r="FC410" s="7">
        <f>ROUND(12.52,2)</f>
        <v>12.52</v>
      </c>
      <c r="FD410" s="7">
        <f>ROUND(641.8,2)</f>
        <v>641.79999999999995</v>
      </c>
      <c r="FE410" s="6"/>
      <c r="FF410" s="7">
        <f>ROUND(1583,2)</f>
        <v>1583</v>
      </c>
      <c r="FG410" s="6"/>
      <c r="FH410" s="6"/>
      <c r="FI410" s="6"/>
      <c r="FJ410" s="7">
        <f>ROUND(75,2)</f>
        <v>75</v>
      </c>
      <c r="FK410" s="6"/>
      <c r="FL410" s="6"/>
      <c r="FM410" s="6"/>
      <c r="FN410" s="6"/>
      <c r="FO410" s="6"/>
      <c r="FP410" s="6"/>
      <c r="FQ410" s="6"/>
      <c r="FR410" s="6"/>
      <c r="FS410" s="6"/>
      <c r="FT410" s="7">
        <f>ROUND(3000,2)</f>
        <v>3000</v>
      </c>
      <c r="FU410" s="6"/>
      <c r="FV410" s="6"/>
      <c r="FW410" s="6"/>
      <c r="FX410" s="7">
        <f>ROUND(534.08,2)</f>
        <v>534.08000000000004</v>
      </c>
      <c r="FY410" s="7">
        <f>ROUND(88037.9399999999,2)</f>
        <v>88037.94</v>
      </c>
    </row>
    <row r="411" spans="1:181" x14ac:dyDescent="0.3">
      <c r="A411" s="4" t="s">
        <v>981</v>
      </c>
      <c r="B411" s="5" t="s">
        <v>1029</v>
      </c>
      <c r="C411" s="5" t="s">
        <v>181</v>
      </c>
      <c r="D411" s="5" t="s">
        <v>390</v>
      </c>
      <c r="E411" s="5" t="s">
        <v>982</v>
      </c>
      <c r="F411" s="5" t="s">
        <v>0</v>
      </c>
      <c r="G411" s="5" t="s">
        <v>183</v>
      </c>
      <c r="H411" s="9">
        <v>33.380000000000003</v>
      </c>
      <c r="I411" s="7">
        <f>ROUND(67023.4099999999,2)</f>
        <v>67023.41</v>
      </c>
      <c r="J411" s="6"/>
      <c r="K411" s="6"/>
      <c r="L411" s="6"/>
      <c r="M411" s="6"/>
      <c r="N411" s="7">
        <f>ROUND(1344.48999999999,2)</f>
        <v>1344.49</v>
      </c>
      <c r="O411" s="6"/>
      <c r="P411" s="6"/>
      <c r="Q411" s="7">
        <f>ROUND(81.3299999999999,2)</f>
        <v>81.33</v>
      </c>
      <c r="R411" s="6"/>
      <c r="S411" s="6"/>
      <c r="T411" s="6"/>
      <c r="U411" s="6"/>
      <c r="V411" s="7">
        <f>ROUND(9.83,2)</f>
        <v>9.83</v>
      </c>
      <c r="W411" s="6"/>
      <c r="X411" s="7">
        <f>ROUND(0.83,2)</f>
        <v>0.83</v>
      </c>
      <c r="Y411" s="6"/>
      <c r="Z411" s="6"/>
      <c r="AA411" s="6"/>
      <c r="AB411" s="6"/>
      <c r="AC411" s="6"/>
      <c r="AD411" s="6"/>
      <c r="AE411" s="7">
        <f>ROUND(77.75,2)</f>
        <v>77.75</v>
      </c>
      <c r="AF411" s="6"/>
      <c r="AG411" s="7">
        <f>ROUND(11.75,2)</f>
        <v>11.75</v>
      </c>
      <c r="AH411" s="6"/>
      <c r="AI411" s="6"/>
      <c r="AJ411" s="6"/>
      <c r="AK411" s="6"/>
      <c r="AL411" s="6"/>
      <c r="AM411" s="6"/>
      <c r="AN411" s="6"/>
      <c r="AO411" s="6"/>
      <c r="AP411" s="7">
        <f>ROUND(190.65,2)</f>
        <v>190.65</v>
      </c>
      <c r="AQ411" s="6"/>
      <c r="AR411" s="7">
        <f>ROUND(14.81,2)</f>
        <v>14.81</v>
      </c>
      <c r="AS411" s="6"/>
      <c r="AT411" s="6"/>
      <c r="AU411" s="7">
        <f>ROUND(72,2)</f>
        <v>72</v>
      </c>
      <c r="AV411" s="6"/>
      <c r="AW411" s="7">
        <f>ROUND(24,2)</f>
        <v>24</v>
      </c>
      <c r="AX411" s="6"/>
      <c r="AY411" s="7">
        <f>ROUND(16,2)</f>
        <v>16</v>
      </c>
      <c r="AZ411" s="6"/>
      <c r="BA411" s="6"/>
      <c r="BB411" s="7">
        <f>ROUND(26,2)</f>
        <v>26</v>
      </c>
      <c r="BC411" s="6"/>
      <c r="BD411" s="7">
        <f>ROUND(8,2)</f>
        <v>8</v>
      </c>
      <c r="BE411" s="7">
        <f>ROUND(2.4,2)</f>
        <v>2.4</v>
      </c>
      <c r="BF411" s="6"/>
      <c r="BG411" s="7">
        <f>ROUND(41.03,2)</f>
        <v>41.03</v>
      </c>
      <c r="BH411" s="6"/>
      <c r="BI411" s="6"/>
      <c r="BJ411" s="6"/>
      <c r="BK411" s="6"/>
      <c r="BL411" s="6"/>
      <c r="BM411" s="6"/>
      <c r="BN411" s="6"/>
      <c r="BO411" s="7">
        <f>ROUND(13,2)</f>
        <v>13</v>
      </c>
      <c r="BP411" s="6"/>
      <c r="BQ411" s="7">
        <f>ROUND(4.92,2)</f>
        <v>4.92</v>
      </c>
      <c r="BR411" s="7">
        <f>ROUND(11.25,2)</f>
        <v>11.25</v>
      </c>
      <c r="BS411" s="7">
        <f>ROUND(136,2)</f>
        <v>136</v>
      </c>
      <c r="BT411" s="7">
        <f>ROUND(3.35,2)</f>
        <v>3.35</v>
      </c>
      <c r="BU411" s="6"/>
      <c r="BV411" s="6"/>
      <c r="BW411" s="6"/>
      <c r="BX411" s="7">
        <f>ROUND(64,2)</f>
        <v>64</v>
      </c>
      <c r="BY411" s="7">
        <f>ROUND(24,2)</f>
        <v>24</v>
      </c>
      <c r="BZ411" s="7">
        <f>ROUND(24,2)</f>
        <v>24</v>
      </c>
      <c r="CA411" s="7">
        <f>ROUND(102,2)</f>
        <v>102</v>
      </c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7">
        <f>ROUND(2303.39,2)</f>
        <v>2303.39</v>
      </c>
      <c r="CR411" s="6"/>
      <c r="CS411" s="6"/>
      <c r="CT411" s="6"/>
      <c r="CU411" s="6"/>
      <c r="CV411" s="7">
        <f>ROUND(42943.6099999999,2)</f>
        <v>42943.61</v>
      </c>
      <c r="CW411" s="6"/>
      <c r="CX411" s="6"/>
      <c r="CY411" s="7">
        <f>ROUND(3898.82,2)</f>
        <v>3898.82</v>
      </c>
      <c r="CZ411" s="6"/>
      <c r="DA411" s="6"/>
      <c r="DB411" s="6"/>
      <c r="DC411" s="6"/>
      <c r="DD411" s="7">
        <f>ROUND(315.65,2)</f>
        <v>315.64999999999998</v>
      </c>
      <c r="DE411" s="6"/>
      <c r="DF411" s="7">
        <f>ROUND(25.43,2)</f>
        <v>25.43</v>
      </c>
      <c r="DG411" s="6"/>
      <c r="DH411" s="6"/>
      <c r="DI411" s="6"/>
      <c r="DJ411" s="6"/>
      <c r="DK411" s="6"/>
      <c r="DL411" s="6"/>
      <c r="DM411" s="6"/>
      <c r="DN411" s="7">
        <f>ROUND(2365.54,2)</f>
        <v>2365.54</v>
      </c>
      <c r="DO411" s="6"/>
      <c r="DP411" s="7">
        <f>ROUND(534.56,2)</f>
        <v>534.55999999999995</v>
      </c>
      <c r="DQ411" s="6"/>
      <c r="DR411" s="6"/>
      <c r="DS411" s="6"/>
      <c r="DT411" s="6"/>
      <c r="DU411" s="6"/>
      <c r="DV411" s="6"/>
      <c r="DW411" s="6"/>
      <c r="DX411" s="6"/>
      <c r="DY411" s="7">
        <f>ROUND(5764.62999999999,2)</f>
        <v>5764.63</v>
      </c>
      <c r="DZ411" s="6"/>
      <c r="EA411" s="7">
        <f>ROUND(643.97,2)</f>
        <v>643.97</v>
      </c>
      <c r="EB411" s="6"/>
      <c r="EC411" s="6"/>
      <c r="ED411" s="7">
        <f>ROUND(2234.44,2)</f>
        <v>2234.44</v>
      </c>
      <c r="EE411" s="6"/>
      <c r="EF411" s="7">
        <f>ROUND(772.719999999999,2)</f>
        <v>772.72</v>
      </c>
      <c r="EG411" s="6"/>
      <c r="EH411" s="7">
        <f>ROUND(528.8,2)</f>
        <v>528.79999999999995</v>
      </c>
      <c r="EI411" s="6"/>
      <c r="EJ411" s="6"/>
      <c r="EK411" s="7">
        <f>ROUND(792.739999999999,2)</f>
        <v>792.74</v>
      </c>
      <c r="EL411" s="6"/>
      <c r="EM411" s="6"/>
      <c r="EN411" s="7">
        <f>ROUND(243.92,2)</f>
        <v>243.92</v>
      </c>
      <c r="EO411" s="7">
        <f>ROUND(79.51,2)</f>
        <v>79.510000000000005</v>
      </c>
      <c r="EP411" s="6"/>
      <c r="EQ411" s="7">
        <f>ROUND(1356.05,2)</f>
        <v>1356.05</v>
      </c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7">
        <f>ROUND(383.49,2)</f>
        <v>383.49</v>
      </c>
      <c r="FC411" s="6"/>
      <c r="FD411" s="7">
        <f>ROUND(150.01,2)</f>
        <v>150.01</v>
      </c>
      <c r="FE411" s="7">
        <f>ROUND(514.52,2)</f>
        <v>514.52</v>
      </c>
      <c r="FF411" s="6"/>
      <c r="FG411" s="6"/>
      <c r="FH411" s="6"/>
      <c r="FI411" s="6"/>
      <c r="FJ411" s="7">
        <f>ROUND(475,2)</f>
        <v>475</v>
      </c>
      <c r="FK411" s="6"/>
      <c r="FL411" s="6"/>
      <c r="FM411" s="6"/>
      <c r="FN411" s="6"/>
      <c r="FO411" s="6"/>
      <c r="FP411" s="6"/>
      <c r="FQ411" s="6"/>
      <c r="FR411" s="6"/>
      <c r="FS411" s="6"/>
      <c r="FT411" s="7">
        <f>ROUND(3000,2)</f>
        <v>3000</v>
      </c>
      <c r="FU411" s="6"/>
      <c r="FV411" s="6"/>
      <c r="FW411" s="6"/>
      <c r="FX411" s="6"/>
      <c r="FY411" s="7">
        <f>ROUND(67023.4099999999,2)</f>
        <v>67023.41</v>
      </c>
    </row>
    <row r="412" spans="1:181" x14ac:dyDescent="0.3">
      <c r="A412" s="4" t="s">
        <v>983</v>
      </c>
      <c r="B412" s="5" t="s">
        <v>1029</v>
      </c>
      <c r="C412" s="5" t="s">
        <v>181</v>
      </c>
      <c r="D412" s="5" t="s">
        <v>554</v>
      </c>
      <c r="E412" s="5" t="s">
        <v>0</v>
      </c>
      <c r="F412" s="5" t="s">
        <v>0</v>
      </c>
      <c r="G412" s="5" t="s">
        <v>183</v>
      </c>
      <c r="H412" s="9">
        <v>30.04</v>
      </c>
      <c r="I412" s="7">
        <f>ROUND(45050.5599999999,2)</f>
        <v>45050.559999999998</v>
      </c>
      <c r="J412" s="6"/>
      <c r="K412" s="6"/>
      <c r="L412" s="6"/>
      <c r="M412" s="6"/>
      <c r="N412" s="7">
        <f>ROUND(1231.65,2)</f>
        <v>1231.6500000000001</v>
      </c>
      <c r="O412" s="6"/>
      <c r="P412" s="6"/>
      <c r="Q412" s="7">
        <f>ROUND(8.85,2)</f>
        <v>8.85</v>
      </c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7">
        <f>ROUND(96,2)</f>
        <v>96</v>
      </c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7">
        <f>ROUND(20.8699999999999,2)</f>
        <v>20.87</v>
      </c>
      <c r="AQ412" s="6"/>
      <c r="AR412" s="6"/>
      <c r="AS412" s="6"/>
      <c r="AT412" s="6"/>
      <c r="AU412" s="7">
        <f>ROUND(35,2)</f>
        <v>35</v>
      </c>
      <c r="AV412" s="6"/>
      <c r="AW412" s="7">
        <f>ROUND(5,2)</f>
        <v>5</v>
      </c>
      <c r="AX412" s="6"/>
      <c r="AY412" s="7">
        <f>ROUND(5,2)</f>
        <v>5</v>
      </c>
      <c r="AZ412" s="6"/>
      <c r="BA412" s="6"/>
      <c r="BB412" s="7">
        <f>ROUND(5,2)</f>
        <v>5</v>
      </c>
      <c r="BC412" s="6"/>
      <c r="BD412" s="7">
        <f>ROUND(195.96,2)</f>
        <v>195.96</v>
      </c>
      <c r="BE412" s="7">
        <f>ROUND(3.5,2)</f>
        <v>3.5</v>
      </c>
      <c r="BF412" s="7">
        <f>ROUND(18.39,2)</f>
        <v>18.39</v>
      </c>
      <c r="BG412" s="6"/>
      <c r="BH412" s="7">
        <f>ROUND(5.33,2)</f>
        <v>5.33</v>
      </c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7">
        <f>ROUND(5,2)</f>
        <v>5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7">
        <f>ROUND(5,2)</f>
        <v>5</v>
      </c>
      <c r="CQ412" s="7">
        <f>ROUND(1640.54999999999,2)</f>
        <v>1640.55</v>
      </c>
      <c r="CR412" s="6"/>
      <c r="CS412" s="6"/>
      <c r="CT412" s="6"/>
      <c r="CU412" s="6"/>
      <c r="CV412" s="7">
        <f>ROUND(33386.19,2)</f>
        <v>33386.19</v>
      </c>
      <c r="CW412" s="6"/>
      <c r="CX412" s="6"/>
      <c r="CY412" s="7">
        <f>ROUND(394.93,2)</f>
        <v>394.93</v>
      </c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7">
        <f>ROUND(2659.8,2)</f>
        <v>2659.8</v>
      </c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7">
        <f>ROUND(610.92,2)</f>
        <v>610.91999999999996</v>
      </c>
      <c r="DZ412" s="6"/>
      <c r="EA412" s="6"/>
      <c r="EB412" s="6"/>
      <c r="EC412" s="6"/>
      <c r="ED412" s="7">
        <f>ROUND(870.849999999999,2)</f>
        <v>870.85</v>
      </c>
      <c r="EE412" s="6"/>
      <c r="EF412" s="7">
        <f>ROUND(140.45,2)</f>
        <v>140.44999999999999</v>
      </c>
      <c r="EG412" s="6"/>
      <c r="EH412" s="7">
        <f>ROUND(148.75,2)</f>
        <v>148.75</v>
      </c>
      <c r="EI412" s="6"/>
      <c r="EJ412" s="6"/>
      <c r="EK412" s="7">
        <f>ROUND(148.75,2)</f>
        <v>148.75</v>
      </c>
      <c r="EL412" s="6"/>
      <c r="EM412" s="6"/>
      <c r="EN412" s="7">
        <f>ROUND(3507.54,2)</f>
        <v>3507.54</v>
      </c>
      <c r="EO412" s="7">
        <f>ROUND(99.72,2)</f>
        <v>99.72</v>
      </c>
      <c r="EP412" s="7">
        <f>ROUND(482.74,2)</f>
        <v>482.74</v>
      </c>
      <c r="EQ412" s="6"/>
      <c r="ER412" s="6"/>
      <c r="ES412" s="7">
        <f>ROUND(149.72,2)</f>
        <v>149.72</v>
      </c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7">
        <f>ROUND(800,2)</f>
        <v>800</v>
      </c>
      <c r="FK412" s="6"/>
      <c r="FL412" s="6"/>
      <c r="FM412" s="6"/>
      <c r="FN412" s="6"/>
      <c r="FO412" s="6"/>
      <c r="FP412" s="6"/>
      <c r="FQ412" s="6"/>
      <c r="FR412" s="6"/>
      <c r="FS412" s="6"/>
      <c r="FT412" s="7">
        <f>ROUND(1500,2)</f>
        <v>1500</v>
      </c>
      <c r="FU412" s="6"/>
      <c r="FV412" s="6"/>
      <c r="FW412" s="6"/>
      <c r="FX412" s="7">
        <f>ROUND(150.2,2)</f>
        <v>150.19999999999999</v>
      </c>
      <c r="FY412" s="7">
        <f>ROUND(45050.5599999999,2)</f>
        <v>45050.559999999998</v>
      </c>
    </row>
    <row r="413" spans="1:181" x14ac:dyDescent="0.3">
      <c r="A413" s="4" t="s">
        <v>984</v>
      </c>
      <c r="B413" s="5" t="s">
        <v>1029</v>
      </c>
      <c r="C413" s="5" t="s">
        <v>181</v>
      </c>
      <c r="D413" s="5" t="s">
        <v>257</v>
      </c>
      <c r="E413" s="5" t="s">
        <v>0</v>
      </c>
      <c r="F413" s="5" t="s">
        <v>0</v>
      </c>
      <c r="G413" s="5" t="s">
        <v>183</v>
      </c>
      <c r="H413" s="8">
        <v>33.880000000000003</v>
      </c>
      <c r="I413" s="7">
        <f>ROUND(131377.95,2)</f>
        <v>131377.95000000001</v>
      </c>
      <c r="J413" s="6"/>
      <c r="K413" s="6"/>
      <c r="L413" s="6"/>
      <c r="M413" s="6"/>
      <c r="N413" s="7">
        <f>ROUND(1467.95999999999,2)</f>
        <v>1467.96</v>
      </c>
      <c r="O413" s="6"/>
      <c r="P413" s="6"/>
      <c r="Q413" s="7">
        <f>ROUND(756.3,2)</f>
        <v>756.3</v>
      </c>
      <c r="R413" s="6"/>
      <c r="S413" s="6"/>
      <c r="T413" s="6"/>
      <c r="U413" s="6"/>
      <c r="V413" s="6"/>
      <c r="W413" s="7">
        <f>ROUND(28.28,2)</f>
        <v>28.28</v>
      </c>
      <c r="X413" s="7">
        <f>ROUND(0.25,2)</f>
        <v>0.25</v>
      </c>
      <c r="Y413" s="6"/>
      <c r="Z413" s="6"/>
      <c r="AA413" s="6"/>
      <c r="AB413" s="6"/>
      <c r="AC413" s="6"/>
      <c r="AD413" s="6"/>
      <c r="AE413" s="7">
        <f>ROUND(532.25,2)</f>
        <v>532.25</v>
      </c>
      <c r="AF413" s="6"/>
      <c r="AG413" s="7">
        <f>ROUND(137.93,2)</f>
        <v>137.93</v>
      </c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7">
        <f>ROUND(112.75,2)</f>
        <v>112.75</v>
      </c>
      <c r="AS413" s="6"/>
      <c r="AT413" s="6"/>
      <c r="AU413" s="7">
        <f>ROUND(60,2)</f>
        <v>60</v>
      </c>
      <c r="AV413" s="7">
        <f>ROUND(8,2)</f>
        <v>8</v>
      </c>
      <c r="AW413" s="7">
        <f>ROUND(26,2)</f>
        <v>26</v>
      </c>
      <c r="AX413" s="7">
        <f>ROUND(6,2)</f>
        <v>6</v>
      </c>
      <c r="AY413" s="7">
        <f>ROUND(41.67,2)</f>
        <v>41.67</v>
      </c>
      <c r="AZ413" s="7">
        <f>ROUND(22.33,2)</f>
        <v>22.33</v>
      </c>
      <c r="BA413" s="6"/>
      <c r="BB413" s="7">
        <f>ROUND(16,2)</f>
        <v>16</v>
      </c>
      <c r="BC413" s="6"/>
      <c r="BD413" s="7">
        <f>ROUND(8,2)</f>
        <v>8</v>
      </c>
      <c r="BE413" s="7">
        <f>ROUND(2.17,2)</f>
        <v>2.17</v>
      </c>
      <c r="BF413" s="6"/>
      <c r="BG413" s="6"/>
      <c r="BH413" s="6"/>
      <c r="BI413" s="6"/>
      <c r="BJ413" s="6"/>
      <c r="BK413" s="7">
        <f>ROUND(1.5,2)</f>
        <v>1.5</v>
      </c>
      <c r="BL413" s="6"/>
      <c r="BM413" s="6"/>
      <c r="BN413" s="6"/>
      <c r="BO413" s="6"/>
      <c r="BP413" s="6"/>
      <c r="BQ413" s="6"/>
      <c r="BR413" s="6"/>
      <c r="BS413" s="6"/>
      <c r="BT413" s="7">
        <f>ROUND(9.03,2)</f>
        <v>9.0299999999999994</v>
      </c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7">
        <f>ROUND(120,2)</f>
        <v>120</v>
      </c>
      <c r="CQ413" s="7">
        <f>ROUND(3356.42,2)</f>
        <v>3356.42</v>
      </c>
      <c r="CR413" s="6"/>
      <c r="CS413" s="6"/>
      <c r="CT413" s="6"/>
      <c r="CU413" s="6"/>
      <c r="CV413" s="7">
        <f>ROUND(47851.2799999999,2)</f>
        <v>47851.28</v>
      </c>
      <c r="CW413" s="6"/>
      <c r="CX413" s="6"/>
      <c r="CY413" s="7">
        <f>ROUND(37103.2399999999,2)</f>
        <v>37103.24</v>
      </c>
      <c r="CZ413" s="6"/>
      <c r="DA413" s="6"/>
      <c r="DB413" s="6"/>
      <c r="DC413" s="6"/>
      <c r="DD413" s="6"/>
      <c r="DE413" s="7">
        <f>ROUND(1405.44,2)</f>
        <v>1405.44</v>
      </c>
      <c r="DF413" s="7">
        <f>ROUND(8.02,2)</f>
        <v>8.02</v>
      </c>
      <c r="DG413" s="6"/>
      <c r="DH413" s="6"/>
      <c r="DI413" s="6"/>
      <c r="DJ413" s="6"/>
      <c r="DK413" s="6"/>
      <c r="DL413" s="6"/>
      <c r="DM413" s="6"/>
      <c r="DN413" s="7">
        <f>ROUND(17456.34,2)</f>
        <v>17456.34</v>
      </c>
      <c r="DO413" s="6"/>
      <c r="DP413" s="7">
        <f>ROUND(6748.24,2)</f>
        <v>6748.24</v>
      </c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7">
        <f>ROUND(5541.08999999999,2)</f>
        <v>5541.09</v>
      </c>
      <c r="EB413" s="6"/>
      <c r="EC413" s="6"/>
      <c r="ED413" s="7">
        <f>ROUND(1955.08,2)</f>
        <v>1955.08</v>
      </c>
      <c r="EE413" s="7">
        <f>ROUND(396.64,2)</f>
        <v>396.64</v>
      </c>
      <c r="EF413" s="7">
        <f>ROUND(859.3,2)</f>
        <v>859.3</v>
      </c>
      <c r="EG413" s="7">
        <f>ROUND(297.45,2)</f>
        <v>297.45</v>
      </c>
      <c r="EH413" s="7">
        <f>ROUND(1361.12,2)</f>
        <v>1361.12</v>
      </c>
      <c r="EI413" s="7">
        <f>ROUND(1083.49,2)</f>
        <v>1083.49</v>
      </c>
      <c r="EJ413" s="6"/>
      <c r="EK413" s="7">
        <f>ROUND(521.12,2)</f>
        <v>521.12</v>
      </c>
      <c r="EL413" s="6"/>
      <c r="EM413" s="6"/>
      <c r="EN413" s="7">
        <f>ROUND(256.72,2)</f>
        <v>256.72000000000003</v>
      </c>
      <c r="EO413" s="7">
        <f>ROUND(69.64,2)</f>
        <v>69.64</v>
      </c>
      <c r="EP413" s="6"/>
      <c r="EQ413" s="6"/>
      <c r="ER413" s="6"/>
      <c r="ES413" s="6"/>
      <c r="ET413" s="6"/>
      <c r="EU413" s="6"/>
      <c r="EV413" s="6"/>
      <c r="EW413" s="6"/>
      <c r="EX413" s="7">
        <f>ROUND(48.14,2)</f>
        <v>48.14</v>
      </c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7">
        <f>ROUND(1350,2)</f>
        <v>1350</v>
      </c>
      <c r="FK413" s="6"/>
      <c r="FL413" s="6"/>
      <c r="FM413" s="6"/>
      <c r="FN413" s="6"/>
      <c r="FO413" s="6"/>
      <c r="FP413" s="6"/>
      <c r="FQ413" s="6"/>
      <c r="FR413" s="6"/>
      <c r="FS413" s="6"/>
      <c r="FT413" s="7">
        <f>ROUND(3000,2)</f>
        <v>3000</v>
      </c>
      <c r="FU413" s="6"/>
      <c r="FV413" s="6"/>
      <c r="FW413" s="6"/>
      <c r="FX413" s="7">
        <f>ROUND(4065.6,2)</f>
        <v>4065.6</v>
      </c>
      <c r="FY413" s="7">
        <f>ROUND(131377.95,2)</f>
        <v>131377.95000000001</v>
      </c>
    </row>
    <row r="414" spans="1:181" x14ac:dyDescent="0.3">
      <c r="A414" s="4" t="s">
        <v>985</v>
      </c>
      <c r="B414" s="5" t="s">
        <v>1029</v>
      </c>
      <c r="C414" s="5" t="s">
        <v>236</v>
      </c>
      <c r="D414" s="5" t="s">
        <v>986</v>
      </c>
      <c r="E414" s="5" t="s">
        <v>0</v>
      </c>
      <c r="F414" s="5" t="s">
        <v>0</v>
      </c>
      <c r="G414" s="5" t="s">
        <v>238</v>
      </c>
      <c r="H414" s="8">
        <v>37.75</v>
      </c>
      <c r="I414" s="7">
        <f>ROUND(110725.419999999,2)</f>
        <v>110725.42</v>
      </c>
      <c r="J414" s="6"/>
      <c r="K414" s="6"/>
      <c r="L414" s="7">
        <f>ROUND(1994,2)</f>
        <v>1994</v>
      </c>
      <c r="M414" s="7">
        <f>ROUND(423,2)</f>
        <v>423</v>
      </c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7">
        <f>ROUND(56,2)</f>
        <v>56</v>
      </c>
      <c r="AV414" s="6"/>
      <c r="AW414" s="7">
        <f>ROUND(10,2)</f>
        <v>10</v>
      </c>
      <c r="AX414" s="7">
        <f>ROUND(38,2)</f>
        <v>38</v>
      </c>
      <c r="AY414" s="7">
        <f>ROUND(60,2)</f>
        <v>60</v>
      </c>
      <c r="AZ414" s="7">
        <f>ROUND(60,2)</f>
        <v>60</v>
      </c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7">
        <f>ROUND(8,2)</f>
        <v>8</v>
      </c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7">
        <f>ROUND(2649,2)</f>
        <v>2649</v>
      </c>
      <c r="CR414" s="6"/>
      <c r="CS414" s="6"/>
      <c r="CT414" s="7">
        <f>ROUND(73152.55,2)</f>
        <v>73152.55</v>
      </c>
      <c r="CU414" s="7">
        <f>ROUND(23238.71,2)</f>
        <v>23238.71</v>
      </c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7">
        <f>ROUND(2063.12,2)</f>
        <v>2063.12</v>
      </c>
      <c r="EE414" s="6"/>
      <c r="EF414" s="7">
        <f>ROUND(360,2)</f>
        <v>360</v>
      </c>
      <c r="EG414" s="7">
        <f>ROUND(2106.12,2)</f>
        <v>2106.12</v>
      </c>
      <c r="EH414" s="7">
        <f>ROUND(2240.24,2)</f>
        <v>2240.2399999999998</v>
      </c>
      <c r="EI414" s="7">
        <f>ROUND(3289.68,2)</f>
        <v>3289.68</v>
      </c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7">
        <f>ROUND(1275,2)</f>
        <v>1275</v>
      </c>
      <c r="FK414" s="6"/>
      <c r="FL414" s="6"/>
      <c r="FM414" s="6"/>
      <c r="FN414" s="6"/>
      <c r="FO414" s="6"/>
      <c r="FP414" s="6"/>
      <c r="FQ414" s="6"/>
      <c r="FR414" s="6"/>
      <c r="FS414" s="6"/>
      <c r="FT414" s="7">
        <f>ROUND(3000,2)</f>
        <v>3000</v>
      </c>
      <c r="FU414" s="6"/>
      <c r="FV414" s="6"/>
      <c r="FW414" s="6"/>
      <c r="FX414" s="6"/>
      <c r="FY414" s="7">
        <f>ROUND(110725.419999999,2)</f>
        <v>110725.42</v>
      </c>
    </row>
    <row r="415" spans="1:181" x14ac:dyDescent="0.3">
      <c r="A415" s="4" t="s">
        <v>987</v>
      </c>
      <c r="B415" s="5" t="s">
        <v>1029</v>
      </c>
      <c r="C415" s="5" t="s">
        <v>236</v>
      </c>
      <c r="D415" s="5" t="s">
        <v>988</v>
      </c>
      <c r="E415" s="5" t="s">
        <v>989</v>
      </c>
      <c r="F415" s="5" t="s">
        <v>990</v>
      </c>
      <c r="G415" s="5" t="s">
        <v>508</v>
      </c>
      <c r="H415" s="8">
        <v>42.5</v>
      </c>
      <c r="I415" s="7">
        <f>ROUND(88767.38,2)</f>
        <v>88767.38</v>
      </c>
      <c r="J415" s="6"/>
      <c r="K415" s="6"/>
      <c r="L415" s="7">
        <f>ROUND(1354,2)</f>
        <v>1354</v>
      </c>
      <c r="M415" s="7">
        <f>ROUND(332.5,2)</f>
        <v>332.5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7">
        <f>ROUND(40,2)</f>
        <v>40</v>
      </c>
      <c r="AV415" s="6"/>
      <c r="AW415" s="7">
        <f>ROUND(41,2)</f>
        <v>41</v>
      </c>
      <c r="AX415" s="7">
        <f>ROUND(15,2)</f>
        <v>15</v>
      </c>
      <c r="AY415" s="7">
        <f>ROUND(184,2)</f>
        <v>184</v>
      </c>
      <c r="AZ415" s="7">
        <f>ROUND(56,2)</f>
        <v>56</v>
      </c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7">
        <f>ROUND(312,2)</f>
        <v>312</v>
      </c>
      <c r="BT415" s="6"/>
      <c r="BU415" s="7">
        <f>ROUND(40,2)</f>
        <v>40</v>
      </c>
      <c r="BV415" s="7">
        <f>ROUND(160,2)</f>
        <v>160</v>
      </c>
      <c r="BW415" s="7">
        <f>ROUND(24,2)</f>
        <v>24</v>
      </c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7">
        <f>ROUND(2558.5,2)</f>
        <v>2558.5</v>
      </c>
      <c r="CR415" s="6"/>
      <c r="CS415" s="6"/>
      <c r="CT415" s="7">
        <f>ROUND(51679.14,2)</f>
        <v>51679.14</v>
      </c>
      <c r="CU415" s="7">
        <f>ROUND(18970.05,2)</f>
        <v>18970.05</v>
      </c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7">
        <f>ROUND(1552.48,2)</f>
        <v>1552.48</v>
      </c>
      <c r="EE415" s="6"/>
      <c r="EF415" s="7">
        <f>ROUND(1559.69999999999,2)</f>
        <v>1559.7</v>
      </c>
      <c r="EG415" s="7">
        <f>ROUND(915.089999999999,2)</f>
        <v>915.09</v>
      </c>
      <c r="EH415" s="7">
        <f>ROUND(7074.88,2)</f>
        <v>7074.88</v>
      </c>
      <c r="EI415" s="7">
        <f>ROUND(3191.04,2)</f>
        <v>3191.04</v>
      </c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7">
        <f>ROUND(825,2)</f>
        <v>825</v>
      </c>
      <c r="FK415" s="6"/>
      <c r="FL415" s="6"/>
      <c r="FM415" s="6"/>
      <c r="FN415" s="6"/>
      <c r="FO415" s="6"/>
      <c r="FP415" s="6"/>
      <c r="FQ415" s="6"/>
      <c r="FR415" s="6"/>
      <c r="FS415" s="6"/>
      <c r="FT415" s="7">
        <f>ROUND(3000,2)</f>
        <v>3000</v>
      </c>
      <c r="FU415" s="6"/>
      <c r="FV415" s="6"/>
      <c r="FW415" s="6"/>
      <c r="FX415" s="6"/>
      <c r="FY415" s="7">
        <f>ROUND(88767.38,2)</f>
        <v>88767.38</v>
      </c>
    </row>
    <row r="416" spans="1:181" ht="26.4" x14ac:dyDescent="0.3">
      <c r="A416" s="4" t="s">
        <v>991</v>
      </c>
      <c r="B416" s="5"/>
      <c r="C416" s="5" t="s">
        <v>294</v>
      </c>
      <c r="D416" s="5" t="s">
        <v>992</v>
      </c>
      <c r="E416" s="5" t="s">
        <v>0</v>
      </c>
      <c r="F416" s="5" t="s">
        <v>0</v>
      </c>
      <c r="G416" s="5" t="s">
        <v>315</v>
      </c>
      <c r="H416" s="8">
        <f>ROUND(1326.92,2)</f>
        <v>1326.92</v>
      </c>
      <c r="I416" s="7">
        <f>ROUND(61355.6399999999,2)</f>
        <v>61355.64</v>
      </c>
      <c r="J416" s="7">
        <f>ROUND(1532,2)</f>
        <v>1532</v>
      </c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7">
        <f>ROUND(-8,2)</f>
        <v>-8</v>
      </c>
      <c r="AC416" s="7">
        <f>ROUND(4,2)</f>
        <v>4</v>
      </c>
      <c r="AD416" s="7">
        <f>ROUND(11,2)</f>
        <v>11</v>
      </c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7">
        <f>ROUND(4,2)</f>
        <v>4</v>
      </c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7">
        <f>ROUND(8,2)</f>
        <v>8</v>
      </c>
      <c r="BX416" s="6"/>
      <c r="BY416" s="6"/>
      <c r="BZ416" s="6"/>
      <c r="CA416" s="6"/>
      <c r="CB416" s="6"/>
      <c r="CC416" s="6"/>
      <c r="CD416" s="6"/>
      <c r="CE416" s="6"/>
      <c r="CF416" s="6"/>
      <c r="CG416" s="7">
        <f>ROUND(8,2)</f>
        <v>8</v>
      </c>
      <c r="CH416" s="7">
        <f>ROUND(40,2)</f>
        <v>40</v>
      </c>
      <c r="CI416" s="6"/>
      <c r="CJ416" s="6"/>
      <c r="CK416" s="6"/>
      <c r="CL416" s="6"/>
      <c r="CM416" s="6"/>
      <c r="CN416" s="7">
        <f>ROUND(80,2)</f>
        <v>80</v>
      </c>
      <c r="CO416" s="6"/>
      <c r="CP416" s="6"/>
      <c r="CQ416" s="7">
        <f>ROUND(1679,2)</f>
        <v>1679</v>
      </c>
      <c r="CR416" s="7">
        <f>ROUND(50821.0599999999,2)</f>
        <v>50821.06</v>
      </c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7">
        <f>ROUND(-265.38,2)</f>
        <v>-265.38</v>
      </c>
      <c r="DL416" s="7">
        <f>ROUND(1500,2)</f>
        <v>1500</v>
      </c>
      <c r="DM416" s="7">
        <f>ROUND(4125,2)</f>
        <v>4125</v>
      </c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7">
        <f>ROUND(132.69,2)</f>
        <v>132.69</v>
      </c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7">
        <f>ROUND(1326.92,2)</f>
        <v>1326.92</v>
      </c>
      <c r="FK416" s="6"/>
      <c r="FL416" s="6"/>
      <c r="FM416" s="7">
        <f>ROUND(265.38,2)</f>
        <v>265.38</v>
      </c>
      <c r="FN416" s="7">
        <f>ROUND(796.14,2)</f>
        <v>796.14</v>
      </c>
      <c r="FO416" s="6"/>
      <c r="FP416" s="6"/>
      <c r="FQ416" s="6"/>
      <c r="FR416" s="6"/>
      <c r="FS416" s="6"/>
      <c r="FT416" s="6"/>
      <c r="FU416" s="6"/>
      <c r="FV416" s="7">
        <f>ROUND(2653.83,2)</f>
        <v>2653.83</v>
      </c>
      <c r="FW416" s="6"/>
      <c r="FX416" s="6"/>
      <c r="FY416" s="7">
        <f>ROUND(61355.6399999999,2)</f>
        <v>61355.64</v>
      </c>
    </row>
    <row r="417" spans="1:181" x14ac:dyDescent="0.3">
      <c r="A417" s="4" t="s">
        <v>993</v>
      </c>
      <c r="B417" s="5" t="s">
        <v>1029</v>
      </c>
      <c r="C417" s="5" t="s">
        <v>181</v>
      </c>
      <c r="D417" s="5" t="s">
        <v>471</v>
      </c>
      <c r="E417" s="5" t="s">
        <v>0</v>
      </c>
      <c r="F417" s="5" t="s">
        <v>0</v>
      </c>
      <c r="G417" s="5" t="s">
        <v>183</v>
      </c>
      <c r="H417" s="9">
        <v>28.37</v>
      </c>
      <c r="I417" s="7">
        <f>ROUND(37792.9399999999,2)</f>
        <v>37792.94</v>
      </c>
      <c r="J417" s="6"/>
      <c r="K417" s="6"/>
      <c r="L417" s="6"/>
      <c r="M417" s="6"/>
      <c r="N417" s="7">
        <f>ROUND(916.9,2)</f>
        <v>916.9</v>
      </c>
      <c r="O417" s="6"/>
      <c r="P417" s="6"/>
      <c r="Q417" s="7">
        <f>ROUND(0.03,2)</f>
        <v>0.03</v>
      </c>
      <c r="R417" s="6"/>
      <c r="S417" s="6"/>
      <c r="T417" s="6"/>
      <c r="U417" s="6"/>
      <c r="V417" s="7">
        <f>ROUND(13.79,2)</f>
        <v>13.79</v>
      </c>
      <c r="W417" s="6"/>
      <c r="X417" s="6"/>
      <c r="Y417" s="6"/>
      <c r="Z417" s="6"/>
      <c r="AA417" s="6"/>
      <c r="AB417" s="6"/>
      <c r="AC417" s="6"/>
      <c r="AD417" s="6"/>
      <c r="AE417" s="7">
        <f>ROUND(54.17,2)</f>
        <v>54.17</v>
      </c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7">
        <f>ROUND(0.67,2)</f>
        <v>0.67</v>
      </c>
      <c r="AQ417" s="6"/>
      <c r="AR417" s="6"/>
      <c r="AS417" s="6"/>
      <c r="AT417" s="6"/>
      <c r="AU417" s="7">
        <f>ROUND(30,2)</f>
        <v>30</v>
      </c>
      <c r="AV417" s="6"/>
      <c r="AW417" s="6"/>
      <c r="AX417" s="6"/>
      <c r="AY417" s="6"/>
      <c r="AZ417" s="6"/>
      <c r="BA417" s="6"/>
      <c r="BB417" s="6"/>
      <c r="BC417" s="6"/>
      <c r="BD417" s="7">
        <f>ROUND(311.15,2)</f>
        <v>311.14999999999998</v>
      </c>
      <c r="BE417" s="7">
        <f>ROUND(2.56,2)</f>
        <v>2.56</v>
      </c>
      <c r="BF417" s="7">
        <f>ROUND(23.8699999999999,2)</f>
        <v>23.87</v>
      </c>
      <c r="BG417" s="6"/>
      <c r="BH417" s="6"/>
      <c r="BI417" s="7">
        <f>ROUND(8,2)</f>
        <v>8</v>
      </c>
      <c r="BJ417" s="6"/>
      <c r="BK417" s="6"/>
      <c r="BL417" s="6"/>
      <c r="BM417" s="6"/>
      <c r="BN417" s="6"/>
      <c r="BO417" s="6"/>
      <c r="BP417" s="6"/>
      <c r="BQ417" s="7">
        <f>ROUND(92.06,2)</f>
        <v>92.06</v>
      </c>
      <c r="BR417" s="6"/>
      <c r="BS417" s="6"/>
      <c r="BT417" s="7">
        <f>ROUND(0.85,2)</f>
        <v>0.85</v>
      </c>
      <c r="BU417" s="6"/>
      <c r="BV417" s="6"/>
      <c r="BW417" s="6"/>
      <c r="BX417" s="6"/>
      <c r="BY417" s="6"/>
      <c r="BZ417" s="6"/>
      <c r="CA417" s="7">
        <f>ROUND(10,2)</f>
        <v>10</v>
      </c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7">
        <f>ROUND(15,2)</f>
        <v>15</v>
      </c>
      <c r="CQ417" s="7">
        <f>ROUND(1479.04999999999,2)</f>
        <v>1479.05</v>
      </c>
      <c r="CR417" s="6"/>
      <c r="CS417" s="6"/>
      <c r="CT417" s="6"/>
      <c r="CU417" s="6"/>
      <c r="CV417" s="7">
        <f>ROUND(23993.92,2)</f>
        <v>23993.919999999998</v>
      </c>
      <c r="CW417" s="6"/>
      <c r="CX417" s="6"/>
      <c r="CY417" s="7">
        <f>ROUND(0.79,2)</f>
        <v>0.79</v>
      </c>
      <c r="CZ417" s="6"/>
      <c r="DA417" s="6"/>
      <c r="DB417" s="6"/>
      <c r="DC417" s="6"/>
      <c r="DD417" s="7">
        <f>ROUND(373.15,2)</f>
        <v>373.15</v>
      </c>
      <c r="DE417" s="6"/>
      <c r="DF417" s="6"/>
      <c r="DG417" s="6"/>
      <c r="DH417" s="6"/>
      <c r="DI417" s="6"/>
      <c r="DJ417" s="6"/>
      <c r="DK417" s="6"/>
      <c r="DL417" s="6"/>
      <c r="DM417" s="6"/>
      <c r="DN417" s="7">
        <f>ROUND(1395.15999999999,2)</f>
        <v>1395.16</v>
      </c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7">
        <f>ROUND(17.2,2)</f>
        <v>17.2</v>
      </c>
      <c r="DZ417" s="6"/>
      <c r="EA417" s="6"/>
      <c r="EB417" s="6"/>
      <c r="EC417" s="6"/>
      <c r="ED417" s="7">
        <f>ROUND(770.8,2)</f>
        <v>770.8</v>
      </c>
      <c r="EE417" s="6"/>
      <c r="EF417" s="6"/>
      <c r="EG417" s="6"/>
      <c r="EH417" s="6"/>
      <c r="EI417" s="6"/>
      <c r="EJ417" s="6"/>
      <c r="EK417" s="6"/>
      <c r="EL417" s="6"/>
      <c r="EM417" s="6"/>
      <c r="EN417" s="7">
        <f>ROUND(5510.49,2)</f>
        <v>5510.49</v>
      </c>
      <c r="EO417" s="7">
        <f>ROUND(71.91,2)</f>
        <v>71.91</v>
      </c>
      <c r="EP417" s="7">
        <f>ROUND(626.589999999999,2)</f>
        <v>626.59</v>
      </c>
      <c r="EQ417" s="6"/>
      <c r="ER417" s="6"/>
      <c r="ES417" s="6"/>
      <c r="ET417" s="7">
        <f>ROUND(140,2)</f>
        <v>140</v>
      </c>
      <c r="EU417" s="6"/>
      <c r="EV417" s="6"/>
      <c r="EW417" s="6"/>
      <c r="EX417" s="6"/>
      <c r="EY417" s="6"/>
      <c r="EZ417" s="6"/>
      <c r="FA417" s="6"/>
      <c r="FB417" s="6"/>
      <c r="FC417" s="6"/>
      <c r="FD417" s="7">
        <f>ROUND(2367.38,2)</f>
        <v>2367.38</v>
      </c>
      <c r="FE417" s="6"/>
      <c r="FF417" s="6"/>
      <c r="FG417" s="6"/>
      <c r="FH417" s="6"/>
      <c r="FI417" s="6"/>
      <c r="FJ417" s="7">
        <f>ROUND(600,2)</f>
        <v>600</v>
      </c>
      <c r="FK417" s="6"/>
      <c r="FL417" s="6"/>
      <c r="FM417" s="6"/>
      <c r="FN417" s="6"/>
      <c r="FO417" s="6"/>
      <c r="FP417" s="6"/>
      <c r="FQ417" s="6"/>
      <c r="FR417" s="6"/>
      <c r="FS417" s="6"/>
      <c r="FT417" s="7">
        <f>ROUND(1500,2)</f>
        <v>1500</v>
      </c>
      <c r="FU417" s="6"/>
      <c r="FV417" s="6"/>
      <c r="FW417" s="6"/>
      <c r="FX417" s="7">
        <f>ROUND(425.55,2)</f>
        <v>425.55</v>
      </c>
      <c r="FY417" s="7">
        <f>ROUND(37792.9399999999,2)</f>
        <v>37792.94</v>
      </c>
    </row>
    <row r="418" spans="1:181" x14ac:dyDescent="0.3">
      <c r="A418" s="4" t="s">
        <v>994</v>
      </c>
      <c r="B418" s="5" t="s">
        <v>1029</v>
      </c>
      <c r="C418" s="5" t="s">
        <v>181</v>
      </c>
      <c r="D418" s="5" t="s">
        <v>344</v>
      </c>
      <c r="E418" s="5" t="s">
        <v>0</v>
      </c>
      <c r="F418" s="5" t="s">
        <v>0</v>
      </c>
      <c r="G418" s="5" t="s">
        <v>183</v>
      </c>
      <c r="H418" s="8">
        <v>33.380000000000003</v>
      </c>
      <c r="I418" s="7">
        <f>ROUND(110740.88,2)</f>
        <v>110740.88</v>
      </c>
      <c r="J418" s="6"/>
      <c r="K418" s="6"/>
      <c r="L418" s="6"/>
      <c r="M418" s="6"/>
      <c r="N418" s="7">
        <f>ROUND(1457.92,2)</f>
        <v>1457.92</v>
      </c>
      <c r="O418" s="6"/>
      <c r="P418" s="6"/>
      <c r="Q418" s="7">
        <f>ROUND(552.23,2)</f>
        <v>552.23</v>
      </c>
      <c r="R418" s="6"/>
      <c r="S418" s="6"/>
      <c r="T418" s="6"/>
      <c r="U418" s="6"/>
      <c r="V418" s="7">
        <f>ROUND(0.58,2)</f>
        <v>0.57999999999999996</v>
      </c>
      <c r="W418" s="7">
        <f>ROUND(32.7,2)</f>
        <v>32.700000000000003</v>
      </c>
      <c r="X418" s="7">
        <f>ROUND(1.51,2)</f>
        <v>1.51</v>
      </c>
      <c r="Y418" s="7">
        <f>ROUND(1.2,2)</f>
        <v>1.2</v>
      </c>
      <c r="Z418" s="6"/>
      <c r="AA418" s="6"/>
      <c r="AB418" s="6"/>
      <c r="AC418" s="6"/>
      <c r="AD418" s="6"/>
      <c r="AE418" s="7">
        <f>ROUND(202.54,2)</f>
        <v>202.54</v>
      </c>
      <c r="AF418" s="6"/>
      <c r="AG418" s="7">
        <f>ROUND(40.34,2)</f>
        <v>40.340000000000003</v>
      </c>
      <c r="AH418" s="6"/>
      <c r="AI418" s="6"/>
      <c r="AJ418" s="6"/>
      <c r="AK418" s="6"/>
      <c r="AL418" s="6"/>
      <c r="AM418" s="6"/>
      <c r="AN418" s="6"/>
      <c r="AO418" s="6"/>
      <c r="AP418" s="7">
        <f>ROUND(308.01,2)</f>
        <v>308.01</v>
      </c>
      <c r="AQ418" s="6"/>
      <c r="AR418" s="7">
        <f>ROUND(115.269999999999,2)</f>
        <v>115.27</v>
      </c>
      <c r="AS418" s="6"/>
      <c r="AT418" s="6"/>
      <c r="AU418" s="7">
        <f>ROUND(68,2)</f>
        <v>68</v>
      </c>
      <c r="AV418" s="6"/>
      <c r="AW418" s="7">
        <f>ROUND(29.58,2)</f>
        <v>29.58</v>
      </c>
      <c r="AX418" s="7">
        <f>ROUND(2.42,2)</f>
        <v>2.42</v>
      </c>
      <c r="AY418" s="7">
        <f>ROUND(16,2)</f>
        <v>16</v>
      </c>
      <c r="AZ418" s="6"/>
      <c r="BA418" s="6"/>
      <c r="BB418" s="6"/>
      <c r="BC418" s="6"/>
      <c r="BD418" s="7">
        <f t="shared" ref="BD418:BD424" si="6">ROUND(8,2)</f>
        <v>8</v>
      </c>
      <c r="BE418" s="7">
        <f>ROUND(2,2)</f>
        <v>2</v>
      </c>
      <c r="BF418" s="6"/>
      <c r="BG418" s="6"/>
      <c r="BH418" s="6"/>
      <c r="BI418" s="6"/>
      <c r="BJ418" s="6"/>
      <c r="BK418" s="6"/>
      <c r="BL418" s="6"/>
      <c r="BM418" s="6"/>
      <c r="BN418" s="6"/>
      <c r="BO418" s="7">
        <f>ROUND(26,2)</f>
        <v>26</v>
      </c>
      <c r="BP418" s="6"/>
      <c r="BQ418" s="7">
        <f>ROUND(13.85,2)</f>
        <v>13.85</v>
      </c>
      <c r="BR418" s="7">
        <f>ROUND(12.4,2)</f>
        <v>12.4</v>
      </c>
      <c r="BS418" s="6"/>
      <c r="BT418" s="7">
        <f>ROUND(1.65,2)</f>
        <v>1.65</v>
      </c>
      <c r="BU418" s="6"/>
      <c r="BV418" s="6"/>
      <c r="BW418" s="6"/>
      <c r="BX418" s="6"/>
      <c r="BY418" s="6"/>
      <c r="BZ418" s="6"/>
      <c r="CA418" s="7">
        <f>ROUND(5.75,2)</f>
        <v>5.75</v>
      </c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7">
        <f>ROUND(24,2)</f>
        <v>24</v>
      </c>
      <c r="CQ418" s="7">
        <f>ROUND(2921.95,2)</f>
        <v>2921.95</v>
      </c>
      <c r="CR418" s="6"/>
      <c r="CS418" s="6"/>
      <c r="CT418" s="6"/>
      <c r="CU418" s="6"/>
      <c r="CV418" s="7">
        <f>ROUND(47011.34,2)</f>
        <v>47011.34</v>
      </c>
      <c r="CW418" s="6"/>
      <c r="CX418" s="6"/>
      <c r="CY418" s="7">
        <f>ROUND(26903.3999999999,2)</f>
        <v>26903.4</v>
      </c>
      <c r="CZ418" s="6"/>
      <c r="DA418" s="6"/>
      <c r="DB418" s="6"/>
      <c r="DC418" s="6"/>
      <c r="DD418" s="7">
        <f>ROUND(19.26,2)</f>
        <v>19.260000000000002</v>
      </c>
      <c r="DE418" s="7">
        <f>ROUND(1625.14999999999,2)</f>
        <v>1625.15</v>
      </c>
      <c r="DF418" s="7">
        <f>ROUND(49.9,2)</f>
        <v>49.9</v>
      </c>
      <c r="DG418" s="7">
        <f>ROUND(59.49,2)</f>
        <v>59.49</v>
      </c>
      <c r="DH418" s="6"/>
      <c r="DI418" s="6"/>
      <c r="DJ418" s="6"/>
      <c r="DK418" s="6"/>
      <c r="DL418" s="6"/>
      <c r="DM418" s="6"/>
      <c r="DN418" s="7">
        <f>ROUND(6527.37999999999,2)</f>
        <v>6527.38</v>
      </c>
      <c r="DO418" s="6"/>
      <c r="DP418" s="7">
        <f>ROUND(1891.21,2)</f>
        <v>1891.21</v>
      </c>
      <c r="DQ418" s="6"/>
      <c r="DR418" s="6"/>
      <c r="DS418" s="6"/>
      <c r="DT418" s="6"/>
      <c r="DU418" s="6"/>
      <c r="DV418" s="6"/>
      <c r="DW418" s="6"/>
      <c r="DX418" s="6"/>
      <c r="DY418" s="7">
        <f>ROUND(9942.69,2)</f>
        <v>9942.69</v>
      </c>
      <c r="DZ418" s="6"/>
      <c r="EA418" s="7">
        <f>ROUND(5552.16,2)</f>
        <v>5552.16</v>
      </c>
      <c r="EB418" s="6"/>
      <c r="EC418" s="6"/>
      <c r="ED418" s="7">
        <f>ROUND(2189.88,2)</f>
        <v>2189.88</v>
      </c>
      <c r="EE418" s="6"/>
      <c r="EF418" s="7">
        <f>ROUND(947.97,2)</f>
        <v>947.97</v>
      </c>
      <c r="EG418" s="7">
        <f>ROUND(110.68,2)</f>
        <v>110.68</v>
      </c>
      <c r="EH418" s="7">
        <f>ROUND(508.319999999999,2)</f>
        <v>508.32</v>
      </c>
      <c r="EI418" s="6"/>
      <c r="EJ418" s="6"/>
      <c r="EK418" s="6"/>
      <c r="EL418" s="6"/>
      <c r="EM418" s="6"/>
      <c r="EN418" s="7">
        <f t="shared" ref="EN418:EN423" si="7">ROUND(256.72,2)</f>
        <v>256.72000000000003</v>
      </c>
      <c r="EO418" s="7">
        <f>ROUND(99.15,2)</f>
        <v>99.15</v>
      </c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7">
        <f>ROUND(833.06,2)</f>
        <v>833.06</v>
      </c>
      <c r="FC418" s="6"/>
      <c r="FD418" s="7">
        <f>ROUND(444.89,2)</f>
        <v>444.89</v>
      </c>
      <c r="FE418" s="7">
        <f>ROUND(567.11,2)</f>
        <v>567.11</v>
      </c>
      <c r="FF418" s="6"/>
      <c r="FG418" s="6"/>
      <c r="FH418" s="6"/>
      <c r="FI418" s="6"/>
      <c r="FJ418" s="7">
        <f>ROUND(1400,2)</f>
        <v>1400</v>
      </c>
      <c r="FK418" s="6"/>
      <c r="FL418" s="6"/>
      <c r="FM418" s="6"/>
      <c r="FN418" s="6"/>
      <c r="FO418" s="6"/>
      <c r="FP418" s="6"/>
      <c r="FQ418" s="6"/>
      <c r="FR418" s="6"/>
      <c r="FS418" s="6"/>
      <c r="FT418" s="7">
        <f t="shared" ref="FT418:FT424" si="8">ROUND(3000,2)</f>
        <v>3000</v>
      </c>
      <c r="FU418" s="6"/>
      <c r="FV418" s="6"/>
      <c r="FW418" s="6"/>
      <c r="FX418" s="7">
        <f>ROUND(801.12,2)</f>
        <v>801.12</v>
      </c>
      <c r="FY418" s="7">
        <f>ROUND(110740.88,2)</f>
        <v>110740.88</v>
      </c>
    </row>
    <row r="419" spans="1:181" x14ac:dyDescent="0.3">
      <c r="A419" s="4" t="s">
        <v>995</v>
      </c>
      <c r="B419" s="5" t="s">
        <v>1029</v>
      </c>
      <c r="C419" s="5" t="s">
        <v>181</v>
      </c>
      <c r="D419" s="5" t="s">
        <v>934</v>
      </c>
      <c r="E419" s="5" t="s">
        <v>0</v>
      </c>
      <c r="F419" s="5" t="s">
        <v>0</v>
      </c>
      <c r="G419" s="5" t="s">
        <v>183</v>
      </c>
      <c r="H419" s="8">
        <v>33.380000000000003</v>
      </c>
      <c r="I419" s="7">
        <f>ROUND(96799.1099999999,2)</f>
        <v>96799.11</v>
      </c>
      <c r="J419" s="6"/>
      <c r="K419" s="6"/>
      <c r="L419" s="6"/>
      <c r="M419" s="6"/>
      <c r="N419" s="7">
        <f>ROUND(1926.35,2)</f>
        <v>1926.35</v>
      </c>
      <c r="O419" s="6"/>
      <c r="P419" s="6"/>
      <c r="Q419" s="7">
        <f>ROUND(451.469999999999,2)</f>
        <v>451.47</v>
      </c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7">
        <f>ROUND(0.67,2)</f>
        <v>0.67</v>
      </c>
      <c r="AQ419" s="6"/>
      <c r="AR419" s="6"/>
      <c r="AS419" s="6"/>
      <c r="AT419" s="6"/>
      <c r="AU419" s="7">
        <f>ROUND(72,2)</f>
        <v>72</v>
      </c>
      <c r="AV419" s="6"/>
      <c r="AW419" s="7">
        <f>ROUND(19.42,2)</f>
        <v>19.420000000000002</v>
      </c>
      <c r="AX419" s="7">
        <f>ROUND(12.58,2)</f>
        <v>12.58</v>
      </c>
      <c r="AY419" s="7">
        <f>ROUND(71.85,2)</f>
        <v>71.849999999999994</v>
      </c>
      <c r="AZ419" s="7">
        <f>ROUND(8.15,2)</f>
        <v>8.15</v>
      </c>
      <c r="BA419" s="6"/>
      <c r="BB419" s="7">
        <f>ROUND(40,2)</f>
        <v>40</v>
      </c>
      <c r="BC419" s="6"/>
      <c r="BD419" s="7">
        <f t="shared" si="6"/>
        <v>8</v>
      </c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7">
        <f>ROUND(3.75,2)</f>
        <v>3.75</v>
      </c>
      <c r="BU419" s="6"/>
      <c r="BV419" s="6"/>
      <c r="BW419" s="6"/>
      <c r="BX419" s="6"/>
      <c r="BY419" s="6"/>
      <c r="BZ419" s="7">
        <f>ROUND(32,2)</f>
        <v>32</v>
      </c>
      <c r="CA419" s="7">
        <f>ROUND(16,2)</f>
        <v>16</v>
      </c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7">
        <f>ROUND(2662.24,2)</f>
        <v>2662.24</v>
      </c>
      <c r="CR419" s="6"/>
      <c r="CS419" s="6"/>
      <c r="CT419" s="6"/>
      <c r="CU419" s="6"/>
      <c r="CV419" s="7">
        <f>ROUND(62782.8899999999,2)</f>
        <v>62782.89</v>
      </c>
      <c r="CW419" s="6"/>
      <c r="CX419" s="6"/>
      <c r="CY419" s="7">
        <f>ROUND(22095.47,2)</f>
        <v>22095.47</v>
      </c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7">
        <f>ROUND(21.5,2)</f>
        <v>21.5</v>
      </c>
      <c r="DZ419" s="6"/>
      <c r="EA419" s="6"/>
      <c r="EB419" s="6"/>
      <c r="EC419" s="6"/>
      <c r="ED419" s="7">
        <f>ROUND(2343.84,2)</f>
        <v>2343.84</v>
      </c>
      <c r="EE419" s="6"/>
      <c r="EF419" s="7">
        <f>ROUND(638.55,2)</f>
        <v>638.54999999999995</v>
      </c>
      <c r="EG419" s="7">
        <f>ROUND(605.54,2)</f>
        <v>605.54</v>
      </c>
      <c r="EH419" s="7">
        <f>ROUND(2359.27999999999,2)</f>
        <v>2359.2800000000002</v>
      </c>
      <c r="EI419" s="7">
        <f>ROUND(404.04,2)</f>
        <v>404.04</v>
      </c>
      <c r="EJ419" s="6"/>
      <c r="EK419" s="7">
        <f>ROUND(1291.28,2)</f>
        <v>1291.28</v>
      </c>
      <c r="EL419" s="6"/>
      <c r="EM419" s="6"/>
      <c r="EN419" s="7">
        <f t="shared" si="7"/>
        <v>256.72000000000003</v>
      </c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7">
        <f>ROUND(1000,2)</f>
        <v>1000</v>
      </c>
      <c r="FK419" s="6"/>
      <c r="FL419" s="6"/>
      <c r="FM419" s="6"/>
      <c r="FN419" s="6"/>
      <c r="FO419" s="6"/>
      <c r="FP419" s="6"/>
      <c r="FQ419" s="6"/>
      <c r="FR419" s="6"/>
      <c r="FS419" s="6"/>
      <c r="FT419" s="7">
        <f t="shared" si="8"/>
        <v>3000</v>
      </c>
      <c r="FU419" s="6"/>
      <c r="FV419" s="6"/>
      <c r="FW419" s="6"/>
      <c r="FX419" s="6"/>
      <c r="FY419" s="7">
        <f>ROUND(96799.1099999999,2)</f>
        <v>96799.11</v>
      </c>
    </row>
    <row r="420" spans="1:181" x14ac:dyDescent="0.3">
      <c r="A420" s="4" t="s">
        <v>996</v>
      </c>
      <c r="B420" s="5" t="s">
        <v>1029</v>
      </c>
      <c r="C420" s="5" t="s">
        <v>181</v>
      </c>
      <c r="D420" s="5" t="s">
        <v>807</v>
      </c>
      <c r="E420" s="5" t="s">
        <v>0</v>
      </c>
      <c r="F420" s="5" t="s">
        <v>0</v>
      </c>
      <c r="G420" s="5" t="s">
        <v>183</v>
      </c>
      <c r="H420" s="8">
        <v>33.71</v>
      </c>
      <c r="I420" s="7">
        <f>ROUND(73438.53,2)</f>
        <v>73438.53</v>
      </c>
      <c r="J420" s="6"/>
      <c r="K420" s="6"/>
      <c r="L420" s="6"/>
      <c r="M420" s="6"/>
      <c r="N420" s="7">
        <f>ROUND(616.54,2)</f>
        <v>616.54</v>
      </c>
      <c r="O420" s="6"/>
      <c r="P420" s="6"/>
      <c r="Q420" s="7">
        <f>ROUND(21.45,2)</f>
        <v>21.45</v>
      </c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7">
        <f>ROUND(1105.21999999999,2)</f>
        <v>1105.22</v>
      </c>
      <c r="AF420" s="6"/>
      <c r="AG420" s="7">
        <f>ROUND(45.3999999999999,2)</f>
        <v>45.4</v>
      </c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7">
        <f>ROUND(70,2)</f>
        <v>70</v>
      </c>
      <c r="AV420" s="6"/>
      <c r="AW420" s="7">
        <f>ROUND(32,2)</f>
        <v>32</v>
      </c>
      <c r="AX420" s="6"/>
      <c r="AY420" s="7">
        <f>ROUND(195.35,2)</f>
        <v>195.35</v>
      </c>
      <c r="AZ420" s="7">
        <f>ROUND(2.65,2)</f>
        <v>2.65</v>
      </c>
      <c r="BA420" s="6"/>
      <c r="BB420" s="6"/>
      <c r="BC420" s="6"/>
      <c r="BD420" s="7">
        <f t="shared" si="6"/>
        <v>8</v>
      </c>
      <c r="BE420" s="7">
        <f>ROUND(3.17,2)</f>
        <v>3.17</v>
      </c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7">
        <f>ROUND(24,2)</f>
        <v>24</v>
      </c>
      <c r="BT420" s="6"/>
      <c r="BU420" s="6"/>
      <c r="BV420" s="6"/>
      <c r="BW420" s="6"/>
      <c r="BX420" s="6"/>
      <c r="BY420" s="7">
        <f>ROUND(36,2)</f>
        <v>36</v>
      </c>
      <c r="BZ420" s="6"/>
      <c r="CA420" s="7">
        <f>ROUND(50,2)</f>
        <v>50</v>
      </c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7">
        <f>ROUND(2209.77999999999,2)</f>
        <v>2209.7800000000002</v>
      </c>
      <c r="CR420" s="6"/>
      <c r="CS420" s="6"/>
      <c r="CT420" s="6"/>
      <c r="CU420" s="6"/>
      <c r="CV420" s="7">
        <f>ROUND(20411.63,2)</f>
        <v>20411.63</v>
      </c>
      <c r="CW420" s="6"/>
      <c r="CX420" s="6"/>
      <c r="CY420" s="7">
        <f>ROUND(1064.61,2)</f>
        <v>1064.6099999999999</v>
      </c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7">
        <f>ROUND(35724.93,2)</f>
        <v>35724.93</v>
      </c>
      <c r="DO420" s="6"/>
      <c r="DP420" s="7">
        <f>ROUND(2210.64999999999,2)</f>
        <v>2210.65</v>
      </c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7">
        <f>ROUND(2282.3,2)</f>
        <v>2282.3000000000002</v>
      </c>
      <c r="EE420" s="6"/>
      <c r="EF420" s="7">
        <f>ROUND(1034.56,2)</f>
        <v>1034.56</v>
      </c>
      <c r="EG420" s="6"/>
      <c r="EH420" s="7">
        <f>ROUND(6367.12999999999,2)</f>
        <v>6367.13</v>
      </c>
      <c r="EI420" s="7">
        <f>ROUND(131.23,2)</f>
        <v>131.22999999999999</v>
      </c>
      <c r="EJ420" s="6"/>
      <c r="EK420" s="6"/>
      <c r="EL420" s="6"/>
      <c r="EM420" s="6"/>
      <c r="EN420" s="7">
        <f t="shared" si="7"/>
        <v>256.72000000000003</v>
      </c>
      <c r="EO420" s="7">
        <f>ROUND(104.77,2)</f>
        <v>104.77</v>
      </c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7">
        <f>ROUND(850,2)</f>
        <v>850</v>
      </c>
      <c r="FK420" s="6"/>
      <c r="FL420" s="6"/>
      <c r="FM420" s="6"/>
      <c r="FN420" s="6"/>
      <c r="FO420" s="6"/>
      <c r="FP420" s="6"/>
      <c r="FQ420" s="6"/>
      <c r="FR420" s="6"/>
      <c r="FS420" s="6"/>
      <c r="FT420" s="7">
        <f t="shared" si="8"/>
        <v>3000</v>
      </c>
      <c r="FU420" s="6"/>
      <c r="FV420" s="6"/>
      <c r="FW420" s="6"/>
      <c r="FX420" s="6"/>
      <c r="FY420" s="7">
        <f>ROUND(73438.53,2)</f>
        <v>73438.53</v>
      </c>
    </row>
    <row r="421" spans="1:181" x14ac:dyDescent="0.3">
      <c r="A421" s="4" t="s">
        <v>997</v>
      </c>
      <c r="B421" s="5" t="s">
        <v>1029</v>
      </c>
      <c r="C421" s="5" t="s">
        <v>181</v>
      </c>
      <c r="D421" s="5" t="s">
        <v>289</v>
      </c>
      <c r="E421" s="5" t="s">
        <v>0</v>
      </c>
      <c r="F421" s="5" t="s">
        <v>0</v>
      </c>
      <c r="G421" s="5" t="s">
        <v>183</v>
      </c>
      <c r="H421" s="8">
        <v>33.380000000000003</v>
      </c>
      <c r="I421" s="7">
        <f>ROUND(60536.3999999999,2)</f>
        <v>60536.4</v>
      </c>
      <c r="J421" s="6"/>
      <c r="K421" s="6"/>
      <c r="L421" s="6"/>
      <c r="M421" s="6"/>
      <c r="N421" s="7">
        <f>ROUND(1100.87,2)</f>
        <v>1100.8699999999999</v>
      </c>
      <c r="O421" s="6"/>
      <c r="P421" s="6"/>
      <c r="Q421" s="7">
        <f>ROUND(3.6,2)</f>
        <v>3.6</v>
      </c>
      <c r="R421" s="6"/>
      <c r="S421" s="6"/>
      <c r="T421" s="6"/>
      <c r="U421" s="6"/>
      <c r="V421" s="7">
        <f>ROUND(8.72,2)</f>
        <v>8.7200000000000006</v>
      </c>
      <c r="W421" s="6"/>
      <c r="X421" s="6"/>
      <c r="Y421" s="6"/>
      <c r="Z421" s="6"/>
      <c r="AA421" s="6"/>
      <c r="AB421" s="6"/>
      <c r="AC421" s="6"/>
      <c r="AD421" s="6"/>
      <c r="AE421" s="7">
        <f>ROUND(273.02,2)</f>
        <v>273.02</v>
      </c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7">
        <f>ROUND(138.53,2)</f>
        <v>138.53</v>
      </c>
      <c r="AQ421" s="6"/>
      <c r="AR421" s="7">
        <f>ROUND(42.8399999999999,2)</f>
        <v>42.84</v>
      </c>
      <c r="AS421" s="6"/>
      <c r="AT421" s="6"/>
      <c r="AU421" s="7">
        <f>ROUND(50,2)</f>
        <v>50</v>
      </c>
      <c r="AV421" s="6"/>
      <c r="AW421" s="7">
        <f>ROUND(5,2)</f>
        <v>5</v>
      </c>
      <c r="AX421" s="6"/>
      <c r="AY421" s="7">
        <f>ROUND(52,2)</f>
        <v>52</v>
      </c>
      <c r="AZ421" s="6"/>
      <c r="BA421" s="6"/>
      <c r="BB421" s="7">
        <f>ROUND(8,2)</f>
        <v>8</v>
      </c>
      <c r="BC421" s="6"/>
      <c r="BD421" s="7">
        <f t="shared" si="6"/>
        <v>8</v>
      </c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7">
        <f>ROUND(10.25,2)</f>
        <v>10.25</v>
      </c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7">
        <f>ROUND(8,2)</f>
        <v>8</v>
      </c>
      <c r="CQ421" s="7">
        <f>ROUND(1708.82999999999,2)</f>
        <v>1708.83</v>
      </c>
      <c r="CR421" s="6"/>
      <c r="CS421" s="6"/>
      <c r="CT421" s="6"/>
      <c r="CU421" s="6"/>
      <c r="CV421" s="7">
        <f>ROUND(35850.4699999999,2)</f>
        <v>35850.47</v>
      </c>
      <c r="CW421" s="6"/>
      <c r="CX421" s="6"/>
      <c r="CY421" s="7">
        <f>ROUND(178.47,2)</f>
        <v>178.47</v>
      </c>
      <c r="CZ421" s="6"/>
      <c r="DA421" s="6"/>
      <c r="DB421" s="6"/>
      <c r="DC421" s="6"/>
      <c r="DD421" s="7">
        <f>ROUND(288.2,2)</f>
        <v>288.2</v>
      </c>
      <c r="DE421" s="6"/>
      <c r="DF421" s="6"/>
      <c r="DG421" s="6"/>
      <c r="DH421" s="6"/>
      <c r="DI421" s="6"/>
      <c r="DJ421" s="6"/>
      <c r="DK421" s="6"/>
      <c r="DL421" s="6"/>
      <c r="DM421" s="6"/>
      <c r="DN421" s="7">
        <f>ROUND(8881.74,2)</f>
        <v>8881.74</v>
      </c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7">
        <f>ROUND(4616.53,2)</f>
        <v>4616.53</v>
      </c>
      <c r="DZ421" s="6"/>
      <c r="EA421" s="7">
        <f>ROUND(2142.04,2)</f>
        <v>2142.04</v>
      </c>
      <c r="EB421" s="6"/>
      <c r="EC421" s="6"/>
      <c r="ED421" s="7">
        <f>ROUND(1632.1,2)</f>
        <v>1632.1</v>
      </c>
      <c r="EE421" s="6"/>
      <c r="EF421" s="7">
        <f>ROUND(160.45,2)</f>
        <v>160.44999999999999</v>
      </c>
      <c r="EG421" s="6"/>
      <c r="EH421" s="7">
        <f>ROUND(1709.48,2)</f>
        <v>1709.48</v>
      </c>
      <c r="EI421" s="6"/>
      <c r="EJ421" s="6"/>
      <c r="EK421" s="7">
        <f>ROUND(264.4,2)</f>
        <v>264.39999999999998</v>
      </c>
      <c r="EL421" s="6"/>
      <c r="EM421" s="6"/>
      <c r="EN421" s="7">
        <f t="shared" si="7"/>
        <v>256.72000000000003</v>
      </c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7">
        <f>ROUND(338.76,2)</f>
        <v>338.76</v>
      </c>
      <c r="FC421" s="6"/>
      <c r="FD421" s="6"/>
      <c r="FE421" s="6"/>
      <c r="FF421" s="6"/>
      <c r="FG421" s="6"/>
      <c r="FH421" s="6"/>
      <c r="FI421" s="6"/>
      <c r="FJ421" s="7">
        <f>ROUND(950,2)</f>
        <v>950</v>
      </c>
      <c r="FK421" s="6"/>
      <c r="FL421" s="6"/>
      <c r="FM421" s="6"/>
      <c r="FN421" s="6"/>
      <c r="FO421" s="6"/>
      <c r="FP421" s="6"/>
      <c r="FQ421" s="6"/>
      <c r="FR421" s="6"/>
      <c r="FS421" s="6"/>
      <c r="FT421" s="7">
        <f t="shared" si="8"/>
        <v>3000</v>
      </c>
      <c r="FU421" s="6"/>
      <c r="FV421" s="6"/>
      <c r="FW421" s="6"/>
      <c r="FX421" s="7">
        <f>ROUND(267.04,2)</f>
        <v>267.04000000000002</v>
      </c>
      <c r="FY421" s="7">
        <f>ROUND(60536.3999999999,2)</f>
        <v>60536.4</v>
      </c>
    </row>
    <row r="422" spans="1:181" x14ac:dyDescent="0.3">
      <c r="A422" s="4" t="s">
        <v>998</v>
      </c>
      <c r="B422" s="5" t="s">
        <v>1029</v>
      </c>
      <c r="C422" s="5" t="s">
        <v>181</v>
      </c>
      <c r="D422" s="5" t="s">
        <v>298</v>
      </c>
      <c r="E422" s="5" t="s">
        <v>0</v>
      </c>
      <c r="F422" s="5" t="s">
        <v>0</v>
      </c>
      <c r="G422" s="5" t="s">
        <v>183</v>
      </c>
      <c r="H422" s="8">
        <v>33.71</v>
      </c>
      <c r="I422" s="7">
        <f>ROUND(97797.0999999999,2)</f>
        <v>97797.1</v>
      </c>
      <c r="J422" s="6"/>
      <c r="K422" s="6"/>
      <c r="L422" s="6"/>
      <c r="M422" s="6"/>
      <c r="N422" s="7">
        <f>ROUND(1972.61,2)</f>
        <v>1972.61</v>
      </c>
      <c r="O422" s="6"/>
      <c r="P422" s="6"/>
      <c r="Q422" s="7">
        <f>ROUND(383.01,2)</f>
        <v>383.01</v>
      </c>
      <c r="R422" s="6"/>
      <c r="S422" s="6"/>
      <c r="T422" s="6"/>
      <c r="U422" s="6"/>
      <c r="V422" s="6"/>
      <c r="W422" s="7">
        <f>ROUND(25.5,2)</f>
        <v>25.5</v>
      </c>
      <c r="X422" s="7">
        <f>ROUND(1.85,2)</f>
        <v>1.85</v>
      </c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7">
        <f>ROUND(14.5,2)</f>
        <v>14.5</v>
      </c>
      <c r="AS422" s="6"/>
      <c r="AT422" s="6"/>
      <c r="AU422" s="7">
        <f>ROUND(60,2)</f>
        <v>60</v>
      </c>
      <c r="AV422" s="7">
        <f>ROUND(8,2)</f>
        <v>8</v>
      </c>
      <c r="AW422" s="7">
        <f>ROUND(1.33,2)</f>
        <v>1.33</v>
      </c>
      <c r="AX422" s="7">
        <f>ROUND(6.67,2)</f>
        <v>6.67</v>
      </c>
      <c r="AY422" s="7">
        <f>ROUND(65.33,2)</f>
        <v>65.33</v>
      </c>
      <c r="AZ422" s="7">
        <f>ROUND(6.67,2)</f>
        <v>6.67</v>
      </c>
      <c r="BA422" s="6"/>
      <c r="BB422" s="7">
        <f>ROUND(24,2)</f>
        <v>24</v>
      </c>
      <c r="BC422" s="6"/>
      <c r="BD422" s="7">
        <f t="shared" si="6"/>
        <v>8</v>
      </c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7">
        <f>ROUND(8,2)</f>
        <v>8</v>
      </c>
      <c r="BT422" s="7">
        <f>ROUND(1.25,2)</f>
        <v>1.25</v>
      </c>
      <c r="BU422" s="6"/>
      <c r="BV422" s="6"/>
      <c r="BW422" s="6"/>
      <c r="BX422" s="6"/>
      <c r="BY422" s="6"/>
      <c r="BZ422" s="6"/>
      <c r="CA422" s="7">
        <f>ROUND(8,2)</f>
        <v>8</v>
      </c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7">
        <f>ROUND(64,2)</f>
        <v>64</v>
      </c>
      <c r="CQ422" s="7">
        <f>ROUND(2658.72,2)</f>
        <v>2658.72</v>
      </c>
      <c r="CR422" s="6"/>
      <c r="CS422" s="6"/>
      <c r="CT422" s="6"/>
      <c r="CU422" s="6"/>
      <c r="CV422" s="7">
        <f>ROUND(64421.9999999999,2)</f>
        <v>64422</v>
      </c>
      <c r="CW422" s="6"/>
      <c r="CX422" s="6"/>
      <c r="CY422" s="7">
        <f>ROUND(18813.0299999999,2)</f>
        <v>18813.03</v>
      </c>
      <c r="CZ422" s="6"/>
      <c r="DA422" s="6"/>
      <c r="DB422" s="6"/>
      <c r="DC422" s="6"/>
      <c r="DD422" s="6"/>
      <c r="DE422" s="7">
        <f>ROUND(1268.09,2)</f>
        <v>1268.0899999999999</v>
      </c>
      <c r="DF422" s="7">
        <f>ROUND(60.84,2)</f>
        <v>60.84</v>
      </c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7">
        <f>ROUND(713.46,2)</f>
        <v>713.46</v>
      </c>
      <c r="EB422" s="6"/>
      <c r="EC422" s="6"/>
      <c r="ED422" s="7">
        <f>ROUND(1953.72,2)</f>
        <v>1953.72</v>
      </c>
      <c r="EE422" s="7">
        <f>ROUND(396.64,2)</f>
        <v>396.64</v>
      </c>
      <c r="EF422" s="7">
        <f>ROUND(42.68,2)</f>
        <v>42.68</v>
      </c>
      <c r="EG422" s="7">
        <f>ROUND(321.06,2)</f>
        <v>321.06</v>
      </c>
      <c r="EH422" s="7">
        <f>ROUND(2142.52,2)</f>
        <v>2142.52</v>
      </c>
      <c r="EI422" s="7">
        <f>ROUND(321.06,2)</f>
        <v>321.06</v>
      </c>
      <c r="EJ422" s="6"/>
      <c r="EK422" s="7">
        <f>ROUND(777.84,2)</f>
        <v>777.84</v>
      </c>
      <c r="EL422" s="6"/>
      <c r="EM422" s="6"/>
      <c r="EN422" s="7">
        <f t="shared" si="7"/>
        <v>256.72000000000003</v>
      </c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7">
        <f>ROUND(1150,2)</f>
        <v>1150</v>
      </c>
      <c r="FK422" s="6"/>
      <c r="FL422" s="6"/>
      <c r="FM422" s="6"/>
      <c r="FN422" s="6"/>
      <c r="FO422" s="6"/>
      <c r="FP422" s="6"/>
      <c r="FQ422" s="6"/>
      <c r="FR422" s="6"/>
      <c r="FS422" s="6"/>
      <c r="FT422" s="7">
        <f t="shared" si="8"/>
        <v>3000</v>
      </c>
      <c r="FU422" s="6"/>
      <c r="FV422" s="6"/>
      <c r="FW422" s="6"/>
      <c r="FX422" s="7">
        <f>ROUND(2157.44,2)</f>
        <v>2157.44</v>
      </c>
      <c r="FY422" s="7">
        <f>ROUND(97797.0999999999,2)</f>
        <v>97797.1</v>
      </c>
    </row>
    <row r="423" spans="1:181" x14ac:dyDescent="0.3">
      <c r="A423" s="4" t="s">
        <v>999</v>
      </c>
      <c r="B423" s="5" t="s">
        <v>1029</v>
      </c>
      <c r="C423" s="5" t="s">
        <v>181</v>
      </c>
      <c r="D423" s="5" t="s">
        <v>335</v>
      </c>
      <c r="E423" s="5" t="s">
        <v>0</v>
      </c>
      <c r="F423" s="5" t="s">
        <v>0</v>
      </c>
      <c r="G423" s="5" t="s">
        <v>183</v>
      </c>
      <c r="H423" s="8">
        <v>33.380000000000003</v>
      </c>
      <c r="I423" s="7">
        <f>ROUND(83112.97,2)</f>
        <v>83112.97</v>
      </c>
      <c r="J423" s="6"/>
      <c r="K423" s="6"/>
      <c r="L423" s="6"/>
      <c r="M423" s="6"/>
      <c r="N423" s="7">
        <f>ROUND(1046.93,2)</f>
        <v>1046.93</v>
      </c>
      <c r="O423" s="6"/>
      <c r="P423" s="6"/>
      <c r="Q423" s="7">
        <f>ROUND(128.959999999999,2)</f>
        <v>128.96</v>
      </c>
      <c r="R423" s="6"/>
      <c r="S423" s="6"/>
      <c r="T423" s="6"/>
      <c r="U423" s="6"/>
      <c r="V423" s="7">
        <f>ROUND(8.02,2)</f>
        <v>8.02</v>
      </c>
      <c r="W423" s="7">
        <f>ROUND(30.0499999999999,2)</f>
        <v>30.05</v>
      </c>
      <c r="X423" s="6"/>
      <c r="Y423" s="7">
        <f>ROUND(0.5,2)</f>
        <v>0.5</v>
      </c>
      <c r="Z423" s="6"/>
      <c r="AA423" s="6"/>
      <c r="AB423" s="6"/>
      <c r="AC423" s="6"/>
      <c r="AD423" s="6"/>
      <c r="AE423" s="7">
        <f>ROUND(332.08,2)</f>
        <v>332.08</v>
      </c>
      <c r="AF423" s="6"/>
      <c r="AG423" s="7">
        <f>ROUND(71.1699999999999,2)</f>
        <v>71.17</v>
      </c>
      <c r="AH423" s="6"/>
      <c r="AI423" s="6"/>
      <c r="AJ423" s="6"/>
      <c r="AK423" s="6"/>
      <c r="AL423" s="6"/>
      <c r="AM423" s="6"/>
      <c r="AN423" s="6"/>
      <c r="AO423" s="6"/>
      <c r="AP423" s="7">
        <f>ROUND(445.76,2)</f>
        <v>445.76</v>
      </c>
      <c r="AQ423" s="6"/>
      <c r="AR423" s="7">
        <f>ROUND(73.44,2)</f>
        <v>73.44</v>
      </c>
      <c r="AS423" s="6"/>
      <c r="AT423" s="6"/>
      <c r="AU423" s="7">
        <f>ROUND(72,2)</f>
        <v>72</v>
      </c>
      <c r="AV423" s="6"/>
      <c r="AW423" s="7">
        <f>ROUND(11.33,2)</f>
        <v>11.33</v>
      </c>
      <c r="AX423" s="7">
        <f>ROUND(4.67,2)</f>
        <v>4.67</v>
      </c>
      <c r="AY423" s="7">
        <f>ROUND(21.5,2)</f>
        <v>21.5</v>
      </c>
      <c r="AZ423" s="7">
        <f>ROUND(2.5,2)</f>
        <v>2.5</v>
      </c>
      <c r="BA423" s="6"/>
      <c r="BB423" s="7">
        <f>ROUND(26,2)</f>
        <v>26</v>
      </c>
      <c r="BC423" s="6"/>
      <c r="BD423" s="7">
        <f t="shared" si="6"/>
        <v>8</v>
      </c>
      <c r="BE423" s="7">
        <f>ROUND(1.43,2)</f>
        <v>1.43</v>
      </c>
      <c r="BF423" s="6"/>
      <c r="BG423" s="6"/>
      <c r="BH423" s="6"/>
      <c r="BI423" s="6"/>
      <c r="BJ423" s="6"/>
      <c r="BK423" s="6"/>
      <c r="BL423" s="6"/>
      <c r="BM423" s="6"/>
      <c r="BN423" s="6"/>
      <c r="BO423" s="7">
        <f>ROUND(37.5,2)</f>
        <v>37.5</v>
      </c>
      <c r="BP423" s="6"/>
      <c r="BQ423" s="6"/>
      <c r="BR423" s="6"/>
      <c r="BS423" s="7">
        <f>ROUND(48,2)</f>
        <v>48</v>
      </c>
      <c r="BT423" s="7">
        <f>ROUND(2.45,2)</f>
        <v>2.4500000000000002</v>
      </c>
      <c r="BU423" s="6"/>
      <c r="BV423" s="6"/>
      <c r="BW423" s="6"/>
      <c r="BX423" s="7">
        <f>ROUND(48,2)</f>
        <v>48</v>
      </c>
      <c r="BY423" s="7">
        <f>ROUND(18,2)</f>
        <v>18</v>
      </c>
      <c r="BZ423" s="6"/>
      <c r="CA423" s="7">
        <f>ROUND(44,2)</f>
        <v>44</v>
      </c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7">
        <f>ROUND(2482.29,2)</f>
        <v>2482.29</v>
      </c>
      <c r="CR423" s="6"/>
      <c r="CS423" s="6"/>
      <c r="CT423" s="6"/>
      <c r="CU423" s="6"/>
      <c r="CV423" s="7">
        <f>ROUND(33579.18,2)</f>
        <v>33579.18</v>
      </c>
      <c r="CW423" s="6"/>
      <c r="CX423" s="6"/>
      <c r="CY423" s="7">
        <f>ROUND(6246.38,2)</f>
        <v>6246.38</v>
      </c>
      <c r="CZ423" s="6"/>
      <c r="DA423" s="6"/>
      <c r="DB423" s="6"/>
      <c r="DC423" s="6"/>
      <c r="DD423" s="7">
        <f>ROUND(266.26,2)</f>
        <v>266.26</v>
      </c>
      <c r="DE423" s="7">
        <f>ROUND(1459.06,2)</f>
        <v>1459.06</v>
      </c>
      <c r="DF423" s="6"/>
      <c r="DG423" s="7">
        <f>ROUND(22.87,2)</f>
        <v>22.87</v>
      </c>
      <c r="DH423" s="6"/>
      <c r="DI423" s="6"/>
      <c r="DJ423" s="6"/>
      <c r="DK423" s="6"/>
      <c r="DL423" s="6"/>
      <c r="DM423" s="6"/>
      <c r="DN423" s="7">
        <f>ROUND(10649.63,2)</f>
        <v>10649.63</v>
      </c>
      <c r="DO423" s="6"/>
      <c r="DP423" s="7">
        <f>ROUND(3465.08999999999,2)</f>
        <v>3465.09</v>
      </c>
      <c r="DQ423" s="6"/>
      <c r="DR423" s="6"/>
      <c r="DS423" s="6"/>
      <c r="DT423" s="6"/>
      <c r="DU423" s="6"/>
      <c r="DV423" s="6"/>
      <c r="DW423" s="6"/>
      <c r="DX423" s="6"/>
      <c r="DY423" s="7">
        <f>ROUND(14274.02,2)</f>
        <v>14274.02</v>
      </c>
      <c r="DZ423" s="6"/>
      <c r="EA423" s="7">
        <f>ROUND(3573.91999999999,2)</f>
        <v>3573.92</v>
      </c>
      <c r="EB423" s="6"/>
      <c r="EC423" s="6"/>
      <c r="ED423" s="7">
        <f>ROUND(2292.64,2)</f>
        <v>2292.64</v>
      </c>
      <c r="EE423" s="6"/>
      <c r="EF423" s="7">
        <f>ROUND(345.45,2)</f>
        <v>345.45</v>
      </c>
      <c r="EG423" s="7">
        <f>ROUND(213.58,2)</f>
        <v>213.58</v>
      </c>
      <c r="EH423" s="7">
        <f>ROUND(668.34,2)</f>
        <v>668.34</v>
      </c>
      <c r="EI423" s="7">
        <f>ROUND(114.34,2)</f>
        <v>114.34</v>
      </c>
      <c r="EJ423" s="6"/>
      <c r="EK423" s="7">
        <f>ROUND(792.74,2)</f>
        <v>792.74</v>
      </c>
      <c r="EL423" s="6"/>
      <c r="EM423" s="6"/>
      <c r="EN423" s="7">
        <f t="shared" si="7"/>
        <v>256.72000000000003</v>
      </c>
      <c r="EO423" s="7">
        <f>ROUND(70.89,2)</f>
        <v>70.89</v>
      </c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7">
        <f>ROUND(1171.86,2)</f>
        <v>1171.8599999999999</v>
      </c>
      <c r="FC423" s="6"/>
      <c r="FD423" s="6"/>
      <c r="FE423" s="6"/>
      <c r="FF423" s="6"/>
      <c r="FG423" s="6"/>
      <c r="FH423" s="6"/>
      <c r="FI423" s="6"/>
      <c r="FJ423" s="7">
        <f>ROUND(650,2)</f>
        <v>650</v>
      </c>
      <c r="FK423" s="6"/>
      <c r="FL423" s="6"/>
      <c r="FM423" s="6"/>
      <c r="FN423" s="6"/>
      <c r="FO423" s="6"/>
      <c r="FP423" s="6"/>
      <c r="FQ423" s="6"/>
      <c r="FR423" s="6"/>
      <c r="FS423" s="6"/>
      <c r="FT423" s="7">
        <f t="shared" si="8"/>
        <v>3000</v>
      </c>
      <c r="FU423" s="6"/>
      <c r="FV423" s="6"/>
      <c r="FW423" s="6"/>
      <c r="FX423" s="6"/>
      <c r="FY423" s="7">
        <f>ROUND(83112.97,2)</f>
        <v>83112.97</v>
      </c>
    </row>
    <row r="424" spans="1:181" x14ac:dyDescent="0.3">
      <c r="A424" s="4" t="s">
        <v>1000</v>
      </c>
      <c r="B424" s="5" t="s">
        <v>1029</v>
      </c>
      <c r="C424" s="5" t="s">
        <v>181</v>
      </c>
      <c r="D424" s="5" t="s">
        <v>303</v>
      </c>
      <c r="E424" s="5" t="s">
        <v>0</v>
      </c>
      <c r="F424" s="5" t="s">
        <v>0</v>
      </c>
      <c r="G424" s="5" t="s">
        <v>183</v>
      </c>
      <c r="H424" s="9">
        <v>33.380000000000003</v>
      </c>
      <c r="I424" s="7">
        <f>ROUND(80443.3199999999,2)</f>
        <v>80443.320000000007</v>
      </c>
      <c r="J424" s="6"/>
      <c r="K424" s="6"/>
      <c r="L424" s="6"/>
      <c r="M424" s="6"/>
      <c r="N424" s="7">
        <f>ROUND(946.14,2)</f>
        <v>946.14</v>
      </c>
      <c r="O424" s="6"/>
      <c r="P424" s="6"/>
      <c r="Q424" s="7">
        <f>ROUND(123.05,2)</f>
        <v>123.05</v>
      </c>
      <c r="R424" s="6"/>
      <c r="S424" s="6"/>
      <c r="T424" s="6"/>
      <c r="U424" s="6"/>
      <c r="V424" s="7">
        <f>ROUND(10.48,2)</f>
        <v>10.48</v>
      </c>
      <c r="W424" s="6"/>
      <c r="X424" s="7">
        <f>ROUND(0.75,2)</f>
        <v>0.75</v>
      </c>
      <c r="Y424" s="7">
        <f>ROUND(0.25,2)</f>
        <v>0.25</v>
      </c>
      <c r="Z424" s="6"/>
      <c r="AA424" s="6"/>
      <c r="AB424" s="6"/>
      <c r="AC424" s="6"/>
      <c r="AD424" s="6"/>
      <c r="AE424" s="7">
        <f>ROUND(259.44,2)</f>
        <v>259.44</v>
      </c>
      <c r="AF424" s="6"/>
      <c r="AG424" s="7">
        <f>ROUND(54.62,2)</f>
        <v>54.62</v>
      </c>
      <c r="AH424" s="6"/>
      <c r="AI424" s="6"/>
      <c r="AJ424" s="6"/>
      <c r="AK424" s="6"/>
      <c r="AL424" s="6"/>
      <c r="AM424" s="6"/>
      <c r="AN424" s="6"/>
      <c r="AO424" s="6"/>
      <c r="AP424" s="7">
        <f>ROUND(735.349999999999,2)</f>
        <v>735.35</v>
      </c>
      <c r="AQ424" s="6"/>
      <c r="AR424" s="7">
        <f>ROUND(75.64,2)</f>
        <v>75.64</v>
      </c>
      <c r="AS424" s="6"/>
      <c r="AT424" s="6"/>
      <c r="AU424" s="7">
        <f>ROUND(72,2)</f>
        <v>72</v>
      </c>
      <c r="AV424" s="6"/>
      <c r="AW424" s="7">
        <f>ROUND(32,2)</f>
        <v>32</v>
      </c>
      <c r="AX424" s="6"/>
      <c r="AY424" s="7">
        <f>ROUND(16,2)</f>
        <v>16</v>
      </c>
      <c r="AZ424" s="6"/>
      <c r="BA424" s="6"/>
      <c r="BB424" s="7">
        <f>ROUND(16,2)</f>
        <v>16</v>
      </c>
      <c r="BC424" s="6"/>
      <c r="BD424" s="7">
        <f t="shared" si="6"/>
        <v>8</v>
      </c>
      <c r="BE424" s="7">
        <f>ROUND(2,2)</f>
        <v>2</v>
      </c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7">
        <f>ROUND(1.13,2)</f>
        <v>1.1299999999999999</v>
      </c>
      <c r="BU424" s="7">
        <f>ROUND(8,2)</f>
        <v>8</v>
      </c>
      <c r="BV424" s="6"/>
      <c r="BW424" s="6"/>
      <c r="BX424" s="6"/>
      <c r="BY424" s="7">
        <f>ROUND(24,2)</f>
        <v>24</v>
      </c>
      <c r="BZ424" s="6"/>
      <c r="CA424" s="7">
        <f>ROUND(16,2)</f>
        <v>16</v>
      </c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7">
        <f>ROUND(8,2)</f>
        <v>8</v>
      </c>
      <c r="CQ424" s="7">
        <f>ROUND(2408.85,2)</f>
        <v>2408.85</v>
      </c>
      <c r="CR424" s="6"/>
      <c r="CS424" s="6"/>
      <c r="CT424" s="6"/>
      <c r="CU424" s="6"/>
      <c r="CV424" s="7">
        <f>ROUND(29056.35,2)</f>
        <v>29056.35</v>
      </c>
      <c r="CW424" s="6"/>
      <c r="CX424" s="6"/>
      <c r="CY424" s="7">
        <f>ROUND(5803.32,2)</f>
        <v>5803.32</v>
      </c>
      <c r="CZ424" s="6"/>
      <c r="DA424" s="6"/>
      <c r="DB424" s="6"/>
      <c r="DC424" s="6"/>
      <c r="DD424" s="7">
        <f>ROUND(349.82,2)</f>
        <v>349.82</v>
      </c>
      <c r="DE424" s="6"/>
      <c r="DF424" s="7">
        <f>ROUND(24.79,2)</f>
        <v>24.79</v>
      </c>
      <c r="DG424" s="7">
        <f>ROUND(12.39,2)</f>
        <v>12.39</v>
      </c>
      <c r="DH424" s="6"/>
      <c r="DI424" s="6"/>
      <c r="DJ424" s="6"/>
      <c r="DK424" s="6"/>
      <c r="DL424" s="6"/>
      <c r="DM424" s="6"/>
      <c r="DN424" s="7">
        <f>ROUND(7989.34999999999,2)</f>
        <v>7989.35</v>
      </c>
      <c r="DO424" s="6"/>
      <c r="DP424" s="7">
        <f>ROUND(2515.27999999999,2)</f>
        <v>2515.2800000000002</v>
      </c>
      <c r="DQ424" s="6"/>
      <c r="DR424" s="6"/>
      <c r="DS424" s="6"/>
      <c r="DT424" s="6"/>
      <c r="DU424" s="6"/>
      <c r="DV424" s="6"/>
      <c r="DW424" s="6"/>
      <c r="DX424" s="6"/>
      <c r="DY424" s="7">
        <f>ROUND(22603.3299999999,2)</f>
        <v>22603.33</v>
      </c>
      <c r="DZ424" s="6"/>
      <c r="EA424" s="7">
        <f>ROUND(3565.00999999999,2)</f>
        <v>3565.01</v>
      </c>
      <c r="EB424" s="6"/>
      <c r="EC424" s="6"/>
      <c r="ED424" s="7">
        <f>ROUND(2201.92,2)</f>
        <v>2201.92</v>
      </c>
      <c r="EE424" s="6"/>
      <c r="EF424" s="7">
        <f>ROUND(937.04,2)</f>
        <v>937.04</v>
      </c>
      <c r="EG424" s="6"/>
      <c r="EH424" s="7">
        <f>ROUND(462.08,2)</f>
        <v>462.08</v>
      </c>
      <c r="EI424" s="6"/>
      <c r="EJ424" s="6"/>
      <c r="EK424" s="7">
        <f>ROUND(462.08,2)</f>
        <v>462.08</v>
      </c>
      <c r="EL424" s="6"/>
      <c r="EM424" s="6"/>
      <c r="EN424" s="7">
        <f>ROUND(243.92,2)</f>
        <v>243.92</v>
      </c>
      <c r="EO424" s="7">
        <f>ROUND(99.6,2)</f>
        <v>99.6</v>
      </c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7">
        <f>ROUND(850,2)</f>
        <v>850</v>
      </c>
      <c r="FK424" s="6"/>
      <c r="FL424" s="6"/>
      <c r="FM424" s="6"/>
      <c r="FN424" s="6"/>
      <c r="FO424" s="6"/>
      <c r="FP424" s="6"/>
      <c r="FQ424" s="6"/>
      <c r="FR424" s="6"/>
      <c r="FS424" s="6"/>
      <c r="FT424" s="7">
        <f t="shared" si="8"/>
        <v>3000</v>
      </c>
      <c r="FU424" s="6"/>
      <c r="FV424" s="6"/>
      <c r="FW424" s="6"/>
      <c r="FX424" s="7">
        <f>ROUND(267.04,2)</f>
        <v>267.04000000000002</v>
      </c>
      <c r="FY424" s="7">
        <f>ROUND(80443.3199999999,2)</f>
        <v>80443.320000000007</v>
      </c>
    </row>
    <row r="425" spans="1:181" ht="26.4" x14ac:dyDescent="0.3">
      <c r="A425" s="4" t="s">
        <v>1001</v>
      </c>
      <c r="B425" s="5"/>
      <c r="C425" s="5" t="s">
        <v>244</v>
      </c>
      <c r="D425" s="5" t="s">
        <v>1002</v>
      </c>
      <c r="E425" s="5" t="s">
        <v>0</v>
      </c>
      <c r="F425" s="5" t="s">
        <v>1003</v>
      </c>
      <c r="G425" s="5" t="s">
        <v>247</v>
      </c>
      <c r="H425" s="8">
        <f>ROUND(18,2)</f>
        <v>18</v>
      </c>
      <c r="I425" s="7">
        <f>ROUND(26154,2)</f>
        <v>26154</v>
      </c>
      <c r="J425" s="7">
        <f>ROUND(1361.25,2)</f>
        <v>1361.25</v>
      </c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7">
        <f>ROUND(13,2)</f>
        <v>13</v>
      </c>
      <c r="CH425" s="7">
        <f>ROUND(14,2)</f>
        <v>14</v>
      </c>
      <c r="CI425" s="7">
        <f>ROUND(5,2)</f>
        <v>5</v>
      </c>
      <c r="CJ425" s="7">
        <f>ROUND(10.5,2)</f>
        <v>10.5</v>
      </c>
      <c r="CK425" s="6"/>
      <c r="CL425" s="6"/>
      <c r="CM425" s="6"/>
      <c r="CN425" s="7">
        <f>ROUND(16,2)</f>
        <v>16</v>
      </c>
      <c r="CO425" s="6"/>
      <c r="CP425" s="6"/>
      <c r="CQ425" s="7">
        <f>ROUND(1419.75,2)</f>
        <v>1419.75</v>
      </c>
      <c r="CR425" s="7">
        <f>ROUND(24502.5,2)</f>
        <v>24502.5</v>
      </c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7">
        <f>ROUND(504,2)</f>
        <v>504</v>
      </c>
      <c r="FK425" s="6"/>
      <c r="FL425" s="6"/>
      <c r="FM425" s="7">
        <f>ROUND(234,2)</f>
        <v>234</v>
      </c>
      <c r="FN425" s="7">
        <f>ROUND(252,2)</f>
        <v>252</v>
      </c>
      <c r="FO425" s="7">
        <f>ROUND(90,2)</f>
        <v>90</v>
      </c>
      <c r="FP425" s="7">
        <f>ROUND(283.5,2)</f>
        <v>283.5</v>
      </c>
      <c r="FQ425" s="6"/>
      <c r="FR425" s="6"/>
      <c r="FS425" s="6"/>
      <c r="FT425" s="6"/>
      <c r="FU425" s="6"/>
      <c r="FV425" s="7">
        <f>ROUND(288,2)</f>
        <v>288</v>
      </c>
      <c r="FW425" s="6"/>
      <c r="FX425" s="6"/>
      <c r="FY425" s="7">
        <f>ROUND(26154,2)</f>
        <v>26154</v>
      </c>
    </row>
    <row r="426" spans="1:181" x14ac:dyDescent="0.3">
      <c r="A426" s="4" t="s">
        <v>1004</v>
      </c>
      <c r="B426" s="5" t="s">
        <v>1029</v>
      </c>
      <c r="C426" s="5" t="s">
        <v>181</v>
      </c>
      <c r="D426" s="5" t="s">
        <v>344</v>
      </c>
      <c r="E426" s="5" t="s">
        <v>0</v>
      </c>
      <c r="F426" s="5" t="s">
        <v>0</v>
      </c>
      <c r="G426" s="5" t="s">
        <v>183</v>
      </c>
      <c r="H426" s="8">
        <v>33.380000000000003</v>
      </c>
      <c r="I426" s="7">
        <f>ROUND(72399.8,2)</f>
        <v>72399.8</v>
      </c>
      <c r="J426" s="6"/>
      <c r="K426" s="6"/>
      <c r="L426" s="6"/>
      <c r="M426" s="6"/>
      <c r="N426" s="7">
        <f>ROUND(1217.52,2)</f>
        <v>1217.52</v>
      </c>
      <c r="O426" s="6"/>
      <c r="P426" s="6"/>
      <c r="Q426" s="7">
        <f>ROUND(179.98,2)</f>
        <v>179.98</v>
      </c>
      <c r="R426" s="6"/>
      <c r="S426" s="6"/>
      <c r="T426" s="6"/>
      <c r="U426" s="6"/>
      <c r="V426" s="6"/>
      <c r="W426" s="6"/>
      <c r="X426" s="7">
        <f>ROUND(0.42,2)</f>
        <v>0.42</v>
      </c>
      <c r="Y426" s="6"/>
      <c r="Z426" s="6"/>
      <c r="AA426" s="6"/>
      <c r="AB426" s="6"/>
      <c r="AC426" s="6"/>
      <c r="AD426" s="6"/>
      <c r="AE426" s="7">
        <f>ROUND(150.03,2)</f>
        <v>150.03</v>
      </c>
      <c r="AF426" s="6"/>
      <c r="AG426" s="7">
        <f>ROUND(26.85,2)</f>
        <v>26.85</v>
      </c>
      <c r="AH426" s="6"/>
      <c r="AI426" s="6"/>
      <c r="AJ426" s="6"/>
      <c r="AK426" s="6"/>
      <c r="AL426" s="6"/>
      <c r="AM426" s="6"/>
      <c r="AN426" s="6"/>
      <c r="AO426" s="6"/>
      <c r="AP426" s="7">
        <f>ROUND(279.63,2)</f>
        <v>279.63</v>
      </c>
      <c r="AQ426" s="6"/>
      <c r="AR426" s="7">
        <f>ROUND(3.76999999999999,2)</f>
        <v>3.77</v>
      </c>
      <c r="AS426" s="6"/>
      <c r="AT426" s="6"/>
      <c r="AU426" s="7">
        <f>ROUND(64,2)</f>
        <v>64</v>
      </c>
      <c r="AV426" s="6"/>
      <c r="AW426" s="7">
        <f>ROUND(44,2)</f>
        <v>44</v>
      </c>
      <c r="AX426" s="6"/>
      <c r="AY426" s="7">
        <f>ROUND(26,2)</f>
        <v>26</v>
      </c>
      <c r="AZ426" s="6"/>
      <c r="BA426" s="6"/>
      <c r="BB426" s="7">
        <f>ROUND(16,2)</f>
        <v>16</v>
      </c>
      <c r="BC426" s="6"/>
      <c r="BD426" s="7">
        <f>ROUND(8,2)</f>
        <v>8</v>
      </c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7">
        <f>ROUND(21.58,2)</f>
        <v>21.58</v>
      </c>
      <c r="BP426" s="6"/>
      <c r="BQ426" s="6"/>
      <c r="BR426" s="6"/>
      <c r="BS426" s="7">
        <f>ROUND(80,2)</f>
        <v>80</v>
      </c>
      <c r="BT426" s="7">
        <f>ROUND(5.33,2)</f>
        <v>5.33</v>
      </c>
      <c r="BU426" s="6"/>
      <c r="BV426" s="6"/>
      <c r="BW426" s="7">
        <f>ROUND(8,2)</f>
        <v>8</v>
      </c>
      <c r="BX426" s="6"/>
      <c r="BY426" s="7">
        <f>ROUND(16,2)</f>
        <v>16</v>
      </c>
      <c r="BZ426" s="6"/>
      <c r="CA426" s="7">
        <f>ROUND(26,2)</f>
        <v>26</v>
      </c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7">
        <f>ROUND(2173.11,2)</f>
        <v>2173.11</v>
      </c>
      <c r="CR426" s="6"/>
      <c r="CS426" s="6"/>
      <c r="CT426" s="6"/>
      <c r="CU426" s="6"/>
      <c r="CV426" s="7">
        <f>ROUND(39615.8699999999,2)</f>
        <v>39615.870000000003</v>
      </c>
      <c r="CW426" s="6"/>
      <c r="CX426" s="6"/>
      <c r="CY426" s="7">
        <f>ROUND(8714.37,2)</f>
        <v>8714.3700000000008</v>
      </c>
      <c r="CZ426" s="6"/>
      <c r="DA426" s="6"/>
      <c r="DB426" s="6"/>
      <c r="DC426" s="6"/>
      <c r="DD426" s="6"/>
      <c r="DE426" s="6"/>
      <c r="DF426" s="7">
        <f>ROUND(12.87,2)</f>
        <v>12.87</v>
      </c>
      <c r="DG426" s="6"/>
      <c r="DH426" s="6"/>
      <c r="DI426" s="6"/>
      <c r="DJ426" s="6"/>
      <c r="DK426" s="6"/>
      <c r="DL426" s="6"/>
      <c r="DM426" s="6"/>
      <c r="DN426" s="7">
        <f>ROUND(4804.96,2)</f>
        <v>4804.96</v>
      </c>
      <c r="DO426" s="6"/>
      <c r="DP426" s="7">
        <f>ROUND(1307.91,2)</f>
        <v>1307.9100000000001</v>
      </c>
      <c r="DQ426" s="6"/>
      <c r="DR426" s="6"/>
      <c r="DS426" s="6"/>
      <c r="DT426" s="6"/>
      <c r="DU426" s="6"/>
      <c r="DV426" s="6"/>
      <c r="DW426" s="6"/>
      <c r="DX426" s="6"/>
      <c r="DY426" s="7">
        <f>ROUND(8730.28999999999,2)</f>
        <v>8730.2900000000009</v>
      </c>
      <c r="DZ426" s="6"/>
      <c r="EA426" s="7">
        <f>ROUND(181.9,2)</f>
        <v>181.9</v>
      </c>
      <c r="EB426" s="6"/>
      <c r="EC426" s="6"/>
      <c r="ED426" s="7">
        <f>ROUND(2055.12,2)</f>
        <v>2055.12</v>
      </c>
      <c r="EE426" s="6"/>
      <c r="EF426" s="7">
        <f>ROUND(1413.24,2)</f>
        <v>1413.24</v>
      </c>
      <c r="EG426" s="6"/>
      <c r="EH426" s="7">
        <f>ROUND(833.699999999999,2)</f>
        <v>833.7</v>
      </c>
      <c r="EI426" s="6"/>
      <c r="EJ426" s="6"/>
      <c r="EK426" s="7">
        <f>ROUND(487.84,2)</f>
        <v>487.84</v>
      </c>
      <c r="EL426" s="6"/>
      <c r="EM426" s="6"/>
      <c r="EN426" s="7">
        <f>ROUND(256.72,2)</f>
        <v>256.72000000000003</v>
      </c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7">
        <f>ROUND(710.01,2)</f>
        <v>710.01</v>
      </c>
      <c r="FC426" s="6"/>
      <c r="FD426" s="6"/>
      <c r="FE426" s="6"/>
      <c r="FF426" s="6"/>
      <c r="FG426" s="6"/>
      <c r="FH426" s="6"/>
      <c r="FI426" s="6"/>
      <c r="FJ426" s="7">
        <f>ROUND(275,2)</f>
        <v>275</v>
      </c>
      <c r="FK426" s="6"/>
      <c r="FL426" s="6"/>
      <c r="FM426" s="6"/>
      <c r="FN426" s="6"/>
      <c r="FO426" s="6"/>
      <c r="FP426" s="6"/>
      <c r="FQ426" s="6"/>
      <c r="FR426" s="6"/>
      <c r="FS426" s="6"/>
      <c r="FT426" s="7">
        <f>ROUND(3000,2)</f>
        <v>3000</v>
      </c>
      <c r="FU426" s="6"/>
      <c r="FV426" s="6"/>
      <c r="FW426" s="6"/>
      <c r="FX426" s="6"/>
      <c r="FY426" s="7">
        <f>ROUND(72399.8,2)</f>
        <v>72399.8</v>
      </c>
    </row>
    <row r="427" spans="1:181" ht="26.4" x14ac:dyDescent="0.3">
      <c r="A427" s="4" t="s">
        <v>1005</v>
      </c>
      <c r="B427" s="5"/>
      <c r="C427" s="5" t="s">
        <v>270</v>
      </c>
      <c r="D427" s="5" t="s">
        <v>1006</v>
      </c>
      <c r="E427" s="5" t="s">
        <v>0</v>
      </c>
      <c r="F427" s="5" t="s">
        <v>1006</v>
      </c>
      <c r="G427" s="5" t="s">
        <v>1007</v>
      </c>
      <c r="H427" s="8">
        <f>ROUND(1774.84,2)</f>
        <v>1774.84</v>
      </c>
      <c r="I427" s="7">
        <f>ROUND(101875.739999999,2)</f>
        <v>101875.74</v>
      </c>
      <c r="J427" s="7">
        <f>ROUND(1648,2)</f>
        <v>1648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7">
        <f>ROUND(-8,2)</f>
        <v>-8</v>
      </c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7">
        <f>ROUND(8,2)</f>
        <v>8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7">
        <f>ROUND(8,2)</f>
        <v>8</v>
      </c>
      <c r="CH427" s="7">
        <f>ROUND(56,2)</f>
        <v>56</v>
      </c>
      <c r="CI427" s="7">
        <f>ROUND(32,2)</f>
        <v>32</v>
      </c>
      <c r="CJ427" s="6"/>
      <c r="CK427" s="6"/>
      <c r="CL427" s="6"/>
      <c r="CM427" s="6"/>
      <c r="CN427" s="7">
        <f>ROUND(184,2)</f>
        <v>184</v>
      </c>
      <c r="CO427" s="6"/>
      <c r="CP427" s="7">
        <f>ROUND(80,2)</f>
        <v>80</v>
      </c>
      <c r="CQ427" s="7">
        <f>ROUND(2008,2)</f>
        <v>2008</v>
      </c>
      <c r="CR427" s="7">
        <f>ROUND(89096.9499999998,2)</f>
        <v>89096.95</v>
      </c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7">
        <f>ROUND(-354.97,2)</f>
        <v>-354.97</v>
      </c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7">
        <f>ROUND(4259.62,2)</f>
        <v>4259.62</v>
      </c>
      <c r="FK427" s="6"/>
      <c r="FL427" s="6"/>
      <c r="FM427" s="7">
        <f>ROUND(354.97,2)</f>
        <v>354.97</v>
      </c>
      <c r="FN427" s="7">
        <f>ROUND(1064.91,2)</f>
        <v>1064.9100000000001</v>
      </c>
      <c r="FO427" s="6"/>
      <c r="FP427" s="6"/>
      <c r="FQ427" s="6"/>
      <c r="FR427" s="6"/>
      <c r="FS427" s="6"/>
      <c r="FT427" s="6"/>
      <c r="FU427" s="6"/>
      <c r="FV427" s="7">
        <f>ROUND(3904.66,2)</f>
        <v>3904.66</v>
      </c>
      <c r="FW427" s="6"/>
      <c r="FX427" s="7">
        <f>ROUND(3549.6,2)</f>
        <v>3549.6</v>
      </c>
      <c r="FY427" s="7">
        <f>ROUND(101875.739999999,2)</f>
        <v>101875.74</v>
      </c>
    </row>
    <row r="428" spans="1:181" x14ac:dyDescent="0.3">
      <c r="A428" s="4" t="s">
        <v>1008</v>
      </c>
      <c r="B428" s="5" t="s">
        <v>1029</v>
      </c>
      <c r="C428" s="5" t="s">
        <v>181</v>
      </c>
      <c r="D428" s="5" t="s">
        <v>309</v>
      </c>
      <c r="E428" s="5" t="s">
        <v>0</v>
      </c>
      <c r="F428" s="5" t="s">
        <v>0</v>
      </c>
      <c r="G428" s="5" t="s">
        <v>183</v>
      </c>
      <c r="H428" s="8">
        <v>33.380000000000003</v>
      </c>
      <c r="I428" s="7">
        <f>ROUND(114072.34,2)</f>
        <v>114072.34</v>
      </c>
      <c r="J428" s="6"/>
      <c r="K428" s="6"/>
      <c r="L428" s="6"/>
      <c r="M428" s="6"/>
      <c r="N428" s="7">
        <f>ROUND(1875.63999999999,2)</f>
        <v>1875.64</v>
      </c>
      <c r="O428" s="6"/>
      <c r="P428" s="6"/>
      <c r="Q428" s="7">
        <f>ROUND(708.239999999999,2)</f>
        <v>708.24</v>
      </c>
      <c r="R428" s="6"/>
      <c r="S428" s="6"/>
      <c r="T428" s="6"/>
      <c r="U428" s="6"/>
      <c r="V428" s="7">
        <f>ROUND(6.92,2)</f>
        <v>6.92</v>
      </c>
      <c r="W428" s="7">
        <f>ROUND(7.17,2)</f>
        <v>7.17</v>
      </c>
      <c r="X428" s="7">
        <f>ROUND(3.08,2)</f>
        <v>3.08</v>
      </c>
      <c r="Y428" s="7">
        <f>ROUND(4.03,2)</f>
        <v>4.03</v>
      </c>
      <c r="Z428" s="6"/>
      <c r="AA428" s="6"/>
      <c r="AB428" s="6"/>
      <c r="AC428" s="6"/>
      <c r="AD428" s="6"/>
      <c r="AE428" s="7">
        <f>ROUND(73.45,2)</f>
        <v>73.45</v>
      </c>
      <c r="AF428" s="6"/>
      <c r="AG428" s="7">
        <f>ROUND(23.77,2)</f>
        <v>23.77</v>
      </c>
      <c r="AH428" s="6"/>
      <c r="AI428" s="6"/>
      <c r="AJ428" s="6"/>
      <c r="AK428" s="6"/>
      <c r="AL428" s="6"/>
      <c r="AM428" s="6"/>
      <c r="AN428" s="6"/>
      <c r="AO428" s="6"/>
      <c r="AP428" s="7">
        <f>ROUND(52.25,2)</f>
        <v>52.25</v>
      </c>
      <c r="AQ428" s="6"/>
      <c r="AR428" s="7">
        <f>ROUND(24,2)</f>
        <v>24</v>
      </c>
      <c r="AS428" s="6"/>
      <c r="AT428" s="6"/>
      <c r="AU428" s="7">
        <f>ROUND(62,2)</f>
        <v>62</v>
      </c>
      <c r="AV428" s="6"/>
      <c r="AW428" s="7">
        <f>ROUND(8,2)</f>
        <v>8</v>
      </c>
      <c r="AX428" s="6"/>
      <c r="AY428" s="6"/>
      <c r="AZ428" s="6"/>
      <c r="BA428" s="6"/>
      <c r="BB428" s="7">
        <f>ROUND(32,2)</f>
        <v>32</v>
      </c>
      <c r="BC428" s="6"/>
      <c r="BD428" s="7">
        <f>ROUND(8,2)</f>
        <v>8</v>
      </c>
      <c r="BE428" s="7">
        <f>ROUND(1.75,2)</f>
        <v>1.75</v>
      </c>
      <c r="BF428" s="6"/>
      <c r="BG428" s="6"/>
      <c r="BH428" s="6"/>
      <c r="BI428" s="6"/>
      <c r="BJ428" s="6"/>
      <c r="BK428" s="6"/>
      <c r="BL428" s="6"/>
      <c r="BM428" s="6"/>
      <c r="BN428" s="6"/>
      <c r="BO428" s="7">
        <f>ROUND(20,2)</f>
        <v>20</v>
      </c>
      <c r="BP428" s="6"/>
      <c r="BQ428" s="6"/>
      <c r="BR428" s="6"/>
      <c r="BS428" s="7">
        <f>ROUND(8,2)</f>
        <v>8</v>
      </c>
      <c r="BT428" s="6"/>
      <c r="BU428" s="6"/>
      <c r="BV428" s="6"/>
      <c r="BW428" s="7">
        <f>ROUND(10,2)</f>
        <v>10</v>
      </c>
      <c r="BX428" s="6"/>
      <c r="BY428" s="7">
        <f>ROUND(8,2)</f>
        <v>8</v>
      </c>
      <c r="BZ428" s="6"/>
      <c r="CA428" s="7">
        <f>ROUND(16,2)</f>
        <v>16</v>
      </c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7">
        <f>ROUND(48,2)</f>
        <v>48</v>
      </c>
      <c r="CQ428" s="7">
        <f>ROUND(3000.3,2)</f>
        <v>3000.3</v>
      </c>
      <c r="CR428" s="6"/>
      <c r="CS428" s="6"/>
      <c r="CT428" s="6"/>
      <c r="CU428" s="6"/>
      <c r="CV428" s="7">
        <f>ROUND(61170.9399999999,2)</f>
        <v>61170.94</v>
      </c>
      <c r="CW428" s="6"/>
      <c r="CX428" s="6"/>
      <c r="CY428" s="7">
        <f>ROUND(34551.46,2)</f>
        <v>34551.46</v>
      </c>
      <c r="CZ428" s="6"/>
      <c r="DA428" s="6"/>
      <c r="DB428" s="6"/>
      <c r="DC428" s="6"/>
      <c r="DD428" s="7">
        <f>ROUND(224.7,2)</f>
        <v>224.7</v>
      </c>
      <c r="DE428" s="7">
        <f>ROUND(357.07,2)</f>
        <v>357.07</v>
      </c>
      <c r="DF428" s="7">
        <f>ROUND(100.409999999999,2)</f>
        <v>100.41</v>
      </c>
      <c r="DG428" s="7">
        <f>ROUND(193.989999999999,2)</f>
        <v>193.99</v>
      </c>
      <c r="DH428" s="6"/>
      <c r="DI428" s="6"/>
      <c r="DJ428" s="6"/>
      <c r="DK428" s="6"/>
      <c r="DL428" s="6"/>
      <c r="DM428" s="6"/>
      <c r="DN428" s="7">
        <f>ROUND(2398.1,2)</f>
        <v>2398.1</v>
      </c>
      <c r="DO428" s="6"/>
      <c r="DP428" s="7">
        <f>ROUND(1178.38,2)</f>
        <v>1178.3800000000001</v>
      </c>
      <c r="DQ428" s="6"/>
      <c r="DR428" s="6"/>
      <c r="DS428" s="6"/>
      <c r="DT428" s="6"/>
      <c r="DU428" s="6"/>
      <c r="DV428" s="6"/>
      <c r="DW428" s="6"/>
      <c r="DX428" s="6"/>
      <c r="DY428" s="7">
        <f>ROUND(1707.37,2)</f>
        <v>1707.37</v>
      </c>
      <c r="DZ428" s="6"/>
      <c r="EA428" s="7">
        <f>ROUND(1198.62,2)</f>
        <v>1198.6199999999999</v>
      </c>
      <c r="EB428" s="6"/>
      <c r="EC428" s="6"/>
      <c r="ED428" s="7">
        <f>ROUND(2022.94,2)</f>
        <v>2022.94</v>
      </c>
      <c r="EE428" s="6"/>
      <c r="EF428" s="7">
        <f>ROUND(256.72,2)</f>
        <v>256.72000000000003</v>
      </c>
      <c r="EG428" s="6"/>
      <c r="EH428" s="6"/>
      <c r="EI428" s="6"/>
      <c r="EJ428" s="6"/>
      <c r="EK428" s="7">
        <f>ROUND(1049.92,2)</f>
        <v>1049.92</v>
      </c>
      <c r="EL428" s="6"/>
      <c r="EM428" s="6"/>
      <c r="EN428" s="7">
        <f>ROUND(256.72,2)</f>
        <v>256.72000000000003</v>
      </c>
      <c r="EO428" s="7">
        <f>ROUND(56.16,2)</f>
        <v>56.16</v>
      </c>
      <c r="EP428" s="6"/>
      <c r="EQ428" s="6"/>
      <c r="ER428" s="6"/>
      <c r="ES428" s="6"/>
      <c r="ET428" s="6"/>
      <c r="EU428" s="6"/>
      <c r="EV428" s="7">
        <f>ROUND(500,2)</f>
        <v>500</v>
      </c>
      <c r="EW428" s="6"/>
      <c r="EX428" s="6"/>
      <c r="EY428" s="6"/>
      <c r="EZ428" s="6"/>
      <c r="FA428" s="6"/>
      <c r="FB428" s="7">
        <f>ROUND(646.599999999999,2)</f>
        <v>646.6</v>
      </c>
      <c r="FC428" s="6"/>
      <c r="FD428" s="6"/>
      <c r="FE428" s="6"/>
      <c r="FF428" s="6"/>
      <c r="FG428" s="6"/>
      <c r="FH428" s="6"/>
      <c r="FI428" s="6"/>
      <c r="FJ428" s="7">
        <f>ROUND(1600,2)</f>
        <v>1600</v>
      </c>
      <c r="FK428" s="6"/>
      <c r="FL428" s="6"/>
      <c r="FM428" s="6"/>
      <c r="FN428" s="6"/>
      <c r="FO428" s="6"/>
      <c r="FP428" s="6"/>
      <c r="FQ428" s="6"/>
      <c r="FR428" s="6"/>
      <c r="FS428" s="6"/>
      <c r="FT428" s="7">
        <f>ROUND(3000,2)</f>
        <v>3000</v>
      </c>
      <c r="FU428" s="6"/>
      <c r="FV428" s="6"/>
      <c r="FW428" s="6"/>
      <c r="FX428" s="7">
        <f>ROUND(1602.24,2)</f>
        <v>1602.24</v>
      </c>
      <c r="FY428" s="7">
        <f>ROUND(114072.34,2)</f>
        <v>114072.34</v>
      </c>
    </row>
    <row r="429" spans="1:181" x14ac:dyDescent="0.3">
      <c r="A429" s="4" t="s">
        <v>1009</v>
      </c>
      <c r="B429" s="5" t="s">
        <v>1029</v>
      </c>
      <c r="C429" s="5" t="s">
        <v>181</v>
      </c>
      <c r="D429" s="5" t="s">
        <v>194</v>
      </c>
      <c r="E429" s="5" t="s">
        <v>0</v>
      </c>
      <c r="F429" s="5" t="s">
        <v>309</v>
      </c>
      <c r="G429" s="5" t="s">
        <v>183</v>
      </c>
      <c r="H429" s="8">
        <v>33.380000000000003</v>
      </c>
      <c r="I429" s="7">
        <f>ROUND(96333.5499999999,2)</f>
        <v>96333.55</v>
      </c>
      <c r="J429" s="6"/>
      <c r="K429" s="6"/>
      <c r="L429" s="6"/>
      <c r="M429" s="6"/>
      <c r="N429" s="7">
        <f>ROUND(1256.04,2)</f>
        <v>1256.04</v>
      </c>
      <c r="O429" s="6"/>
      <c r="P429" s="6"/>
      <c r="Q429" s="7">
        <f>ROUND(283.92,2)</f>
        <v>283.92</v>
      </c>
      <c r="R429" s="6"/>
      <c r="S429" s="6"/>
      <c r="T429" s="6"/>
      <c r="U429" s="6"/>
      <c r="V429" s="6"/>
      <c r="W429" s="7">
        <f>ROUND(5.25,2)</f>
        <v>5.25</v>
      </c>
      <c r="X429" s="7">
        <f>ROUND(6.2,2)</f>
        <v>6.2</v>
      </c>
      <c r="Y429" s="7">
        <f>ROUND(0.17,2)</f>
        <v>0.17</v>
      </c>
      <c r="Z429" s="6"/>
      <c r="AA429" s="6"/>
      <c r="AB429" s="6"/>
      <c r="AC429" s="6"/>
      <c r="AD429" s="6"/>
      <c r="AE429" s="7">
        <f>ROUND(166.54,2)</f>
        <v>166.54</v>
      </c>
      <c r="AF429" s="6"/>
      <c r="AG429" s="7">
        <f>ROUND(13.35,2)</f>
        <v>13.35</v>
      </c>
      <c r="AH429" s="6"/>
      <c r="AI429" s="6"/>
      <c r="AJ429" s="6"/>
      <c r="AK429" s="6"/>
      <c r="AL429" s="6"/>
      <c r="AM429" s="6"/>
      <c r="AN429" s="6"/>
      <c r="AO429" s="6"/>
      <c r="AP429" s="7">
        <f>ROUND(466.29,2)</f>
        <v>466.29</v>
      </c>
      <c r="AQ429" s="6"/>
      <c r="AR429" s="7">
        <f>ROUND(69.13,2)</f>
        <v>69.13</v>
      </c>
      <c r="AS429" s="6"/>
      <c r="AT429" s="6"/>
      <c r="AU429" s="7">
        <f>ROUND(68,2)</f>
        <v>68</v>
      </c>
      <c r="AV429" s="7">
        <f>ROUND(8,2)</f>
        <v>8</v>
      </c>
      <c r="AW429" s="7">
        <f>ROUND(36,2)</f>
        <v>36</v>
      </c>
      <c r="AX429" s="6"/>
      <c r="AY429" s="7">
        <f>ROUND(66.01,2)</f>
        <v>66.010000000000005</v>
      </c>
      <c r="AZ429" s="7">
        <f>ROUND(13.99,2)</f>
        <v>13.99</v>
      </c>
      <c r="BA429" s="6"/>
      <c r="BB429" s="7">
        <f>ROUND(16,2)</f>
        <v>16</v>
      </c>
      <c r="BC429" s="6"/>
      <c r="BD429" s="7">
        <f>ROUND(8,2)</f>
        <v>8</v>
      </c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7">
        <f>ROUND(16.12,2)</f>
        <v>16.12</v>
      </c>
      <c r="BP429" s="7">
        <f>ROUND(14.3799999999999,2)</f>
        <v>14.38</v>
      </c>
      <c r="BQ429" s="7">
        <f>ROUND(43.98,2)</f>
        <v>43.98</v>
      </c>
      <c r="BR429" s="7">
        <f>ROUND(32.67,2)</f>
        <v>32.67</v>
      </c>
      <c r="BS429" s="6"/>
      <c r="BT429" s="6"/>
      <c r="BU429" s="6"/>
      <c r="BV429" s="6"/>
      <c r="BW429" s="6"/>
      <c r="BX429" s="6"/>
      <c r="BY429" s="6"/>
      <c r="BZ429" s="6"/>
      <c r="CA429" s="7">
        <f>ROUND(1.58,2)</f>
        <v>1.58</v>
      </c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7">
        <f>ROUND(2591.62,2)</f>
        <v>2591.62</v>
      </c>
      <c r="CR429" s="6"/>
      <c r="CS429" s="6"/>
      <c r="CT429" s="6"/>
      <c r="CU429" s="6"/>
      <c r="CV429" s="7">
        <f>ROUND(40917.72,2)</f>
        <v>40917.72</v>
      </c>
      <c r="CW429" s="6"/>
      <c r="CX429" s="6"/>
      <c r="CY429" s="7">
        <f>ROUND(13899.56,2)</f>
        <v>13899.56</v>
      </c>
      <c r="CZ429" s="6"/>
      <c r="DA429" s="6"/>
      <c r="DB429" s="6"/>
      <c r="DC429" s="6"/>
      <c r="DD429" s="6"/>
      <c r="DE429" s="7">
        <f>ROUND(253.89,2)</f>
        <v>253.89</v>
      </c>
      <c r="DF429" s="7">
        <f>ROUND(202.91,2)</f>
        <v>202.91</v>
      </c>
      <c r="DG429" s="7">
        <f>ROUND(8.43,2)</f>
        <v>8.43</v>
      </c>
      <c r="DH429" s="6"/>
      <c r="DI429" s="6"/>
      <c r="DJ429" s="6"/>
      <c r="DK429" s="6"/>
      <c r="DL429" s="6"/>
      <c r="DM429" s="6"/>
      <c r="DN429" s="7">
        <f>ROUND(5449.12,2)</f>
        <v>5449.12</v>
      </c>
      <c r="DO429" s="6"/>
      <c r="DP429" s="7">
        <f>ROUND(659.17,2)</f>
        <v>659.17</v>
      </c>
      <c r="DQ429" s="6"/>
      <c r="DR429" s="6"/>
      <c r="DS429" s="6"/>
      <c r="DT429" s="6"/>
      <c r="DU429" s="6"/>
      <c r="DV429" s="6"/>
      <c r="DW429" s="6"/>
      <c r="DX429" s="6"/>
      <c r="DY429" s="7">
        <f>ROUND(15221.0099999999,2)</f>
        <v>15221.01</v>
      </c>
      <c r="DZ429" s="6"/>
      <c r="EA429" s="7">
        <f>ROUND(3413.17,2)</f>
        <v>3413.17</v>
      </c>
      <c r="EB429" s="6"/>
      <c r="EC429" s="6"/>
      <c r="ED429" s="7">
        <f>ROUND(2210.38,2)</f>
        <v>2210.38</v>
      </c>
      <c r="EE429" s="7">
        <f>ROUND(396.64,2)</f>
        <v>396.64</v>
      </c>
      <c r="EF429" s="7">
        <f>ROUND(1155.24,2)</f>
        <v>1155.24</v>
      </c>
      <c r="EG429" s="6"/>
      <c r="EH429" s="7">
        <f>ROUND(2144.97999999999,2)</f>
        <v>2144.98</v>
      </c>
      <c r="EI429" s="7">
        <f>ROUND(673.66,2)</f>
        <v>673.66</v>
      </c>
      <c r="EJ429" s="6"/>
      <c r="EK429" s="7">
        <f>ROUND(528.8,2)</f>
        <v>528.79999999999995</v>
      </c>
      <c r="EL429" s="6"/>
      <c r="EM429" s="6"/>
      <c r="EN429" s="7">
        <f>ROUND(256.72,2)</f>
        <v>256.72000000000003</v>
      </c>
      <c r="EO429" s="6"/>
      <c r="EP429" s="6"/>
      <c r="EQ429" s="6"/>
      <c r="ER429" s="7">
        <f>ROUND(292.66,2)</f>
        <v>292.66000000000003</v>
      </c>
      <c r="ES429" s="6"/>
      <c r="ET429" s="6"/>
      <c r="EU429" s="6"/>
      <c r="EV429" s="6"/>
      <c r="EW429" s="6"/>
      <c r="EX429" s="6"/>
      <c r="EY429" s="6"/>
      <c r="EZ429" s="6"/>
      <c r="FA429" s="6"/>
      <c r="FB429" s="7">
        <f>ROUND(528.09,2)</f>
        <v>528.09</v>
      </c>
      <c r="FC429" s="7">
        <f>ROUND(713.81,2)</f>
        <v>713.81</v>
      </c>
      <c r="FD429" s="7">
        <f>ROUND(1437.96,2)</f>
        <v>1437.96</v>
      </c>
      <c r="FE429" s="7">
        <f>ROUND(1619.63,2)</f>
        <v>1619.63</v>
      </c>
      <c r="FF429" s="6"/>
      <c r="FG429" s="6"/>
      <c r="FH429" s="6"/>
      <c r="FI429" s="6"/>
      <c r="FJ429" s="7">
        <f>ROUND(1350,2)</f>
        <v>1350</v>
      </c>
      <c r="FK429" s="6"/>
      <c r="FL429" s="6"/>
      <c r="FM429" s="6"/>
      <c r="FN429" s="6"/>
      <c r="FO429" s="6"/>
      <c r="FP429" s="6"/>
      <c r="FQ429" s="6"/>
      <c r="FR429" s="6"/>
      <c r="FS429" s="6"/>
      <c r="FT429" s="7">
        <f>ROUND(3000,2)</f>
        <v>3000</v>
      </c>
      <c r="FU429" s="6"/>
      <c r="FV429" s="6"/>
      <c r="FW429" s="6"/>
      <c r="FX429" s="6"/>
      <c r="FY429" s="7">
        <f>ROUND(96333.5499999999,2)</f>
        <v>96333.55</v>
      </c>
    </row>
    <row r="430" spans="1:181" x14ac:dyDescent="0.3">
      <c r="A430" s="4" t="s">
        <v>1010</v>
      </c>
      <c r="B430" s="5" t="s">
        <v>1029</v>
      </c>
      <c r="C430" s="5" t="s">
        <v>181</v>
      </c>
      <c r="D430" s="5" t="s">
        <v>196</v>
      </c>
      <c r="E430" s="5" t="s">
        <v>0</v>
      </c>
      <c r="F430" s="5" t="s">
        <v>0</v>
      </c>
      <c r="G430" s="5" t="s">
        <v>183</v>
      </c>
      <c r="H430" s="8">
        <v>33.380000000000003</v>
      </c>
      <c r="I430" s="7">
        <f>ROUND(77812.6,2)</f>
        <v>77812.600000000006</v>
      </c>
      <c r="J430" s="6"/>
      <c r="K430" s="6"/>
      <c r="L430" s="6"/>
      <c r="M430" s="6"/>
      <c r="N430" s="7">
        <f>ROUND(712.719999999999,2)</f>
        <v>712.72</v>
      </c>
      <c r="O430" s="6"/>
      <c r="P430" s="6"/>
      <c r="Q430" s="7">
        <f>ROUND(64.98,2)</f>
        <v>64.98</v>
      </c>
      <c r="R430" s="6"/>
      <c r="S430" s="6"/>
      <c r="T430" s="6"/>
      <c r="U430" s="6"/>
      <c r="V430" s="7">
        <f>ROUND(17.1,2)</f>
        <v>17.100000000000001</v>
      </c>
      <c r="W430" s="6"/>
      <c r="X430" s="6"/>
      <c r="Y430" s="6"/>
      <c r="Z430" s="6"/>
      <c r="AA430" s="6"/>
      <c r="AB430" s="6"/>
      <c r="AC430" s="6"/>
      <c r="AD430" s="6"/>
      <c r="AE430" s="7">
        <f>ROUND(563.12,2)</f>
        <v>563.12</v>
      </c>
      <c r="AF430" s="6"/>
      <c r="AG430" s="7">
        <f>ROUND(24.29,2)</f>
        <v>24.29</v>
      </c>
      <c r="AH430" s="6"/>
      <c r="AI430" s="6"/>
      <c r="AJ430" s="6"/>
      <c r="AK430" s="6"/>
      <c r="AL430" s="6"/>
      <c r="AM430" s="6"/>
      <c r="AN430" s="6"/>
      <c r="AO430" s="6"/>
      <c r="AP430" s="7">
        <f>ROUND(530.41,2)</f>
        <v>530.41</v>
      </c>
      <c r="AQ430" s="6"/>
      <c r="AR430" s="7">
        <f>ROUND(1.43,2)</f>
        <v>1.43</v>
      </c>
      <c r="AS430" s="6"/>
      <c r="AT430" s="6"/>
      <c r="AU430" s="7">
        <f>ROUND(75.67,2)</f>
        <v>75.67</v>
      </c>
      <c r="AV430" s="7">
        <f>ROUND(0.33,2)</f>
        <v>0.33</v>
      </c>
      <c r="AW430" s="7">
        <f>ROUND(36,2)</f>
        <v>36</v>
      </c>
      <c r="AX430" s="6"/>
      <c r="AY430" s="7">
        <f>ROUND(38.08,2)</f>
        <v>38.08</v>
      </c>
      <c r="AZ430" s="7">
        <f>ROUND(1.92,2)</f>
        <v>1.92</v>
      </c>
      <c r="BA430" s="6"/>
      <c r="BB430" s="7">
        <f>ROUND(40,2)</f>
        <v>40</v>
      </c>
      <c r="BC430" s="6"/>
      <c r="BD430" s="7">
        <f>ROUND(8,2)</f>
        <v>8</v>
      </c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7">
        <f>ROUND(54.03,2)</f>
        <v>54.03</v>
      </c>
      <c r="BP430" s="7">
        <f>ROUND(7.65,2)</f>
        <v>7.65</v>
      </c>
      <c r="BQ430" s="7">
        <f>ROUND(30.98,2)</f>
        <v>30.98</v>
      </c>
      <c r="BR430" s="7">
        <f>ROUND(7.02,2)</f>
        <v>7.02</v>
      </c>
      <c r="BS430" s="7">
        <f>ROUND(25.67,2)</f>
        <v>25.67</v>
      </c>
      <c r="BT430" s="7">
        <f>ROUND(11.87,2)</f>
        <v>11.87</v>
      </c>
      <c r="BU430" s="6"/>
      <c r="BV430" s="6"/>
      <c r="BW430" s="6"/>
      <c r="BX430" s="6"/>
      <c r="BY430" s="6"/>
      <c r="BZ430" s="6"/>
      <c r="CA430" s="7">
        <f>ROUND(16,2)</f>
        <v>16</v>
      </c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7">
        <f>ROUND(2267.27,2)</f>
        <v>2267.27</v>
      </c>
      <c r="CR430" s="6"/>
      <c r="CS430" s="6"/>
      <c r="CT430" s="6"/>
      <c r="CU430" s="6"/>
      <c r="CV430" s="7">
        <f>ROUND(23151.3,2)</f>
        <v>23151.3</v>
      </c>
      <c r="CW430" s="6"/>
      <c r="CX430" s="6"/>
      <c r="CY430" s="7">
        <f>ROUND(3162.42,2)</f>
        <v>3162.42</v>
      </c>
      <c r="CZ430" s="6"/>
      <c r="DA430" s="6"/>
      <c r="DB430" s="6"/>
      <c r="DC430" s="6"/>
      <c r="DD430" s="7">
        <f>ROUND(548.74,2)</f>
        <v>548.74</v>
      </c>
      <c r="DE430" s="6"/>
      <c r="DF430" s="6"/>
      <c r="DG430" s="6"/>
      <c r="DH430" s="6"/>
      <c r="DI430" s="6"/>
      <c r="DJ430" s="6"/>
      <c r="DK430" s="6"/>
      <c r="DL430" s="6"/>
      <c r="DM430" s="6"/>
      <c r="DN430" s="7">
        <f>ROUND(18546.92,2)</f>
        <v>18546.919999999998</v>
      </c>
      <c r="DO430" s="6"/>
      <c r="DP430" s="7">
        <f>ROUND(1200.54,2)</f>
        <v>1200.54</v>
      </c>
      <c r="DQ430" s="6"/>
      <c r="DR430" s="6"/>
      <c r="DS430" s="6"/>
      <c r="DT430" s="6"/>
      <c r="DU430" s="6"/>
      <c r="DV430" s="6"/>
      <c r="DW430" s="6"/>
      <c r="DX430" s="6"/>
      <c r="DY430" s="7">
        <f>ROUND(17234.01,2)</f>
        <v>17234.009999999998</v>
      </c>
      <c r="DZ430" s="6"/>
      <c r="EA430" s="7">
        <f>ROUND(72.6,2)</f>
        <v>72.599999999999994</v>
      </c>
      <c r="EB430" s="6"/>
      <c r="EC430" s="6"/>
      <c r="ED430" s="7">
        <f>ROUND(2465.79,2)</f>
        <v>2465.79</v>
      </c>
      <c r="EE430" s="7">
        <f>ROUND(16.36,2)</f>
        <v>16.36</v>
      </c>
      <c r="EF430" s="7">
        <f>ROUND(1172.52,2)</f>
        <v>1172.52</v>
      </c>
      <c r="EG430" s="6"/>
      <c r="EH430" s="7">
        <f>ROUND(1250.86,2)</f>
        <v>1250.8599999999999</v>
      </c>
      <c r="EI430" s="7">
        <f>ROUND(95.18,2)</f>
        <v>95.18</v>
      </c>
      <c r="EJ430" s="6"/>
      <c r="EK430" s="7">
        <f>ROUND(1283.6,2)</f>
        <v>1283.5999999999999</v>
      </c>
      <c r="EL430" s="6"/>
      <c r="EM430" s="6"/>
      <c r="EN430" s="7">
        <f>ROUND(256.72,2)</f>
        <v>256.72000000000003</v>
      </c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7">
        <f>ROUND(1769.50999999999,2)</f>
        <v>1769.51</v>
      </c>
      <c r="FC430" s="7">
        <f>ROUND(371.37,2)</f>
        <v>371.37</v>
      </c>
      <c r="FD430" s="7">
        <f>ROUND(1026.25,2)</f>
        <v>1026.25</v>
      </c>
      <c r="FE430" s="7">
        <f>ROUND(337.91,2)</f>
        <v>337.91</v>
      </c>
      <c r="FF430" s="6"/>
      <c r="FG430" s="6"/>
      <c r="FH430" s="6"/>
      <c r="FI430" s="6"/>
      <c r="FJ430" s="7">
        <f>ROUND(850,2)</f>
        <v>850</v>
      </c>
      <c r="FK430" s="6"/>
      <c r="FL430" s="6"/>
      <c r="FM430" s="6"/>
      <c r="FN430" s="6"/>
      <c r="FO430" s="6"/>
      <c r="FP430" s="6"/>
      <c r="FQ430" s="6"/>
      <c r="FR430" s="6"/>
      <c r="FS430" s="6"/>
      <c r="FT430" s="7">
        <f>ROUND(3000,2)</f>
        <v>3000</v>
      </c>
      <c r="FU430" s="6"/>
      <c r="FV430" s="6"/>
      <c r="FW430" s="6"/>
      <c r="FX430" s="6"/>
      <c r="FY430" s="7">
        <f>ROUND(77812.6,2)</f>
        <v>77812.600000000006</v>
      </c>
    </row>
    <row r="431" spans="1:181" x14ac:dyDescent="0.3">
      <c r="A431" s="4" t="s">
        <v>1011</v>
      </c>
      <c r="B431" s="5" t="s">
        <v>1029</v>
      </c>
      <c r="C431" s="5" t="s">
        <v>236</v>
      </c>
      <c r="D431" s="5" t="s">
        <v>1012</v>
      </c>
      <c r="E431" s="5" t="s">
        <v>0</v>
      </c>
      <c r="F431" s="5" t="s">
        <v>0</v>
      </c>
      <c r="G431" s="5" t="s">
        <v>330</v>
      </c>
      <c r="H431" s="8">
        <v>28.56</v>
      </c>
      <c r="I431" s="7">
        <f>ROUND(63251.12,2)</f>
        <v>63251.12</v>
      </c>
      <c r="J431" s="6"/>
      <c r="K431" s="6"/>
      <c r="L431" s="6"/>
      <c r="M431" s="6"/>
      <c r="N431" s="6"/>
      <c r="O431" s="6"/>
      <c r="P431" s="6"/>
      <c r="Q431" s="6"/>
      <c r="R431" s="7">
        <f>ROUND(1472,2)</f>
        <v>1472</v>
      </c>
      <c r="S431" s="7">
        <f>ROUND(232,2)</f>
        <v>232</v>
      </c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7">
        <f>ROUND(48,2)</f>
        <v>48</v>
      </c>
      <c r="AV431" s="6"/>
      <c r="AW431" s="7">
        <f>ROUND(24,2)</f>
        <v>24</v>
      </c>
      <c r="AX431" s="7">
        <f>ROUND(16,2)</f>
        <v>16</v>
      </c>
      <c r="AY431" s="7">
        <f>ROUND(80,2)</f>
        <v>80</v>
      </c>
      <c r="AZ431" s="7">
        <f>ROUND(56,2)</f>
        <v>56</v>
      </c>
      <c r="BA431" s="6"/>
      <c r="BB431" s="7">
        <f>ROUND(24,2)</f>
        <v>24</v>
      </c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7">
        <f>ROUND(376,2)</f>
        <v>376</v>
      </c>
      <c r="BT431" s="6"/>
      <c r="BU431" s="6"/>
      <c r="BV431" s="7">
        <f>ROUND(96,2)</f>
        <v>96</v>
      </c>
      <c r="BW431" s="7">
        <f>ROUND(8,2)</f>
        <v>8</v>
      </c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7">
        <f>ROUND(2432,2)</f>
        <v>2432</v>
      </c>
      <c r="CR431" s="6"/>
      <c r="CS431" s="6"/>
      <c r="CT431" s="6"/>
      <c r="CU431" s="6"/>
      <c r="CV431" s="6"/>
      <c r="CW431" s="6"/>
      <c r="CX431" s="6"/>
      <c r="CY431" s="6"/>
      <c r="CZ431" s="7">
        <f>ROUND(41525.2799999999,2)</f>
        <v>41525.279999999999</v>
      </c>
      <c r="DA431" s="7">
        <f>ROUND(9812.64,2)</f>
        <v>9812.64</v>
      </c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7">
        <f>ROUND(1348.48,2)</f>
        <v>1348.48</v>
      </c>
      <c r="EE431" s="6"/>
      <c r="EF431" s="7">
        <f>ROUND(672,2)</f>
        <v>672</v>
      </c>
      <c r="EG431" s="7">
        <f>ROUND(672,2)</f>
        <v>672</v>
      </c>
      <c r="EH431" s="7">
        <f>ROUND(2240,2)</f>
        <v>2240</v>
      </c>
      <c r="EI431" s="7">
        <f>ROUND(2358.72,2)</f>
        <v>2358.7199999999998</v>
      </c>
      <c r="EJ431" s="6"/>
      <c r="EK431" s="7">
        <f>ROUND(672,2)</f>
        <v>672</v>
      </c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7">
        <f>ROUND(950,2)</f>
        <v>950</v>
      </c>
      <c r="FK431" s="6"/>
      <c r="FL431" s="6"/>
      <c r="FM431" s="6"/>
      <c r="FN431" s="6"/>
      <c r="FO431" s="6"/>
      <c r="FP431" s="6"/>
      <c r="FQ431" s="6"/>
      <c r="FR431" s="6"/>
      <c r="FS431" s="6"/>
      <c r="FT431" s="7">
        <f>ROUND(3000,2)</f>
        <v>3000</v>
      </c>
      <c r="FU431" s="6"/>
      <c r="FV431" s="6"/>
      <c r="FW431" s="6"/>
      <c r="FX431" s="6"/>
      <c r="FY431" s="7">
        <f>ROUND(63251.12,2)</f>
        <v>63251.12</v>
      </c>
    </row>
    <row r="432" spans="1:181" ht="26.4" x14ac:dyDescent="0.3">
      <c r="A432" s="4" t="s">
        <v>1013</v>
      </c>
      <c r="B432" s="5"/>
      <c r="C432" s="5" t="s">
        <v>311</v>
      </c>
      <c r="D432" s="5" t="s">
        <v>1014</v>
      </c>
      <c r="E432" s="5" t="s">
        <v>0</v>
      </c>
      <c r="F432" s="5" t="s">
        <v>0</v>
      </c>
      <c r="G432" s="5" t="s">
        <v>312</v>
      </c>
      <c r="H432" s="8">
        <f>ROUND(21.0002,2)</f>
        <v>21</v>
      </c>
      <c r="I432" s="7">
        <f>ROUND(46536.49,2)</f>
        <v>46536.49</v>
      </c>
      <c r="J432" s="7">
        <f>ROUND(1992,2)</f>
        <v>1992</v>
      </c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7">
        <f>ROUND(8,2)</f>
        <v>8</v>
      </c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7">
        <f>ROUND(56,2)</f>
        <v>56</v>
      </c>
      <c r="CI432" s="7">
        <f>ROUND(24,2)</f>
        <v>24</v>
      </c>
      <c r="CJ432" s="6"/>
      <c r="CK432" s="6"/>
      <c r="CL432" s="6"/>
      <c r="CM432" s="6"/>
      <c r="CN432" s="7">
        <f>ROUND(40,2)</f>
        <v>40</v>
      </c>
      <c r="CO432" s="6"/>
      <c r="CP432" s="6"/>
      <c r="CQ432" s="7">
        <f>ROUND(2120,2)</f>
        <v>2120</v>
      </c>
      <c r="CR432" s="7">
        <f>ROUND(41832.4899999999,2)</f>
        <v>41832.49</v>
      </c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7">
        <f>ROUND(168,2)</f>
        <v>168</v>
      </c>
      <c r="FH432" s="6"/>
      <c r="FI432" s="6"/>
      <c r="FJ432" s="7">
        <f>ROUND(2016,2)</f>
        <v>2016</v>
      </c>
      <c r="FK432" s="6"/>
      <c r="FL432" s="6"/>
      <c r="FM432" s="6"/>
      <c r="FN432" s="7">
        <f>ROUND(1176,2)</f>
        <v>1176</v>
      </c>
      <c r="FO432" s="7">
        <f>ROUND(504,2)</f>
        <v>504</v>
      </c>
      <c r="FP432" s="6"/>
      <c r="FQ432" s="6"/>
      <c r="FR432" s="6"/>
      <c r="FS432" s="6"/>
      <c r="FT432" s="6"/>
      <c r="FU432" s="6"/>
      <c r="FV432" s="7">
        <f>ROUND(840,2)</f>
        <v>840</v>
      </c>
      <c r="FW432" s="6"/>
      <c r="FX432" s="6"/>
      <c r="FY432" s="7">
        <f>ROUND(46536.49,2)</f>
        <v>46536.49</v>
      </c>
    </row>
    <row r="433" spans="1:181" x14ac:dyDescent="0.3">
      <c r="A433" s="4" t="s">
        <v>1015</v>
      </c>
      <c r="B433" s="5" t="s">
        <v>1029</v>
      </c>
      <c r="C433" s="5" t="s">
        <v>181</v>
      </c>
      <c r="D433" s="5" t="s">
        <v>254</v>
      </c>
      <c r="E433" s="5" t="s">
        <v>0</v>
      </c>
      <c r="F433" s="5" t="s">
        <v>0</v>
      </c>
      <c r="G433" s="5" t="s">
        <v>183</v>
      </c>
      <c r="H433" s="9">
        <v>30.04</v>
      </c>
      <c r="I433" s="7">
        <f>ROUND(56353.8899999999,2)</f>
        <v>56353.89</v>
      </c>
      <c r="J433" s="6"/>
      <c r="K433" s="6"/>
      <c r="L433" s="6"/>
      <c r="M433" s="6"/>
      <c r="N433" s="7">
        <f>ROUND(1064.98999999999,2)</f>
        <v>1064.99</v>
      </c>
      <c r="O433" s="6"/>
      <c r="P433" s="6"/>
      <c r="Q433" s="7">
        <f>ROUND(24.77,2)</f>
        <v>24.77</v>
      </c>
      <c r="R433" s="6"/>
      <c r="S433" s="6"/>
      <c r="T433" s="6"/>
      <c r="U433" s="6"/>
      <c r="V433" s="7">
        <f>ROUND(55.87,2)</f>
        <v>55.87</v>
      </c>
      <c r="W433" s="7">
        <f>ROUND(0.3,2)</f>
        <v>0.3</v>
      </c>
      <c r="X433" s="6"/>
      <c r="Y433" s="6"/>
      <c r="Z433" s="6"/>
      <c r="AA433" s="6"/>
      <c r="AB433" s="6"/>
      <c r="AC433" s="6"/>
      <c r="AD433" s="6"/>
      <c r="AE433" s="7">
        <f>ROUND(113.29,2)</f>
        <v>113.29</v>
      </c>
      <c r="AF433" s="6"/>
      <c r="AG433" s="7">
        <f>ROUND(22.16,2)</f>
        <v>22.16</v>
      </c>
      <c r="AH433" s="6"/>
      <c r="AI433" s="6"/>
      <c r="AJ433" s="6"/>
      <c r="AK433" s="6"/>
      <c r="AL433" s="6"/>
      <c r="AM433" s="6"/>
      <c r="AN433" s="6"/>
      <c r="AO433" s="6"/>
      <c r="AP433" s="7">
        <f>ROUND(310.389999999999,2)</f>
        <v>310.39</v>
      </c>
      <c r="AQ433" s="6"/>
      <c r="AR433" s="7">
        <f>ROUND(86.42,2)</f>
        <v>86.42</v>
      </c>
      <c r="AS433" s="6"/>
      <c r="AT433" s="6"/>
      <c r="AU433" s="7">
        <f>ROUND(44,2)</f>
        <v>44</v>
      </c>
      <c r="AV433" s="6"/>
      <c r="AW433" s="7">
        <f>ROUND(8,2)</f>
        <v>8</v>
      </c>
      <c r="AX433" s="6"/>
      <c r="AY433" s="6"/>
      <c r="AZ433" s="6"/>
      <c r="BA433" s="6"/>
      <c r="BB433" s="7">
        <f>ROUND(15,2)</f>
        <v>15</v>
      </c>
      <c r="BC433" s="6"/>
      <c r="BD433" s="7">
        <f>ROUND(8,2)</f>
        <v>8</v>
      </c>
      <c r="BE433" s="7">
        <f>ROUND(8.51,2)</f>
        <v>8.51</v>
      </c>
      <c r="BF433" s="6"/>
      <c r="BG433" s="6"/>
      <c r="BH433" s="6"/>
      <c r="BI433" s="6"/>
      <c r="BJ433" s="6"/>
      <c r="BK433" s="6"/>
      <c r="BL433" s="6"/>
      <c r="BM433" s="6"/>
      <c r="BN433" s="6"/>
      <c r="BO433" s="7">
        <f>ROUND(28.5,2)</f>
        <v>28.5</v>
      </c>
      <c r="BP433" s="6"/>
      <c r="BQ433" s="7">
        <f>ROUND(1.8,2)</f>
        <v>1.8</v>
      </c>
      <c r="BR433" s="7">
        <f>ROUND(4.45,2)</f>
        <v>4.45</v>
      </c>
      <c r="BS433" s="6"/>
      <c r="BT433" s="6"/>
      <c r="BU433" s="6"/>
      <c r="BV433" s="6"/>
      <c r="BW433" s="7">
        <f>ROUND(5,2)</f>
        <v>5</v>
      </c>
      <c r="BX433" s="6"/>
      <c r="BY433" s="7">
        <f>ROUND(10,2)</f>
        <v>10</v>
      </c>
      <c r="BZ433" s="7">
        <f>ROUND(15,2)</f>
        <v>15</v>
      </c>
      <c r="CA433" s="7">
        <f>ROUND(10,2)</f>
        <v>10</v>
      </c>
      <c r="CB433" s="6"/>
      <c r="CC433" s="6"/>
      <c r="CD433" s="7">
        <f>ROUND(5.38,2)</f>
        <v>5.38</v>
      </c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7">
        <f>ROUND(1841.83,2)</f>
        <v>1841.83</v>
      </c>
      <c r="CR433" s="6"/>
      <c r="CS433" s="6"/>
      <c r="CT433" s="6"/>
      <c r="CU433" s="6"/>
      <c r="CV433" s="7">
        <f>ROUND(28923.9499999999,2)</f>
        <v>28923.95</v>
      </c>
      <c r="CW433" s="6"/>
      <c r="CX433" s="6"/>
      <c r="CY433" s="7">
        <f>ROUND(1110.88,2)</f>
        <v>1110.8800000000001</v>
      </c>
      <c r="CZ433" s="6"/>
      <c r="DA433" s="6"/>
      <c r="DB433" s="6"/>
      <c r="DC433" s="6"/>
      <c r="DD433" s="7">
        <f>ROUND(1615.08,2)</f>
        <v>1615.08</v>
      </c>
      <c r="DE433" s="7">
        <f>ROUND(13.39,2)</f>
        <v>13.39</v>
      </c>
      <c r="DF433" s="6"/>
      <c r="DG433" s="6"/>
      <c r="DH433" s="6"/>
      <c r="DI433" s="6"/>
      <c r="DJ433" s="6"/>
      <c r="DK433" s="6"/>
      <c r="DL433" s="6"/>
      <c r="DM433" s="6"/>
      <c r="DN433" s="7">
        <f>ROUND(3263.71999999999,2)</f>
        <v>3263.72</v>
      </c>
      <c r="DO433" s="6"/>
      <c r="DP433" s="7">
        <f>ROUND(969.52,2)</f>
        <v>969.52</v>
      </c>
      <c r="DQ433" s="6"/>
      <c r="DR433" s="6"/>
      <c r="DS433" s="6"/>
      <c r="DT433" s="6"/>
      <c r="DU433" s="6"/>
      <c r="DV433" s="6"/>
      <c r="DW433" s="6"/>
      <c r="DX433" s="6"/>
      <c r="DY433" s="7">
        <f>ROUND(9149.35,2)</f>
        <v>9149.35</v>
      </c>
      <c r="DZ433" s="6"/>
      <c r="EA433" s="7">
        <f>ROUND(3846.7,2)</f>
        <v>3846.7</v>
      </c>
      <c r="EB433" s="6"/>
      <c r="EC433" s="6"/>
      <c r="ED433" s="7">
        <f>ROUND(1203.79,2)</f>
        <v>1203.79</v>
      </c>
      <c r="EE433" s="6"/>
      <c r="EF433" s="7">
        <f>ROUND(238,2)</f>
        <v>238</v>
      </c>
      <c r="EG433" s="6"/>
      <c r="EH433" s="6"/>
      <c r="EI433" s="6"/>
      <c r="EJ433" s="6"/>
      <c r="EK433" s="7">
        <f>ROUND(393.1,2)</f>
        <v>393.1</v>
      </c>
      <c r="EL433" s="6"/>
      <c r="EM433" s="6"/>
      <c r="EN433" s="7">
        <f>ROUND(218.24,2)</f>
        <v>218.24</v>
      </c>
      <c r="EO433" s="7">
        <f>ROUND(224.67,2)</f>
        <v>224.67</v>
      </c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7">
        <f>ROUND(834.6,2)</f>
        <v>834.6</v>
      </c>
      <c r="FC433" s="6"/>
      <c r="FD433" s="7">
        <f>ROUND(53.55,2)</f>
        <v>53.55</v>
      </c>
      <c r="FE433" s="7">
        <f>ROUND(198.58,2)</f>
        <v>198.58</v>
      </c>
      <c r="FF433" s="6"/>
      <c r="FG433" s="6"/>
      <c r="FH433" s="6"/>
      <c r="FI433" s="7">
        <f>ROUND(146.77,2)</f>
        <v>146.77000000000001</v>
      </c>
      <c r="FJ433" s="7">
        <f>ROUND(950,2)</f>
        <v>950</v>
      </c>
      <c r="FK433" s="6"/>
      <c r="FL433" s="6"/>
      <c r="FM433" s="6"/>
      <c r="FN433" s="6"/>
      <c r="FO433" s="6"/>
      <c r="FP433" s="6"/>
      <c r="FQ433" s="6"/>
      <c r="FR433" s="6"/>
      <c r="FS433" s="6"/>
      <c r="FT433" s="7">
        <f>ROUND(3000,2)</f>
        <v>3000</v>
      </c>
      <c r="FU433" s="6"/>
      <c r="FV433" s="6"/>
      <c r="FW433" s="6"/>
      <c r="FX433" s="6"/>
      <c r="FY433" s="7">
        <f>ROUND(56353.8899999999,2)</f>
        <v>56353.89</v>
      </c>
    </row>
    <row r="434" spans="1:181" x14ac:dyDescent="0.3">
      <c r="A434" s="4" t="s">
        <v>1016</v>
      </c>
      <c r="B434" s="5" t="s">
        <v>1029</v>
      </c>
      <c r="C434" s="5" t="s">
        <v>181</v>
      </c>
      <c r="D434" s="5" t="s">
        <v>234</v>
      </c>
      <c r="E434" s="5" t="s">
        <v>0</v>
      </c>
      <c r="F434" s="5" t="s">
        <v>0</v>
      </c>
      <c r="G434" s="5" t="s">
        <v>183</v>
      </c>
      <c r="H434" s="8">
        <v>33.380000000000003</v>
      </c>
      <c r="I434" s="7">
        <f>ROUND(131350.499999999,2)</f>
        <v>131350.5</v>
      </c>
      <c r="J434" s="6"/>
      <c r="K434" s="6"/>
      <c r="L434" s="6"/>
      <c r="M434" s="6"/>
      <c r="N434" s="7">
        <f>ROUND(1847.67999999999,2)</f>
        <v>1847.68</v>
      </c>
      <c r="O434" s="6"/>
      <c r="P434" s="6"/>
      <c r="Q434" s="7">
        <f>ROUND(952.6,2)</f>
        <v>952.6</v>
      </c>
      <c r="R434" s="6"/>
      <c r="S434" s="6"/>
      <c r="T434" s="6"/>
      <c r="U434" s="6"/>
      <c r="V434" s="7">
        <f>ROUND(17.69,2)</f>
        <v>17.690000000000001</v>
      </c>
      <c r="W434" s="7">
        <f>ROUND(22.84,2)</f>
        <v>22.84</v>
      </c>
      <c r="X434" s="7">
        <f>ROUND(1.56,2)</f>
        <v>1.56</v>
      </c>
      <c r="Y434" s="7">
        <f>ROUND(3.38999999999999,2)</f>
        <v>3.39</v>
      </c>
      <c r="Z434" s="6"/>
      <c r="AA434" s="6"/>
      <c r="AB434" s="6"/>
      <c r="AC434" s="6"/>
      <c r="AD434" s="6"/>
      <c r="AE434" s="7">
        <f>ROUND(7.42,2)</f>
        <v>7.42</v>
      </c>
      <c r="AF434" s="6"/>
      <c r="AG434" s="7">
        <f>ROUND(8.67,2)</f>
        <v>8.67</v>
      </c>
      <c r="AH434" s="6"/>
      <c r="AI434" s="6"/>
      <c r="AJ434" s="6"/>
      <c r="AK434" s="6"/>
      <c r="AL434" s="6"/>
      <c r="AM434" s="6"/>
      <c r="AN434" s="6"/>
      <c r="AO434" s="6"/>
      <c r="AP434" s="7">
        <f>ROUND(123.2,2)</f>
        <v>123.2</v>
      </c>
      <c r="AQ434" s="6"/>
      <c r="AR434" s="7">
        <f>ROUND(69.68,2)</f>
        <v>69.680000000000007</v>
      </c>
      <c r="AS434" s="6"/>
      <c r="AT434" s="6"/>
      <c r="AU434" s="7">
        <f>ROUND(62.67,2)</f>
        <v>62.67</v>
      </c>
      <c r="AV434" s="7">
        <f>ROUND(5.33,2)</f>
        <v>5.33</v>
      </c>
      <c r="AW434" s="7">
        <f>ROUND(5.92,2)</f>
        <v>5.92</v>
      </c>
      <c r="AX434" s="7">
        <f>ROUND(26.08,2)</f>
        <v>26.08</v>
      </c>
      <c r="AY434" s="7">
        <f>ROUND(32,2)</f>
        <v>32</v>
      </c>
      <c r="AZ434" s="7">
        <f>ROUND(16,2)</f>
        <v>16</v>
      </c>
      <c r="BA434" s="6"/>
      <c r="BB434" s="6"/>
      <c r="BC434" s="6"/>
      <c r="BD434" s="7">
        <f>ROUND(8,2)</f>
        <v>8</v>
      </c>
      <c r="BE434" s="7">
        <f>ROUND(2.02,2)</f>
        <v>2.02</v>
      </c>
      <c r="BF434" s="6"/>
      <c r="BG434" s="6"/>
      <c r="BH434" s="6"/>
      <c r="BI434" s="6"/>
      <c r="BJ434" s="6"/>
      <c r="BK434" s="6"/>
      <c r="BL434" s="6"/>
      <c r="BM434" s="6"/>
      <c r="BN434" s="6"/>
      <c r="BO434" s="7">
        <f>ROUND(18.4199999999999,2)</f>
        <v>18.420000000000002</v>
      </c>
      <c r="BP434" s="7">
        <f>ROUND(7.27999999999999,2)</f>
        <v>7.28</v>
      </c>
      <c r="BQ434" s="7">
        <f>ROUND(5.42,2)</f>
        <v>5.42</v>
      </c>
      <c r="BR434" s="6"/>
      <c r="BS434" s="6"/>
      <c r="BT434" s="6"/>
      <c r="BU434" s="6"/>
      <c r="BV434" s="6"/>
      <c r="BW434" s="6"/>
      <c r="BX434" s="6"/>
      <c r="BY434" s="6"/>
      <c r="BZ434" s="7">
        <f>ROUND(8,2)</f>
        <v>8</v>
      </c>
      <c r="CA434" s="7">
        <f>ROUND(8,2)</f>
        <v>8</v>
      </c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7">
        <f>ROUND(72,2)</f>
        <v>72</v>
      </c>
      <c r="CQ434" s="7">
        <f>ROUND(3331.86999999999,2)</f>
        <v>3331.87</v>
      </c>
      <c r="CR434" s="6"/>
      <c r="CS434" s="6"/>
      <c r="CT434" s="6"/>
      <c r="CU434" s="6"/>
      <c r="CV434" s="7">
        <f>ROUND(60206.7299999999,2)</f>
        <v>60206.73</v>
      </c>
      <c r="CW434" s="6"/>
      <c r="CX434" s="6"/>
      <c r="CY434" s="7">
        <f>ROUND(46622,2)</f>
        <v>46622</v>
      </c>
      <c r="CZ434" s="6"/>
      <c r="DA434" s="6"/>
      <c r="DB434" s="6"/>
      <c r="DC434" s="6"/>
      <c r="DD434" s="7">
        <f>ROUND(575.15,2)</f>
        <v>575.15</v>
      </c>
      <c r="DE434" s="7">
        <f>ROUND(1119.16999999999,2)</f>
        <v>1119.17</v>
      </c>
      <c r="DF434" s="7">
        <f>ROUND(50.87,2)</f>
        <v>50.87</v>
      </c>
      <c r="DG434" s="7">
        <f>ROUND(167.63,2)</f>
        <v>167.63</v>
      </c>
      <c r="DH434" s="6"/>
      <c r="DI434" s="6"/>
      <c r="DJ434" s="6"/>
      <c r="DK434" s="6"/>
      <c r="DL434" s="6"/>
      <c r="DM434" s="6"/>
      <c r="DN434" s="7">
        <f>ROUND(245.23,2)</f>
        <v>245.23</v>
      </c>
      <c r="DO434" s="6"/>
      <c r="DP434" s="7">
        <f>ROUND(434.04,2)</f>
        <v>434.04</v>
      </c>
      <c r="DQ434" s="6"/>
      <c r="DR434" s="6"/>
      <c r="DS434" s="6"/>
      <c r="DT434" s="6"/>
      <c r="DU434" s="6"/>
      <c r="DV434" s="6"/>
      <c r="DW434" s="6"/>
      <c r="DX434" s="6"/>
      <c r="DY434" s="7">
        <f>ROUND(4024.75,2)</f>
        <v>4024.75</v>
      </c>
      <c r="DZ434" s="6"/>
      <c r="EA434" s="7">
        <f>ROUND(3415.27,2)</f>
        <v>3415.27</v>
      </c>
      <c r="EB434" s="6"/>
      <c r="EC434" s="6"/>
      <c r="ED434" s="7">
        <f>ROUND(2039.32,2)</f>
        <v>2039.32</v>
      </c>
      <c r="EE434" s="7">
        <f>ROUND(264.26,2)</f>
        <v>264.26</v>
      </c>
      <c r="EF434" s="7">
        <f>ROUND(192.95,2)</f>
        <v>192.95</v>
      </c>
      <c r="EG434" s="7">
        <f>ROUND(1285.46,2)</f>
        <v>1285.46</v>
      </c>
      <c r="EH434" s="7">
        <f>ROUND(1042.24,2)</f>
        <v>1042.24</v>
      </c>
      <c r="EI434" s="7">
        <f>ROUND(793.2,2)</f>
        <v>793.2</v>
      </c>
      <c r="EJ434" s="6"/>
      <c r="EK434" s="6"/>
      <c r="EL434" s="6"/>
      <c r="EM434" s="6"/>
      <c r="EN434" s="7">
        <f>ROUND(256.72,2)</f>
        <v>256.72000000000003</v>
      </c>
      <c r="EO434" s="7">
        <f>ROUND(64.82,2)</f>
        <v>64.819999999999993</v>
      </c>
      <c r="EP434" s="6"/>
      <c r="EQ434" s="6"/>
      <c r="ER434" s="7">
        <f>ROUND(279.6,2)</f>
        <v>279.60000000000002</v>
      </c>
      <c r="ES434" s="6"/>
      <c r="ET434" s="6"/>
      <c r="EU434" s="6"/>
      <c r="EV434" s="7">
        <f>ROUND(333.33,2)</f>
        <v>333.33</v>
      </c>
      <c r="EW434" s="6"/>
      <c r="EX434" s="6"/>
      <c r="EY434" s="6"/>
      <c r="EZ434" s="6"/>
      <c r="FA434" s="6"/>
      <c r="FB434" s="7">
        <f>ROUND(598.75,2)</f>
        <v>598.75</v>
      </c>
      <c r="FC434" s="7">
        <f>ROUND(360.909999999999,2)</f>
        <v>360.91</v>
      </c>
      <c r="FD434" s="7">
        <f>ROUND(174.74,2)</f>
        <v>174.74</v>
      </c>
      <c r="FE434" s="6"/>
      <c r="FF434" s="6"/>
      <c r="FG434" s="6"/>
      <c r="FH434" s="6"/>
      <c r="FI434" s="6"/>
      <c r="FJ434" s="7">
        <f>ROUND(1400,2)</f>
        <v>1400</v>
      </c>
      <c r="FK434" s="6"/>
      <c r="FL434" s="6"/>
      <c r="FM434" s="6"/>
      <c r="FN434" s="6"/>
      <c r="FO434" s="6"/>
      <c r="FP434" s="6"/>
      <c r="FQ434" s="6"/>
      <c r="FR434" s="6"/>
      <c r="FS434" s="6"/>
      <c r="FT434" s="7">
        <f>ROUND(3000,2)</f>
        <v>3000</v>
      </c>
      <c r="FU434" s="6"/>
      <c r="FV434" s="6"/>
      <c r="FW434" s="6"/>
      <c r="FX434" s="7">
        <f>ROUND(2403.36,2)</f>
        <v>2403.36</v>
      </c>
      <c r="FY434" s="7">
        <f>ROUND(131350.499999999,2)</f>
        <v>131350.5</v>
      </c>
    </row>
    <row r="435" spans="1:181" ht="26.4" x14ac:dyDescent="0.3">
      <c r="A435" s="4" t="s">
        <v>1017</v>
      </c>
      <c r="B435" s="5"/>
      <c r="C435" s="5" t="s">
        <v>201</v>
      </c>
      <c r="D435" s="5" t="s">
        <v>1018</v>
      </c>
      <c r="E435" s="5" t="s">
        <v>0</v>
      </c>
      <c r="F435" s="5" t="s">
        <v>0</v>
      </c>
      <c r="G435" s="5" t="s">
        <v>203</v>
      </c>
      <c r="H435" s="8">
        <f>ROUND(19.673,2)</f>
        <v>19.670000000000002</v>
      </c>
      <c r="I435" s="7">
        <f>ROUND(48761.6699999999,2)</f>
        <v>48761.67</v>
      </c>
      <c r="J435" s="7">
        <f>ROUND(1895.5,2)</f>
        <v>1895.5</v>
      </c>
      <c r="K435" s="7">
        <f>ROUND(159.75,2)</f>
        <v>159.75</v>
      </c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7">
        <f>ROUND(16,2)</f>
        <v>16</v>
      </c>
      <c r="BX435" s="6"/>
      <c r="BY435" s="6"/>
      <c r="BZ435" s="6"/>
      <c r="CA435" s="6"/>
      <c r="CB435" s="6"/>
      <c r="CC435" s="6"/>
      <c r="CD435" s="6"/>
      <c r="CE435" s="6"/>
      <c r="CF435" s="6"/>
      <c r="CG435" s="7">
        <f>ROUND(40,2)</f>
        <v>40</v>
      </c>
      <c r="CH435" s="7">
        <f>ROUND(40,2)</f>
        <v>40</v>
      </c>
      <c r="CI435" s="7">
        <f>ROUND(32,2)</f>
        <v>32</v>
      </c>
      <c r="CJ435" s="7">
        <f>ROUND(21,2)</f>
        <v>21</v>
      </c>
      <c r="CK435" s="6"/>
      <c r="CL435" s="7">
        <f>ROUND(8,2)</f>
        <v>8</v>
      </c>
      <c r="CM435" s="6"/>
      <c r="CN435" s="7">
        <f>ROUND(80,2)</f>
        <v>80</v>
      </c>
      <c r="CO435" s="6"/>
      <c r="CP435" s="6"/>
      <c r="CQ435" s="7">
        <f>ROUND(2292.25,2)</f>
        <v>2292.25</v>
      </c>
      <c r="CR435" s="7">
        <f>ROUND(37290.2399999999,2)</f>
        <v>37290.239999999998</v>
      </c>
      <c r="CS435" s="7">
        <f>ROUND(4714.13,2)</f>
        <v>4714.13</v>
      </c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7">
        <f>ROUND(314.76,2)</f>
        <v>314.76</v>
      </c>
      <c r="FH435" s="6"/>
      <c r="FI435" s="6"/>
      <c r="FJ435" s="7">
        <f>ROUND(1888.32,2)</f>
        <v>1888.32</v>
      </c>
      <c r="FK435" s="6"/>
      <c r="FL435" s="6"/>
      <c r="FM435" s="7">
        <f>ROUND(786.9,2)</f>
        <v>786.9</v>
      </c>
      <c r="FN435" s="7">
        <f>ROUND(786.9,2)</f>
        <v>786.9</v>
      </c>
      <c r="FO435" s="7">
        <f>ROUND(629.52,2)</f>
        <v>629.52</v>
      </c>
      <c r="FP435" s="7">
        <f>ROUND(619.71,2)</f>
        <v>619.71</v>
      </c>
      <c r="FQ435" s="6"/>
      <c r="FR435" s="6"/>
      <c r="FS435" s="7">
        <f>ROUND(157.38,2)</f>
        <v>157.38</v>
      </c>
      <c r="FT435" s="6"/>
      <c r="FU435" s="6"/>
      <c r="FV435" s="7">
        <f>ROUND(1573.81,2)</f>
        <v>1573.81</v>
      </c>
      <c r="FW435" s="6"/>
      <c r="FX435" s="6"/>
      <c r="FY435" s="7">
        <f>ROUND(48761.6699999999,2)</f>
        <v>48761.67</v>
      </c>
    </row>
    <row r="436" spans="1:181" x14ac:dyDescent="0.3">
      <c r="A436" s="4" t="s">
        <v>1019</v>
      </c>
      <c r="B436" s="5" t="s">
        <v>1029</v>
      </c>
      <c r="C436" s="5" t="s">
        <v>181</v>
      </c>
      <c r="D436" s="5" t="s">
        <v>527</v>
      </c>
      <c r="E436" s="5" t="s">
        <v>0</v>
      </c>
      <c r="F436" s="5" t="s">
        <v>1020</v>
      </c>
      <c r="G436" s="5" t="s">
        <v>183</v>
      </c>
      <c r="H436" s="8">
        <v>28.37</v>
      </c>
      <c r="I436" s="7">
        <f>ROUND(35907.99,2)</f>
        <v>35907.99</v>
      </c>
      <c r="J436" s="6"/>
      <c r="K436" s="6"/>
      <c r="L436" s="6"/>
      <c r="M436" s="6"/>
      <c r="N436" s="7">
        <f>ROUND(705.42,2)</f>
        <v>705.42</v>
      </c>
      <c r="O436" s="6"/>
      <c r="P436" s="6"/>
      <c r="Q436" s="7">
        <f>ROUND(8.95,2)</f>
        <v>8.9499999999999993</v>
      </c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7">
        <f>ROUND(138.81,2)</f>
        <v>138.81</v>
      </c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7">
        <f>ROUND(30,2)</f>
        <v>30</v>
      </c>
      <c r="AV436" s="6"/>
      <c r="AW436" s="6"/>
      <c r="AX436" s="6"/>
      <c r="AY436" s="6"/>
      <c r="AZ436" s="6"/>
      <c r="BA436" s="6"/>
      <c r="BB436" s="6"/>
      <c r="BC436" s="6"/>
      <c r="BD436" s="7">
        <f>ROUND(240.74,2)</f>
        <v>240.74</v>
      </c>
      <c r="BE436" s="6"/>
      <c r="BF436" s="7">
        <f>ROUND(23.03,2)</f>
        <v>23.03</v>
      </c>
      <c r="BG436" s="6"/>
      <c r="BH436" s="6"/>
      <c r="BI436" s="7">
        <f>ROUND(20.45,2)</f>
        <v>20.45</v>
      </c>
      <c r="BJ436" s="6"/>
      <c r="BK436" s="6"/>
      <c r="BL436" s="6"/>
      <c r="BM436" s="6"/>
      <c r="BN436" s="6"/>
      <c r="BO436" s="6"/>
      <c r="BP436" s="6"/>
      <c r="BQ436" s="7">
        <f>ROUND(216.76,2)</f>
        <v>216.76</v>
      </c>
      <c r="BR436" s="6"/>
      <c r="BS436" s="7">
        <f>ROUND(45,2)</f>
        <v>45</v>
      </c>
      <c r="BT436" s="7">
        <f>ROUND(0.7,2)</f>
        <v>0.7</v>
      </c>
      <c r="BU436" s="6"/>
      <c r="BV436" s="6"/>
      <c r="BW436" s="6"/>
      <c r="BX436" s="6"/>
      <c r="BY436" s="6"/>
      <c r="BZ436" s="6"/>
      <c r="CA436" s="7">
        <f>ROUND(40,2)</f>
        <v>40</v>
      </c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7">
        <f>ROUND(15,2)</f>
        <v>15</v>
      </c>
      <c r="CQ436" s="7">
        <f>ROUND(1484.86,2)</f>
        <v>1484.86</v>
      </c>
      <c r="CR436" s="6"/>
      <c r="CS436" s="6"/>
      <c r="CT436" s="6"/>
      <c r="CU436" s="6"/>
      <c r="CV436" s="7">
        <f>ROUND(18192.75,2)</f>
        <v>18192.75</v>
      </c>
      <c r="CW436" s="6"/>
      <c r="CX436" s="6"/>
      <c r="CY436" s="7">
        <f>ROUND(234.94,2)</f>
        <v>234.94</v>
      </c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7">
        <f>ROUND(3830.16,2)</f>
        <v>3830.16</v>
      </c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7">
        <f>ROUND(811.65,2)</f>
        <v>811.65</v>
      </c>
      <c r="EE436" s="6"/>
      <c r="EF436" s="6"/>
      <c r="EG436" s="6"/>
      <c r="EH436" s="6"/>
      <c r="EI436" s="6"/>
      <c r="EJ436" s="6"/>
      <c r="EK436" s="6"/>
      <c r="EL436" s="6"/>
      <c r="EM436" s="6"/>
      <c r="EN436" s="7">
        <f>ROUND(4278.32,2)</f>
        <v>4278.32</v>
      </c>
      <c r="EO436" s="6"/>
      <c r="EP436" s="7">
        <f>ROUND(604.54,2)</f>
        <v>604.54</v>
      </c>
      <c r="EQ436" s="6"/>
      <c r="ER436" s="6"/>
      <c r="ES436" s="6"/>
      <c r="ET436" s="7">
        <f>ROUND(357.88,2)</f>
        <v>357.88</v>
      </c>
      <c r="EU436" s="6"/>
      <c r="EV436" s="6"/>
      <c r="EW436" s="6"/>
      <c r="EX436" s="6"/>
      <c r="EY436" s="6"/>
      <c r="EZ436" s="6"/>
      <c r="FA436" s="6"/>
      <c r="FB436" s="6"/>
      <c r="FC436" s="6"/>
      <c r="FD436" s="7">
        <f>ROUND(5372.2,2)</f>
        <v>5372.2</v>
      </c>
      <c r="FE436" s="6"/>
      <c r="FF436" s="6"/>
      <c r="FG436" s="6"/>
      <c r="FH436" s="6"/>
      <c r="FI436" s="6"/>
      <c r="FJ436" s="7">
        <f>ROUND(300,2)</f>
        <v>300</v>
      </c>
      <c r="FK436" s="6"/>
      <c r="FL436" s="6"/>
      <c r="FM436" s="6"/>
      <c r="FN436" s="6"/>
      <c r="FO436" s="6"/>
      <c r="FP436" s="6"/>
      <c r="FQ436" s="6"/>
      <c r="FR436" s="6"/>
      <c r="FS436" s="6"/>
      <c r="FT436" s="7">
        <f>ROUND(1500,2)</f>
        <v>1500</v>
      </c>
      <c r="FU436" s="6"/>
      <c r="FV436" s="6"/>
      <c r="FW436" s="6"/>
      <c r="FX436" s="7">
        <f>ROUND(425.55,2)</f>
        <v>425.55</v>
      </c>
      <c r="FY436" s="7">
        <f>ROUND(35907.99,2)</f>
        <v>35907.99</v>
      </c>
    </row>
    <row r="437" spans="1:181" x14ac:dyDescent="0.3">
      <c r="A437" s="4" t="s">
        <v>1021</v>
      </c>
      <c r="B437" s="5" t="s">
        <v>1029</v>
      </c>
      <c r="C437" s="5" t="s">
        <v>181</v>
      </c>
      <c r="D437" s="5" t="s">
        <v>196</v>
      </c>
      <c r="E437" s="5" t="s">
        <v>0</v>
      </c>
      <c r="F437" s="5" t="s">
        <v>0</v>
      </c>
      <c r="G437" s="5" t="s">
        <v>183</v>
      </c>
      <c r="H437" s="8">
        <v>33.049999999999997</v>
      </c>
      <c r="I437" s="7">
        <f>ROUND(86239.13,2)</f>
        <v>86239.13</v>
      </c>
      <c r="J437" s="6"/>
      <c r="K437" s="6"/>
      <c r="L437" s="6"/>
      <c r="M437" s="6"/>
      <c r="N437" s="7">
        <f>ROUND(1012.75,2)</f>
        <v>1012.75</v>
      </c>
      <c r="O437" s="6"/>
      <c r="P437" s="6"/>
      <c r="Q437" s="7">
        <f>ROUND(168.739999999999,2)</f>
        <v>168.74</v>
      </c>
      <c r="R437" s="6"/>
      <c r="S437" s="6"/>
      <c r="T437" s="6"/>
      <c r="U437" s="6"/>
      <c r="V437" s="7">
        <f>ROUND(12.43,2)</f>
        <v>12.43</v>
      </c>
      <c r="W437" s="7">
        <f>ROUND(29.27,2)</f>
        <v>29.27</v>
      </c>
      <c r="X437" s="7">
        <f>ROUND(0.909999999999999,2)</f>
        <v>0.91</v>
      </c>
      <c r="Y437" s="6"/>
      <c r="Z437" s="6"/>
      <c r="AA437" s="6"/>
      <c r="AB437" s="6"/>
      <c r="AC437" s="6"/>
      <c r="AD437" s="6"/>
      <c r="AE437" s="7">
        <f>ROUND(210.48,2)</f>
        <v>210.48</v>
      </c>
      <c r="AF437" s="6"/>
      <c r="AG437" s="7">
        <f>ROUND(23.18,2)</f>
        <v>23.18</v>
      </c>
      <c r="AH437" s="6"/>
      <c r="AI437" s="6"/>
      <c r="AJ437" s="6"/>
      <c r="AK437" s="6"/>
      <c r="AL437" s="6"/>
      <c r="AM437" s="6"/>
      <c r="AN437" s="6"/>
      <c r="AO437" s="6"/>
      <c r="AP437" s="7">
        <f>ROUND(533.12,2)</f>
        <v>533.12</v>
      </c>
      <c r="AQ437" s="6"/>
      <c r="AR437" s="7">
        <f>ROUND(56.3799999999999,2)</f>
        <v>56.38</v>
      </c>
      <c r="AS437" s="6"/>
      <c r="AT437" s="6"/>
      <c r="AU437" s="7">
        <f>ROUND(66,2)</f>
        <v>66</v>
      </c>
      <c r="AV437" s="6"/>
      <c r="AW437" s="7">
        <f>ROUND(34,2)</f>
        <v>34</v>
      </c>
      <c r="AX437" s="6"/>
      <c r="AY437" s="7">
        <f>ROUND(8,2)</f>
        <v>8</v>
      </c>
      <c r="AZ437" s="6"/>
      <c r="BA437" s="6"/>
      <c r="BB437" s="6"/>
      <c r="BC437" s="6"/>
      <c r="BD437" s="7">
        <f>ROUND(8,2)</f>
        <v>8</v>
      </c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7">
        <f>ROUND(89.37,2)</f>
        <v>89.37</v>
      </c>
      <c r="BP437" s="7">
        <f>ROUND(10.88,2)</f>
        <v>10.88</v>
      </c>
      <c r="BQ437" s="7">
        <f>ROUND(31.03,2)</f>
        <v>31.03</v>
      </c>
      <c r="BR437" s="7">
        <f>ROUND(1.72,2)</f>
        <v>1.72</v>
      </c>
      <c r="BS437" s="7">
        <f>ROUND(104,2)</f>
        <v>104</v>
      </c>
      <c r="BT437" s="7">
        <f>ROUND(9.73,2)</f>
        <v>9.73</v>
      </c>
      <c r="BU437" s="6"/>
      <c r="BV437" s="6"/>
      <c r="BW437" s="7">
        <f>ROUND(8,2)</f>
        <v>8</v>
      </c>
      <c r="BX437" s="6"/>
      <c r="BY437" s="7">
        <f>ROUND(8,2)</f>
        <v>8</v>
      </c>
      <c r="BZ437" s="6"/>
      <c r="CA437" s="7">
        <f>ROUND(8,2)</f>
        <v>8</v>
      </c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7">
        <f>ROUND(72,2)</f>
        <v>72</v>
      </c>
      <c r="CQ437" s="7">
        <f>ROUND(2505.99,2)</f>
        <v>2505.9899999999998</v>
      </c>
      <c r="CR437" s="6"/>
      <c r="CS437" s="6"/>
      <c r="CT437" s="6"/>
      <c r="CU437" s="6"/>
      <c r="CV437" s="7">
        <f>ROUND(33015.6,2)</f>
        <v>33015.599999999999</v>
      </c>
      <c r="CW437" s="6"/>
      <c r="CX437" s="6"/>
      <c r="CY437" s="7">
        <f>ROUND(8270.19,2)</f>
        <v>8270.19</v>
      </c>
      <c r="CZ437" s="6"/>
      <c r="DA437" s="6"/>
      <c r="DB437" s="6"/>
      <c r="DC437" s="6"/>
      <c r="DD437" s="7">
        <f>ROUND(402.85,2)</f>
        <v>402.85</v>
      </c>
      <c r="DE437" s="7">
        <f>ROUND(1454.62999999999,2)</f>
        <v>1454.63</v>
      </c>
      <c r="DF437" s="7">
        <f>ROUND(29.57,2)</f>
        <v>29.57</v>
      </c>
      <c r="DG437" s="6"/>
      <c r="DH437" s="6"/>
      <c r="DI437" s="6"/>
      <c r="DJ437" s="6"/>
      <c r="DK437" s="6"/>
      <c r="DL437" s="6"/>
      <c r="DM437" s="6"/>
      <c r="DN437" s="7">
        <f>ROUND(6864.31,2)</f>
        <v>6864.31</v>
      </c>
      <c r="DO437" s="6"/>
      <c r="DP437" s="7">
        <f>ROUND(1127.78,2)</f>
        <v>1127.78</v>
      </c>
      <c r="DQ437" s="6"/>
      <c r="DR437" s="6"/>
      <c r="DS437" s="6"/>
      <c r="DT437" s="6"/>
      <c r="DU437" s="6"/>
      <c r="DV437" s="6"/>
      <c r="DW437" s="6"/>
      <c r="DX437" s="6"/>
      <c r="DY437" s="7">
        <f>ROUND(17326.87,2)</f>
        <v>17326.87</v>
      </c>
      <c r="DZ437" s="6"/>
      <c r="EA437" s="7">
        <f>ROUND(2739.54999999999,2)</f>
        <v>2739.55</v>
      </c>
      <c r="EB437" s="6"/>
      <c r="EC437" s="6"/>
      <c r="ED437" s="7">
        <f>ROUND(2142.9,2)</f>
        <v>2142.9</v>
      </c>
      <c r="EE437" s="6"/>
      <c r="EF437" s="7">
        <f>ROUND(1098.74,2)</f>
        <v>1098.74</v>
      </c>
      <c r="EG437" s="6"/>
      <c r="EH437" s="7">
        <f>ROUND(264.4,2)</f>
        <v>264.39999999999998</v>
      </c>
      <c r="EI437" s="6"/>
      <c r="EJ437" s="6"/>
      <c r="EK437" s="6"/>
      <c r="EL437" s="6"/>
      <c r="EM437" s="6"/>
      <c r="EN437" s="7">
        <f>ROUND(256.72,2)</f>
        <v>256.72000000000003</v>
      </c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7">
        <f>ROUND(2917.56999999999,2)</f>
        <v>2917.57</v>
      </c>
      <c r="FC437" s="7">
        <f>ROUND(523.7,2)</f>
        <v>523.70000000000005</v>
      </c>
      <c r="FD437" s="7">
        <f>ROUND(1017.59999999999,2)</f>
        <v>1017.6</v>
      </c>
      <c r="FE437" s="7">
        <f>ROUND(82.79,2)</f>
        <v>82.79</v>
      </c>
      <c r="FF437" s="6"/>
      <c r="FG437" s="6"/>
      <c r="FH437" s="6"/>
      <c r="FI437" s="6"/>
      <c r="FJ437" s="7">
        <f>ROUND(1300,2)</f>
        <v>1300</v>
      </c>
      <c r="FK437" s="6"/>
      <c r="FL437" s="6"/>
      <c r="FM437" s="6"/>
      <c r="FN437" s="6"/>
      <c r="FO437" s="6"/>
      <c r="FP437" s="6"/>
      <c r="FQ437" s="6"/>
      <c r="FR437" s="6"/>
      <c r="FS437" s="6"/>
      <c r="FT437" s="7">
        <f>ROUND(3000,2)</f>
        <v>3000</v>
      </c>
      <c r="FU437" s="6"/>
      <c r="FV437" s="6"/>
      <c r="FW437" s="6"/>
      <c r="FX437" s="7">
        <f>ROUND(2403.36,2)</f>
        <v>2403.36</v>
      </c>
      <c r="FY437" s="7">
        <f>ROUND(86239.13,2)</f>
        <v>86239.13</v>
      </c>
    </row>
    <row r="438" spans="1:181" x14ac:dyDescent="0.3">
      <c r="A438" s="4" t="s">
        <v>1022</v>
      </c>
      <c r="B438" s="5" t="s">
        <v>1029</v>
      </c>
      <c r="C438" s="5" t="s">
        <v>181</v>
      </c>
      <c r="D438" s="5" t="s">
        <v>901</v>
      </c>
      <c r="E438" s="5" t="s">
        <v>0</v>
      </c>
      <c r="F438" s="5" t="s">
        <v>0</v>
      </c>
      <c r="G438" s="5" t="s">
        <v>183</v>
      </c>
      <c r="H438" s="8">
        <v>33.380000000000003</v>
      </c>
      <c r="I438" s="7">
        <f>ROUND(83186.4099999999,2)</f>
        <v>83186.41</v>
      </c>
      <c r="J438" s="6"/>
      <c r="K438" s="6"/>
      <c r="L438" s="6"/>
      <c r="M438" s="6"/>
      <c r="N438" s="7">
        <f>ROUND(723.48,2)</f>
        <v>723.48</v>
      </c>
      <c r="O438" s="6"/>
      <c r="P438" s="6"/>
      <c r="Q438" s="7">
        <f>ROUND(127.409999999999,2)</f>
        <v>127.41</v>
      </c>
      <c r="R438" s="6"/>
      <c r="S438" s="6"/>
      <c r="T438" s="6"/>
      <c r="U438" s="6"/>
      <c r="V438" s="7">
        <f>ROUND(8.3,2)</f>
        <v>8.3000000000000007</v>
      </c>
      <c r="W438" s="7">
        <f>ROUND(8.57,2)</f>
        <v>8.57</v>
      </c>
      <c r="X438" s="6"/>
      <c r="Y438" s="6"/>
      <c r="Z438" s="6"/>
      <c r="AA438" s="6"/>
      <c r="AB438" s="6"/>
      <c r="AC438" s="6"/>
      <c r="AD438" s="6"/>
      <c r="AE438" s="7">
        <f>ROUND(745.89,2)</f>
        <v>745.89</v>
      </c>
      <c r="AF438" s="6"/>
      <c r="AG438" s="7">
        <f>ROUND(60.7,2)</f>
        <v>60.7</v>
      </c>
      <c r="AH438" s="6"/>
      <c r="AI438" s="6"/>
      <c r="AJ438" s="6"/>
      <c r="AK438" s="6"/>
      <c r="AL438" s="6"/>
      <c r="AM438" s="6"/>
      <c r="AN438" s="6"/>
      <c r="AO438" s="6"/>
      <c r="AP438" s="7">
        <f>ROUND(320.37,2)</f>
        <v>320.37</v>
      </c>
      <c r="AQ438" s="6"/>
      <c r="AR438" s="7">
        <f>ROUND(2.01,2)</f>
        <v>2.0099999999999998</v>
      </c>
      <c r="AS438" s="6"/>
      <c r="AT438" s="6"/>
      <c r="AU438" s="7">
        <f>ROUND(76,2)</f>
        <v>76</v>
      </c>
      <c r="AV438" s="6"/>
      <c r="AW438" s="7">
        <f>ROUND(41.58,2)</f>
        <v>41.58</v>
      </c>
      <c r="AX438" s="7">
        <f>ROUND(2.42,2)</f>
        <v>2.42</v>
      </c>
      <c r="AY438" s="7">
        <f>ROUND(76,2)</f>
        <v>76</v>
      </c>
      <c r="AZ438" s="6"/>
      <c r="BA438" s="7">
        <f>ROUND(5,2)</f>
        <v>5</v>
      </c>
      <c r="BB438" s="7">
        <f>ROUND(10,2)</f>
        <v>10</v>
      </c>
      <c r="BC438" s="6"/>
      <c r="BD438" s="7">
        <f>ROUND(8,2)</f>
        <v>8</v>
      </c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7">
        <f>ROUND(93.37,2)</f>
        <v>93.37</v>
      </c>
      <c r="BR438" s="6"/>
      <c r="BS438" s="7">
        <f>ROUND(8,2)</f>
        <v>8</v>
      </c>
      <c r="BT438" s="7">
        <f>ROUND(3.4,2)</f>
        <v>3.4</v>
      </c>
      <c r="BU438" s="6"/>
      <c r="BV438" s="6"/>
      <c r="BW438" s="6"/>
      <c r="BX438" s="6"/>
      <c r="BY438" s="7">
        <f>ROUND(32,2)</f>
        <v>32</v>
      </c>
      <c r="BZ438" s="6"/>
      <c r="CA438" s="7">
        <f>ROUND(26,2)</f>
        <v>26</v>
      </c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7">
        <f>ROUND(2378.5,2)</f>
        <v>2378.5</v>
      </c>
      <c r="CR438" s="6"/>
      <c r="CS438" s="6"/>
      <c r="CT438" s="6"/>
      <c r="CU438" s="6"/>
      <c r="CV438" s="7">
        <f>ROUND(23633.8399999999,2)</f>
        <v>23633.84</v>
      </c>
      <c r="CW438" s="6"/>
      <c r="CX438" s="6"/>
      <c r="CY438" s="7">
        <f>ROUND(6273.30999999999,2)</f>
        <v>6273.31</v>
      </c>
      <c r="CZ438" s="6"/>
      <c r="DA438" s="6"/>
      <c r="DB438" s="6"/>
      <c r="DC438" s="6"/>
      <c r="DD438" s="7">
        <f>ROUND(266.35,2)</f>
        <v>266.35000000000002</v>
      </c>
      <c r="DE438" s="7">
        <f>ROUND(426.79,2)</f>
        <v>426.79</v>
      </c>
      <c r="DF438" s="6"/>
      <c r="DG438" s="6"/>
      <c r="DH438" s="6"/>
      <c r="DI438" s="6"/>
      <c r="DJ438" s="6"/>
      <c r="DK438" s="6"/>
      <c r="DL438" s="6"/>
      <c r="DM438" s="6"/>
      <c r="DN438" s="7">
        <f>ROUND(24358.96,2)</f>
        <v>24358.959999999999</v>
      </c>
      <c r="DO438" s="6"/>
      <c r="DP438" s="7">
        <f>ROUND(2931.49,2)</f>
        <v>2931.49</v>
      </c>
      <c r="DQ438" s="6"/>
      <c r="DR438" s="6"/>
      <c r="DS438" s="6"/>
      <c r="DT438" s="6"/>
      <c r="DU438" s="6"/>
      <c r="DV438" s="6"/>
      <c r="DW438" s="6"/>
      <c r="DX438" s="6"/>
      <c r="DY438" s="7">
        <f>ROUND(10431.1199999999,2)</f>
        <v>10431.120000000001</v>
      </c>
      <c r="DZ438" s="6"/>
      <c r="EA438" s="7">
        <f>ROUND(98.96,2)</f>
        <v>98.96</v>
      </c>
      <c r="EB438" s="6"/>
      <c r="EC438" s="6"/>
      <c r="ED438" s="7">
        <f>ROUND(2476.7,2)</f>
        <v>2476.6999999999998</v>
      </c>
      <c r="EE438" s="6"/>
      <c r="EF438" s="7">
        <f>ROUND(1344.63,2)</f>
        <v>1344.63</v>
      </c>
      <c r="EG438" s="7">
        <f>ROUND(116.48,2)</f>
        <v>116.48</v>
      </c>
      <c r="EH438" s="7">
        <f>ROUND(2496.44,2)</f>
        <v>2496.44</v>
      </c>
      <c r="EI438" s="6"/>
      <c r="EJ438" s="7">
        <f>ROUND(247.88,2)</f>
        <v>247.88</v>
      </c>
      <c r="EK438" s="7">
        <f>ROUND(320.9,2)</f>
        <v>320.89999999999998</v>
      </c>
      <c r="EL438" s="6"/>
      <c r="EM438" s="6"/>
      <c r="EN438" s="7">
        <f>ROUND(256.72,2)</f>
        <v>256.72000000000003</v>
      </c>
      <c r="EO438" s="6"/>
      <c r="EP438" s="6"/>
      <c r="EQ438" s="6"/>
      <c r="ER438" s="6"/>
      <c r="ES438" s="6"/>
      <c r="ET438" s="6"/>
      <c r="EU438" s="6"/>
      <c r="EV438" s="7">
        <f>ROUND(500,2)</f>
        <v>500</v>
      </c>
      <c r="EW438" s="6"/>
      <c r="EX438" s="6"/>
      <c r="EY438" s="6"/>
      <c r="EZ438" s="6"/>
      <c r="FA438" s="6"/>
      <c r="FB438" s="6"/>
      <c r="FC438" s="6"/>
      <c r="FD438" s="7">
        <f>ROUND(3005.84,2)</f>
        <v>3005.84</v>
      </c>
      <c r="FE438" s="6"/>
      <c r="FF438" s="6"/>
      <c r="FG438" s="6"/>
      <c r="FH438" s="6"/>
      <c r="FI438" s="6"/>
      <c r="FJ438" s="7">
        <f>ROUND(1000,2)</f>
        <v>1000</v>
      </c>
      <c r="FK438" s="6"/>
      <c r="FL438" s="6"/>
      <c r="FM438" s="6"/>
      <c r="FN438" s="6"/>
      <c r="FO438" s="6"/>
      <c r="FP438" s="6"/>
      <c r="FQ438" s="6"/>
      <c r="FR438" s="6"/>
      <c r="FS438" s="6"/>
      <c r="FT438" s="7">
        <f>ROUND(3000,2)</f>
        <v>3000</v>
      </c>
      <c r="FU438" s="6"/>
      <c r="FV438" s="6"/>
      <c r="FW438" s="6"/>
      <c r="FX438" s="6"/>
      <c r="FY438" s="7">
        <f>ROUND(83186.4099999999,2)</f>
        <v>83186.41</v>
      </c>
    </row>
    <row r="439" spans="1:181" x14ac:dyDescent="0.3">
      <c r="A439" s="4" t="s">
        <v>1023</v>
      </c>
      <c r="B439" s="5"/>
      <c r="C439" s="5" t="s">
        <v>223</v>
      </c>
      <c r="D439" s="5" t="s">
        <v>621</v>
      </c>
      <c r="E439" s="5" t="s">
        <v>0</v>
      </c>
      <c r="F439" s="5" t="s">
        <v>0</v>
      </c>
      <c r="G439" s="5" t="s">
        <v>1024</v>
      </c>
      <c r="H439" s="8">
        <f>ROUND(1875.49,2)</f>
        <v>1875.49</v>
      </c>
      <c r="I439" s="7">
        <f>ROUND(101812.16,2)</f>
        <v>101812.16</v>
      </c>
      <c r="J439" s="7">
        <f>ROUND(1656,2)</f>
        <v>1656</v>
      </c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7">
        <f>ROUND(-12,2)</f>
        <v>-12</v>
      </c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7">
        <f>ROUND(16,2)</f>
        <v>16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7">
        <f>ROUND(4,2)</f>
        <v>4</v>
      </c>
      <c r="CH439" s="7">
        <f>ROUND(56,2)</f>
        <v>56</v>
      </c>
      <c r="CI439" s="7">
        <f>ROUND(20,2)</f>
        <v>20</v>
      </c>
      <c r="CJ439" s="6"/>
      <c r="CK439" s="6"/>
      <c r="CL439" s="6"/>
      <c r="CM439" s="6"/>
      <c r="CN439" s="7">
        <f>ROUND(140,2)</f>
        <v>140</v>
      </c>
      <c r="CO439" s="6"/>
      <c r="CP439" s="6"/>
      <c r="CQ439" s="7">
        <f>ROUND(1880,2)</f>
        <v>1880</v>
      </c>
      <c r="CR439" s="7">
        <f>ROUND(91934.69,2)</f>
        <v>91934.69</v>
      </c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7">
        <f>ROUND(-562.65,2)</f>
        <v>-562.65</v>
      </c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7">
        <f>ROUND(500,2)</f>
        <v>500</v>
      </c>
      <c r="EX439" s="6"/>
      <c r="EY439" s="6"/>
      <c r="EZ439" s="6"/>
      <c r="FA439" s="6"/>
      <c r="FB439" s="6"/>
      <c r="FC439" s="6"/>
      <c r="FD439" s="6"/>
      <c r="FE439" s="6"/>
      <c r="FF439" s="6"/>
      <c r="FG439" s="7">
        <f>ROUND(750.2,2)</f>
        <v>750.2</v>
      </c>
      <c r="FH439" s="6"/>
      <c r="FI439" s="6"/>
      <c r="FJ439" s="7">
        <f>ROUND(4501.18,2)</f>
        <v>4501.18</v>
      </c>
      <c r="FK439" s="6"/>
      <c r="FL439" s="6"/>
      <c r="FM439" s="7">
        <f>ROUND(187.54,2)</f>
        <v>187.54</v>
      </c>
      <c r="FN439" s="7">
        <f>ROUND(1125.3,2)</f>
        <v>1125.3</v>
      </c>
      <c r="FO439" s="7">
        <f>ROUND(375.1,2)</f>
        <v>375.1</v>
      </c>
      <c r="FP439" s="6"/>
      <c r="FQ439" s="6"/>
      <c r="FR439" s="6"/>
      <c r="FS439" s="6"/>
      <c r="FT439" s="6"/>
      <c r="FU439" s="6"/>
      <c r="FV439" s="7">
        <f>ROUND(3000.8,2)</f>
        <v>3000.8</v>
      </c>
      <c r="FW439" s="6"/>
      <c r="FX439" s="6"/>
      <c r="FY439" s="7">
        <f>ROUND(101812.16,2)</f>
        <v>101812.16</v>
      </c>
    </row>
    <row r="440" spans="1:181" x14ac:dyDescent="0.3">
      <c r="A440" s="4" t="s">
        <v>1025</v>
      </c>
      <c r="B440" s="5" t="s">
        <v>1029</v>
      </c>
      <c r="C440" s="5" t="s">
        <v>181</v>
      </c>
      <c r="D440" s="5" t="s">
        <v>370</v>
      </c>
      <c r="E440" s="5" t="s">
        <v>0</v>
      </c>
      <c r="F440" s="5" t="s">
        <v>0</v>
      </c>
      <c r="G440" s="5" t="s">
        <v>183</v>
      </c>
      <c r="H440" s="8">
        <v>33.380000000000003</v>
      </c>
      <c r="I440" s="7">
        <f>ROUND(97862.52,2)</f>
        <v>97862.52</v>
      </c>
      <c r="J440" s="6"/>
      <c r="K440" s="6"/>
      <c r="L440" s="6"/>
      <c r="M440" s="6"/>
      <c r="N440" s="7">
        <f>ROUND(2022.62999999999,2)</f>
        <v>2022.63</v>
      </c>
      <c r="O440" s="6"/>
      <c r="P440" s="6"/>
      <c r="Q440" s="7">
        <f>ROUND(342.749999999999,2)</f>
        <v>342.75</v>
      </c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7">
        <f>ROUND(62.47,2)</f>
        <v>62.47</v>
      </c>
      <c r="AV440" s="7">
        <f>ROUND(5.53,2)</f>
        <v>5.53</v>
      </c>
      <c r="AW440" s="7">
        <f>ROUND(38.5,2)</f>
        <v>38.5</v>
      </c>
      <c r="AX440" s="7">
        <f>ROUND(1.5,2)</f>
        <v>1.5</v>
      </c>
      <c r="AY440" s="6"/>
      <c r="AZ440" s="6"/>
      <c r="BA440" s="6"/>
      <c r="BB440" s="6"/>
      <c r="BC440" s="6"/>
      <c r="BD440" s="7">
        <f>ROUND(8,2)</f>
        <v>8</v>
      </c>
      <c r="BE440" s="7">
        <f>ROUND(1.67,2)</f>
        <v>1.67</v>
      </c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7">
        <f>ROUND(160,2)</f>
        <v>160</v>
      </c>
      <c r="CQ440" s="7">
        <f>ROUND(2643.05,2)</f>
        <v>2643.05</v>
      </c>
      <c r="CR440" s="6"/>
      <c r="CS440" s="6"/>
      <c r="CT440" s="6"/>
      <c r="CU440" s="6"/>
      <c r="CV440" s="7">
        <f>ROUND(66207.2599999999,2)</f>
        <v>66207.259999999995</v>
      </c>
      <c r="CW440" s="6"/>
      <c r="CX440" s="6"/>
      <c r="CY440" s="7">
        <f>ROUND(16835.21,2)</f>
        <v>16835.21</v>
      </c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7">
        <f>ROUND(2032.71,2)</f>
        <v>2032.71</v>
      </c>
      <c r="EE440" s="7">
        <f>ROUND(274.18,2)</f>
        <v>274.18</v>
      </c>
      <c r="EF440" s="7">
        <f>ROUND(1264.75,2)</f>
        <v>1264.75</v>
      </c>
      <c r="EG440" s="7">
        <f>ROUND(74.36,2)</f>
        <v>74.36</v>
      </c>
      <c r="EH440" s="6"/>
      <c r="EI440" s="6"/>
      <c r="EJ440" s="6"/>
      <c r="EK440" s="6"/>
      <c r="EL440" s="6"/>
      <c r="EM440" s="6"/>
      <c r="EN440" s="7">
        <f>ROUND(256.72,2)</f>
        <v>256.72000000000003</v>
      </c>
      <c r="EO440" s="7">
        <f>ROUND(76.53,2)</f>
        <v>76.53</v>
      </c>
      <c r="EP440" s="6"/>
      <c r="EQ440" s="6"/>
      <c r="ER440" s="6"/>
      <c r="ES440" s="6"/>
      <c r="ET440" s="6"/>
      <c r="EU440" s="6"/>
      <c r="EV440" s="7">
        <f>ROUND(500,2)</f>
        <v>500</v>
      </c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7">
        <f>ROUND(2000,2)</f>
        <v>2000</v>
      </c>
      <c r="FK440" s="6"/>
      <c r="FL440" s="6"/>
      <c r="FM440" s="6"/>
      <c r="FN440" s="6"/>
      <c r="FO440" s="6"/>
      <c r="FP440" s="6"/>
      <c r="FQ440" s="6"/>
      <c r="FR440" s="6"/>
      <c r="FS440" s="6"/>
      <c r="FT440" s="7">
        <f>ROUND(3000,2)</f>
        <v>3000</v>
      </c>
      <c r="FU440" s="6"/>
      <c r="FV440" s="6"/>
      <c r="FW440" s="6"/>
      <c r="FX440" s="7">
        <f>ROUND(5340.8,2)</f>
        <v>5340.8</v>
      </c>
      <c r="FY440" s="7">
        <f>ROUND(97862.52,2)</f>
        <v>97862.52</v>
      </c>
    </row>
    <row r="441" spans="1:181" x14ac:dyDescent="0.3">
      <c r="A441" s="4" t="s">
        <v>1026</v>
      </c>
      <c r="B441" s="5" t="s">
        <v>1029</v>
      </c>
      <c r="C441" s="5" t="s">
        <v>181</v>
      </c>
      <c r="D441" s="5" t="s">
        <v>1027</v>
      </c>
      <c r="E441" s="5" t="s">
        <v>378</v>
      </c>
      <c r="F441" s="5" t="s">
        <v>0</v>
      </c>
      <c r="G441" s="5" t="s">
        <v>183</v>
      </c>
      <c r="H441" s="9">
        <v>29.75</v>
      </c>
      <c r="I441" s="7">
        <f>ROUND(47746.54,2)</f>
        <v>47746.54</v>
      </c>
      <c r="J441" s="6"/>
      <c r="K441" s="6"/>
      <c r="L441" s="6"/>
      <c r="M441" s="6"/>
      <c r="N441" s="7">
        <f>ROUND(1056.68999999999,2)</f>
        <v>1056.69</v>
      </c>
      <c r="O441" s="6"/>
      <c r="P441" s="6"/>
      <c r="Q441" s="7">
        <f>ROUND(34.92,2)</f>
        <v>34.92</v>
      </c>
      <c r="R441" s="6"/>
      <c r="S441" s="6"/>
      <c r="T441" s="6"/>
      <c r="U441" s="6"/>
      <c r="V441" s="7">
        <f>ROUND(50.5999999999999,2)</f>
        <v>50.6</v>
      </c>
      <c r="W441" s="7">
        <f>ROUND(4.33,2)</f>
        <v>4.33</v>
      </c>
      <c r="X441" s="6"/>
      <c r="Y441" s="6"/>
      <c r="Z441" s="6"/>
      <c r="AA441" s="6"/>
      <c r="AB441" s="6"/>
      <c r="AC441" s="6"/>
      <c r="AD441" s="6"/>
      <c r="AE441" s="7">
        <f>ROUND(64.32,2)</f>
        <v>64.319999999999993</v>
      </c>
      <c r="AF441" s="6"/>
      <c r="AG441" s="7">
        <f>ROUND(12.83,2)</f>
        <v>12.83</v>
      </c>
      <c r="AH441" s="6"/>
      <c r="AI441" s="6"/>
      <c r="AJ441" s="6"/>
      <c r="AK441" s="6"/>
      <c r="AL441" s="6"/>
      <c r="AM441" s="6"/>
      <c r="AN441" s="6"/>
      <c r="AO441" s="6"/>
      <c r="AP441" s="7">
        <f>ROUND(201.79,2)</f>
        <v>201.79</v>
      </c>
      <c r="AQ441" s="6"/>
      <c r="AR441" s="7">
        <f>ROUND(51.83,2)</f>
        <v>51.83</v>
      </c>
      <c r="AS441" s="6"/>
      <c r="AT441" s="6"/>
      <c r="AU441" s="7">
        <f>ROUND(33,2)</f>
        <v>33</v>
      </c>
      <c r="AV441" s="6"/>
      <c r="AW441" s="7">
        <f>ROUND(5,2)</f>
        <v>5</v>
      </c>
      <c r="AX441" s="6"/>
      <c r="AY441" s="7">
        <f>ROUND(5,2)</f>
        <v>5</v>
      </c>
      <c r="AZ441" s="6"/>
      <c r="BA441" s="6"/>
      <c r="BB441" s="7">
        <f>ROUND(28,2)</f>
        <v>28</v>
      </c>
      <c r="BC441" s="6"/>
      <c r="BD441" s="7">
        <f>ROUND(8,2)</f>
        <v>8</v>
      </c>
      <c r="BE441" s="6"/>
      <c r="BF441" s="6"/>
      <c r="BG441" s="7">
        <f>ROUND(17.6,2)</f>
        <v>17.600000000000001</v>
      </c>
      <c r="BH441" s="6"/>
      <c r="BI441" s="6"/>
      <c r="BJ441" s="6"/>
      <c r="BK441" s="6"/>
      <c r="BL441" s="6"/>
      <c r="BM441" s="6"/>
      <c r="BN441" s="6"/>
      <c r="BO441" s="6"/>
      <c r="BP441" s="6"/>
      <c r="BQ441" s="7">
        <f>ROUND(16,2)</f>
        <v>16</v>
      </c>
      <c r="BR441" s="6"/>
      <c r="BS441" s="6"/>
      <c r="BT441" s="7">
        <f>ROUND(0.67,2)</f>
        <v>0.67</v>
      </c>
      <c r="BU441" s="6"/>
      <c r="BV441" s="6"/>
      <c r="BW441" s="6"/>
      <c r="BX441" s="6"/>
      <c r="BY441" s="7">
        <f>ROUND(5,2)</f>
        <v>5</v>
      </c>
      <c r="BZ441" s="7">
        <f>ROUND(40,2)</f>
        <v>40</v>
      </c>
      <c r="CA441" s="7">
        <f>ROUND(16,2)</f>
        <v>16</v>
      </c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7">
        <f>ROUND(1651.58,2)</f>
        <v>1651.58</v>
      </c>
      <c r="CR441" s="6"/>
      <c r="CS441" s="6"/>
      <c r="CT441" s="6"/>
      <c r="CU441" s="6"/>
      <c r="CV441" s="7">
        <f>ROUND(29648.52,2)</f>
        <v>29648.52</v>
      </c>
      <c r="CW441" s="6"/>
      <c r="CX441" s="6"/>
      <c r="CY441" s="7">
        <f>ROUND(1559.86,2)</f>
        <v>1559.86</v>
      </c>
      <c r="CZ441" s="6"/>
      <c r="DA441" s="6"/>
      <c r="DB441" s="6"/>
      <c r="DC441" s="6"/>
      <c r="DD441" s="7">
        <f>ROUND(1509.79,2)</f>
        <v>1509.79</v>
      </c>
      <c r="DE441" s="7">
        <f>ROUND(193.23,2)</f>
        <v>193.23</v>
      </c>
      <c r="DF441" s="6"/>
      <c r="DG441" s="6"/>
      <c r="DH441" s="6"/>
      <c r="DI441" s="7">
        <f>ROUND(157.08,2)</f>
        <v>157.08000000000001</v>
      </c>
      <c r="DJ441" s="6"/>
      <c r="DK441" s="6"/>
      <c r="DL441" s="6"/>
      <c r="DM441" s="6"/>
      <c r="DN441" s="7">
        <f>ROUND(1916.2,2)</f>
        <v>1916.2</v>
      </c>
      <c r="DO441" s="6"/>
      <c r="DP441" s="7">
        <f>ROUND(572.79,2)</f>
        <v>572.79</v>
      </c>
      <c r="DQ441" s="6"/>
      <c r="DR441" s="6"/>
      <c r="DS441" s="6"/>
      <c r="DT441" s="6"/>
      <c r="DU441" s="6"/>
      <c r="DV441" s="6"/>
      <c r="DW441" s="6"/>
      <c r="DX441" s="6"/>
      <c r="DY441" s="7">
        <f>ROUND(6024.9,2)</f>
        <v>6024.9</v>
      </c>
      <c r="DZ441" s="6"/>
      <c r="EA441" s="7">
        <f>ROUND(2321.7,2)</f>
        <v>2321.6999999999998</v>
      </c>
      <c r="EB441" s="6"/>
      <c r="EC441" s="6"/>
      <c r="ED441" s="7">
        <f>ROUND(907.95,2)</f>
        <v>907.95</v>
      </c>
      <c r="EE441" s="6"/>
      <c r="EF441" s="7">
        <f>ROUND(140.45,2)</f>
        <v>140.44999999999999</v>
      </c>
      <c r="EG441" s="6"/>
      <c r="EH441" s="7">
        <f>ROUND(148.75,2)</f>
        <v>148.75</v>
      </c>
      <c r="EI441" s="6"/>
      <c r="EJ441" s="6"/>
      <c r="EK441" s="7">
        <f>ROUND(795.95,2)</f>
        <v>795.95</v>
      </c>
      <c r="EL441" s="6"/>
      <c r="EM441" s="6"/>
      <c r="EN441" s="7">
        <f>ROUND(218.24,2)</f>
        <v>218.24</v>
      </c>
      <c r="EO441" s="6"/>
      <c r="EP441" s="6"/>
      <c r="EQ441" s="7">
        <f>ROUND(480.13,2)</f>
        <v>480.13</v>
      </c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7">
        <f>ROUND(476,2)</f>
        <v>476</v>
      </c>
      <c r="FE441" s="6"/>
      <c r="FF441" s="6"/>
      <c r="FG441" s="6"/>
      <c r="FH441" s="6"/>
      <c r="FI441" s="6"/>
      <c r="FJ441" s="7">
        <f>ROUND(675,2)</f>
        <v>675</v>
      </c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7">
        <f>ROUND(47746.54,2)</f>
        <v>47746.54</v>
      </c>
    </row>
  </sheetData>
  <sheetProtection algorithmName="SHA-512" hashValue="6wbI5phg7ZnRVlK7m+KA0ptFgsZ2p2wc8yM21sQxWoZU0avFI8o8lEzNQ2wbuHX6MFGUSUnUfP+WCDaG7wb2yw==" saltValue="o6xGukOzuzzaJGEHJKTFQw==" spinCount="100000" sheet="1" objects="1" scenarios="1"/>
  <pageMargins left="0.25" right="0.25" top="0.75" bottom="0.75" header="0.25" footer="0.2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8A87-65C0-4A1D-A593-813CCE2461F9}">
  <dimension ref="A1:I441"/>
  <sheetViews>
    <sheetView tabSelected="1" topLeftCell="A298" workbookViewId="0">
      <selection activeCell="G302" sqref="A1:XFD1048576"/>
    </sheetView>
  </sheetViews>
  <sheetFormatPr defaultRowHeight="14.4" x14ac:dyDescent="0.3"/>
  <cols>
    <col min="2" max="2" width="5.77734375" bestFit="1" customWidth="1"/>
    <col min="3" max="3" width="8.77734375" bestFit="1" customWidth="1"/>
    <col min="4" max="4" width="8.33203125" bestFit="1" customWidth="1"/>
    <col min="8" max="8" width="8.109375" bestFit="1" customWidth="1"/>
  </cols>
  <sheetData>
    <row r="1" spans="1:9" ht="52.8" x14ac:dyDescent="0.3">
      <c r="A1" s="1" t="s">
        <v>1</v>
      </c>
      <c r="B1" s="2" t="s">
        <v>1028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1030</v>
      </c>
      <c r="I1" s="3" t="s">
        <v>7</v>
      </c>
    </row>
    <row r="2" spans="1:9" ht="39.6" x14ac:dyDescent="0.3">
      <c r="A2" s="4" t="s">
        <v>180</v>
      </c>
      <c r="B2" s="5" t="s">
        <v>1029</v>
      </c>
      <c r="C2" s="5" t="s">
        <v>181</v>
      </c>
      <c r="D2" s="5" t="s">
        <v>182</v>
      </c>
      <c r="E2" s="5" t="s">
        <v>0</v>
      </c>
      <c r="F2" s="5" t="s">
        <v>0</v>
      </c>
      <c r="G2" s="5" t="s">
        <v>183</v>
      </c>
      <c r="H2" s="9">
        <v>31.71</v>
      </c>
      <c r="I2" s="7">
        <f>ROUND(71330.76,2)</f>
        <v>71330.759999999995</v>
      </c>
    </row>
    <row r="3" spans="1:9" ht="39.6" x14ac:dyDescent="0.3">
      <c r="A3" s="4" t="s">
        <v>184</v>
      </c>
      <c r="B3" s="5" t="s">
        <v>1029</v>
      </c>
      <c r="C3" s="5" t="s">
        <v>181</v>
      </c>
      <c r="D3" s="5" t="s">
        <v>185</v>
      </c>
      <c r="E3" s="5" t="s">
        <v>0</v>
      </c>
      <c r="F3" s="5" t="s">
        <v>186</v>
      </c>
      <c r="G3" s="5" t="s">
        <v>183</v>
      </c>
      <c r="H3" s="8">
        <v>34.04</v>
      </c>
      <c r="I3" s="7">
        <f>ROUND(130784.599999999,2)</f>
        <v>130784.6</v>
      </c>
    </row>
    <row r="4" spans="1:9" ht="39.6" x14ac:dyDescent="0.3">
      <c r="A4" s="4" t="s">
        <v>187</v>
      </c>
      <c r="B4" s="5" t="s">
        <v>1029</v>
      </c>
      <c r="C4" s="5" t="s">
        <v>181</v>
      </c>
      <c r="D4" s="5" t="s">
        <v>188</v>
      </c>
      <c r="E4" s="5" t="s">
        <v>0</v>
      </c>
      <c r="F4" s="5" t="s">
        <v>0</v>
      </c>
      <c r="G4" s="5" t="s">
        <v>183</v>
      </c>
      <c r="H4" s="8">
        <v>33.380000000000003</v>
      </c>
      <c r="I4" s="7">
        <f>ROUND(75289.7899999999,2)</f>
        <v>75289.789999999994</v>
      </c>
    </row>
    <row r="5" spans="1:9" ht="39.6" x14ac:dyDescent="0.3">
      <c r="A5" s="4" t="s">
        <v>189</v>
      </c>
      <c r="B5" s="5" t="s">
        <v>1029</v>
      </c>
      <c r="C5" s="5" t="s">
        <v>181</v>
      </c>
      <c r="D5" s="5" t="s">
        <v>190</v>
      </c>
      <c r="E5" s="5" t="s">
        <v>0</v>
      </c>
      <c r="F5" s="5" t="s">
        <v>0</v>
      </c>
      <c r="G5" s="5" t="s">
        <v>183</v>
      </c>
      <c r="H5" s="8">
        <v>33.71</v>
      </c>
      <c r="I5" s="7">
        <f>ROUND(58348.4799999999,2)</f>
        <v>58348.480000000003</v>
      </c>
    </row>
    <row r="6" spans="1:9" ht="39.6" x14ac:dyDescent="0.3">
      <c r="A6" s="4" t="s">
        <v>191</v>
      </c>
      <c r="B6" s="5" t="s">
        <v>1029</v>
      </c>
      <c r="C6" s="5" t="s">
        <v>181</v>
      </c>
      <c r="D6" s="5" t="s">
        <v>192</v>
      </c>
      <c r="E6" s="5" t="s">
        <v>0</v>
      </c>
      <c r="F6" s="5" t="s">
        <v>0</v>
      </c>
      <c r="G6" s="5" t="s">
        <v>183</v>
      </c>
      <c r="H6" s="8">
        <v>33.380000000000003</v>
      </c>
      <c r="I6" s="7">
        <f>ROUND(91030.76,2)</f>
        <v>91030.76</v>
      </c>
    </row>
    <row r="7" spans="1:9" ht="39.6" x14ac:dyDescent="0.3">
      <c r="A7" s="4" t="s">
        <v>193</v>
      </c>
      <c r="B7" s="5" t="s">
        <v>1029</v>
      </c>
      <c r="C7" s="5" t="s">
        <v>181</v>
      </c>
      <c r="D7" s="5" t="s">
        <v>194</v>
      </c>
      <c r="E7" s="5" t="s">
        <v>0</v>
      </c>
      <c r="F7" s="5" t="s">
        <v>0</v>
      </c>
      <c r="G7" s="5" t="s">
        <v>183</v>
      </c>
      <c r="H7" s="8">
        <v>33.380000000000003</v>
      </c>
      <c r="I7" s="7">
        <f>ROUND(48108.1999999999,2)</f>
        <v>48108.2</v>
      </c>
    </row>
    <row r="8" spans="1:9" ht="39.6" x14ac:dyDescent="0.3">
      <c r="A8" s="4" t="s">
        <v>195</v>
      </c>
      <c r="B8" s="5" t="s">
        <v>1029</v>
      </c>
      <c r="C8" s="5" t="s">
        <v>181</v>
      </c>
      <c r="D8" s="5" t="s">
        <v>196</v>
      </c>
      <c r="E8" s="5" t="s">
        <v>0</v>
      </c>
      <c r="F8" s="5" t="s">
        <v>0</v>
      </c>
      <c r="G8" s="5" t="s">
        <v>183</v>
      </c>
      <c r="H8" s="8">
        <v>33.380000000000003</v>
      </c>
      <c r="I8" s="7">
        <f>ROUND(101530.15,2)</f>
        <v>101530.15</v>
      </c>
    </row>
    <row r="9" spans="1:9" ht="39.6" x14ac:dyDescent="0.3">
      <c r="A9" s="4" t="s">
        <v>197</v>
      </c>
      <c r="B9" s="5" t="s">
        <v>1029</v>
      </c>
      <c r="C9" s="5" t="s">
        <v>181</v>
      </c>
      <c r="D9" s="5" t="s">
        <v>198</v>
      </c>
      <c r="E9" s="5" t="s">
        <v>199</v>
      </c>
      <c r="F9" s="5" t="s">
        <v>0</v>
      </c>
      <c r="G9" s="5" t="s">
        <v>183</v>
      </c>
      <c r="H9" s="8">
        <v>33.880000000000003</v>
      </c>
      <c r="I9" s="7">
        <f>ROUND(103342.519999999,2)</f>
        <v>103342.52</v>
      </c>
    </row>
    <row r="10" spans="1:9" ht="52.8" x14ac:dyDescent="0.3">
      <c r="A10" s="4" t="s">
        <v>200</v>
      </c>
      <c r="B10" s="5"/>
      <c r="C10" s="5" t="s">
        <v>201</v>
      </c>
      <c r="D10" s="5" t="s">
        <v>202</v>
      </c>
      <c r="E10" s="5" t="s">
        <v>0</v>
      </c>
      <c r="F10" s="5" t="s">
        <v>0</v>
      </c>
      <c r="G10" s="5" t="s">
        <v>203</v>
      </c>
      <c r="H10" s="8">
        <f>ROUND(18,2)</f>
        <v>18</v>
      </c>
      <c r="I10" s="7">
        <f>ROUND(9204.75,2)</f>
        <v>9204.75</v>
      </c>
    </row>
    <row r="11" spans="1:9" ht="39.6" x14ac:dyDescent="0.3">
      <c r="A11" s="4" t="s">
        <v>204</v>
      </c>
      <c r="B11" s="5" t="s">
        <v>1029</v>
      </c>
      <c r="C11" s="5" t="s">
        <v>181</v>
      </c>
      <c r="D11" s="5" t="s">
        <v>196</v>
      </c>
      <c r="E11" s="5" t="s">
        <v>0</v>
      </c>
      <c r="F11" s="5" t="s">
        <v>0</v>
      </c>
      <c r="G11" s="5" t="s">
        <v>183</v>
      </c>
      <c r="H11" s="8">
        <v>33.380000000000003</v>
      </c>
      <c r="I11" s="7">
        <f>ROUND(92041.88,2)</f>
        <v>92041.88</v>
      </c>
    </row>
    <row r="12" spans="1:9" ht="39.6" x14ac:dyDescent="0.3">
      <c r="A12" s="4" t="s">
        <v>205</v>
      </c>
      <c r="B12" s="5" t="s">
        <v>1029</v>
      </c>
      <c r="C12" s="5" t="s">
        <v>181</v>
      </c>
      <c r="D12" s="5" t="s">
        <v>206</v>
      </c>
      <c r="E12" s="5" t="s">
        <v>0</v>
      </c>
      <c r="F12" s="5" t="s">
        <v>0</v>
      </c>
      <c r="G12" s="5" t="s">
        <v>183</v>
      </c>
      <c r="H12" s="8">
        <v>33.380000000000003</v>
      </c>
      <c r="I12" s="7">
        <f>ROUND(96142.4999999999,2)</f>
        <v>96142.5</v>
      </c>
    </row>
    <row r="13" spans="1:9" ht="39.6" x14ac:dyDescent="0.3">
      <c r="A13" s="4" t="s">
        <v>207</v>
      </c>
      <c r="B13" s="5" t="s">
        <v>1029</v>
      </c>
      <c r="C13" s="5" t="s">
        <v>181</v>
      </c>
      <c r="D13" s="5" t="s">
        <v>196</v>
      </c>
      <c r="E13" s="5" t="s">
        <v>0</v>
      </c>
      <c r="F13" s="5" t="s">
        <v>0</v>
      </c>
      <c r="G13" s="5" t="s">
        <v>183</v>
      </c>
      <c r="H13" s="8">
        <v>33.380000000000003</v>
      </c>
      <c r="I13" s="7">
        <f>ROUND(80614.18,2)</f>
        <v>80614.179999999993</v>
      </c>
    </row>
    <row r="14" spans="1:9" ht="39.6" x14ac:dyDescent="0.3">
      <c r="A14" s="4" t="s">
        <v>208</v>
      </c>
      <c r="B14" s="5" t="s">
        <v>1029</v>
      </c>
      <c r="C14" s="5" t="s">
        <v>181</v>
      </c>
      <c r="D14" s="5" t="s">
        <v>209</v>
      </c>
      <c r="E14" s="5" t="s">
        <v>210</v>
      </c>
      <c r="F14" s="5" t="s">
        <v>0</v>
      </c>
      <c r="G14" s="5" t="s">
        <v>183</v>
      </c>
      <c r="H14" s="8">
        <v>33.04</v>
      </c>
      <c r="I14" s="7">
        <f>ROUND(53641.4799999999,2)</f>
        <v>53641.48</v>
      </c>
    </row>
    <row r="15" spans="1:9" ht="39.6" x14ac:dyDescent="0.3">
      <c r="A15" s="4" t="s">
        <v>211</v>
      </c>
      <c r="B15" s="5" t="s">
        <v>1029</v>
      </c>
      <c r="C15" s="5" t="s">
        <v>181</v>
      </c>
      <c r="D15" s="5" t="s">
        <v>212</v>
      </c>
      <c r="E15" s="5" t="s">
        <v>213</v>
      </c>
      <c r="F15" s="5" t="s">
        <v>0</v>
      </c>
      <c r="G15" s="5" t="s">
        <v>183</v>
      </c>
      <c r="H15" s="8">
        <v>33.380000000000003</v>
      </c>
      <c r="I15" s="7">
        <f>ROUND(60226.27,2)</f>
        <v>60226.27</v>
      </c>
    </row>
    <row r="16" spans="1:9" ht="39.6" x14ac:dyDescent="0.3">
      <c r="A16" s="4" t="s">
        <v>214</v>
      </c>
      <c r="B16" s="5" t="s">
        <v>1029</v>
      </c>
      <c r="C16" s="5" t="s">
        <v>181</v>
      </c>
      <c r="D16" s="5" t="s">
        <v>215</v>
      </c>
      <c r="E16" s="5" t="s">
        <v>0</v>
      </c>
      <c r="F16" s="5" t="s">
        <v>0</v>
      </c>
      <c r="G16" s="5" t="s">
        <v>183</v>
      </c>
      <c r="H16" s="8">
        <v>33.380000000000003</v>
      </c>
      <c r="I16" s="7">
        <f>ROUND(103606.89,2)</f>
        <v>103606.89</v>
      </c>
    </row>
    <row r="17" spans="1:9" ht="39.6" x14ac:dyDescent="0.3">
      <c r="A17" s="4" t="s">
        <v>216</v>
      </c>
      <c r="B17" s="5" t="s">
        <v>1029</v>
      </c>
      <c r="C17" s="5" t="s">
        <v>181</v>
      </c>
      <c r="D17" s="5" t="s">
        <v>217</v>
      </c>
      <c r="E17" s="5" t="s">
        <v>0</v>
      </c>
      <c r="F17" s="5" t="s">
        <v>0</v>
      </c>
      <c r="G17" s="5" t="s">
        <v>183</v>
      </c>
      <c r="H17" s="8">
        <v>33.380000000000003</v>
      </c>
      <c r="I17" s="7">
        <f>ROUND(58659.4899999999,2)</f>
        <v>58659.49</v>
      </c>
    </row>
    <row r="18" spans="1:9" ht="39.6" x14ac:dyDescent="0.3">
      <c r="A18" s="4" t="s">
        <v>218</v>
      </c>
      <c r="B18" s="5" t="s">
        <v>1029</v>
      </c>
      <c r="C18" s="5" t="s">
        <v>181</v>
      </c>
      <c r="D18" s="5" t="s">
        <v>219</v>
      </c>
      <c r="E18" s="5" t="s">
        <v>0</v>
      </c>
      <c r="F18" s="5" t="s">
        <v>0</v>
      </c>
      <c r="G18" s="5" t="s">
        <v>183</v>
      </c>
      <c r="H18" s="8">
        <v>33.380000000000003</v>
      </c>
      <c r="I18" s="7">
        <f>ROUND(102455.97,2)</f>
        <v>102455.97</v>
      </c>
    </row>
    <row r="19" spans="1:9" ht="39.6" x14ac:dyDescent="0.3">
      <c r="A19" s="4" t="s">
        <v>220</v>
      </c>
      <c r="B19" s="5" t="s">
        <v>1029</v>
      </c>
      <c r="C19" s="5" t="s">
        <v>181</v>
      </c>
      <c r="D19" s="5" t="s">
        <v>221</v>
      </c>
      <c r="E19" s="5" t="s">
        <v>0</v>
      </c>
      <c r="F19" s="5" t="s">
        <v>0</v>
      </c>
      <c r="G19" s="5" t="s">
        <v>183</v>
      </c>
      <c r="H19" s="8">
        <v>34.04</v>
      </c>
      <c r="I19" s="7">
        <f>ROUND(75049.6399999999,2)</f>
        <v>75049.64</v>
      </c>
    </row>
    <row r="20" spans="1:9" ht="52.8" x14ac:dyDescent="0.3">
      <c r="A20" s="4" t="s">
        <v>222</v>
      </c>
      <c r="B20" s="5"/>
      <c r="C20" s="5" t="s">
        <v>223</v>
      </c>
      <c r="D20" s="5" t="s">
        <v>224</v>
      </c>
      <c r="E20" s="5" t="s">
        <v>225</v>
      </c>
      <c r="F20" s="5" t="s">
        <v>0</v>
      </c>
      <c r="G20" s="5" t="s">
        <v>226</v>
      </c>
      <c r="H20" s="8">
        <f>ROUND(17.23,2)</f>
        <v>17.23</v>
      </c>
      <c r="I20" s="7">
        <f>ROUND(13921.86,2)</f>
        <v>13921.86</v>
      </c>
    </row>
    <row r="21" spans="1:9" ht="39.6" x14ac:dyDescent="0.3">
      <c r="A21" s="4" t="s">
        <v>227</v>
      </c>
      <c r="B21" s="5" t="s">
        <v>1029</v>
      </c>
      <c r="C21" s="5" t="s">
        <v>181</v>
      </c>
      <c r="D21" s="5" t="s">
        <v>194</v>
      </c>
      <c r="E21" s="5" t="s">
        <v>0</v>
      </c>
      <c r="F21" s="5" t="s">
        <v>0</v>
      </c>
      <c r="G21" s="5" t="s">
        <v>183</v>
      </c>
      <c r="H21" s="8">
        <v>33.380000000000003</v>
      </c>
      <c r="I21" s="7">
        <f>ROUND(79419.48,2)</f>
        <v>79419.48</v>
      </c>
    </row>
    <row r="22" spans="1:9" ht="39.6" x14ac:dyDescent="0.3">
      <c r="A22" s="4" t="s">
        <v>228</v>
      </c>
      <c r="B22" s="5" t="s">
        <v>1029</v>
      </c>
      <c r="C22" s="5" t="s">
        <v>181</v>
      </c>
      <c r="D22" s="5" t="s">
        <v>229</v>
      </c>
      <c r="E22" s="5" t="s">
        <v>230</v>
      </c>
      <c r="F22" s="5" t="s">
        <v>0</v>
      </c>
      <c r="G22" s="5" t="s">
        <v>183</v>
      </c>
      <c r="H22" s="8">
        <v>34.04</v>
      </c>
      <c r="I22" s="7">
        <f>ROUND(78706.59,2)</f>
        <v>78706.59</v>
      </c>
    </row>
    <row r="23" spans="1:9" ht="39.6" x14ac:dyDescent="0.3">
      <c r="A23" s="4" t="s">
        <v>231</v>
      </c>
      <c r="B23" s="5" t="s">
        <v>1029</v>
      </c>
      <c r="C23" s="5" t="s">
        <v>181</v>
      </c>
      <c r="D23" s="5" t="s">
        <v>232</v>
      </c>
      <c r="E23" s="5" t="s">
        <v>0</v>
      </c>
      <c r="F23" s="5" t="s">
        <v>0</v>
      </c>
      <c r="G23" s="5" t="s">
        <v>183</v>
      </c>
      <c r="H23" s="8">
        <v>33.71</v>
      </c>
      <c r="I23" s="7">
        <f>ROUND(81446.07,2)</f>
        <v>81446.070000000007</v>
      </c>
    </row>
    <row r="24" spans="1:9" ht="39.6" x14ac:dyDescent="0.3">
      <c r="A24" s="4" t="s">
        <v>233</v>
      </c>
      <c r="B24" s="5" t="s">
        <v>1029</v>
      </c>
      <c r="C24" s="5" t="s">
        <v>181</v>
      </c>
      <c r="D24" s="5" t="s">
        <v>234</v>
      </c>
      <c r="E24" s="5" t="s">
        <v>0</v>
      </c>
      <c r="F24" s="5" t="s">
        <v>0</v>
      </c>
      <c r="G24" s="5" t="s">
        <v>183</v>
      </c>
      <c r="H24" s="8">
        <v>33.380000000000003</v>
      </c>
      <c r="I24" s="7">
        <f>ROUND(77737.5999999999,2)</f>
        <v>77737.600000000006</v>
      </c>
    </row>
    <row r="25" spans="1:9" ht="39.6" x14ac:dyDescent="0.3">
      <c r="A25" s="4" t="s">
        <v>235</v>
      </c>
      <c r="B25" s="5" t="s">
        <v>1029</v>
      </c>
      <c r="C25" s="5" t="s">
        <v>236</v>
      </c>
      <c r="D25" s="5" t="s">
        <v>237</v>
      </c>
      <c r="E25" s="5" t="s">
        <v>0</v>
      </c>
      <c r="F25" s="5" t="s">
        <v>0</v>
      </c>
      <c r="G25" s="5" t="s">
        <v>238</v>
      </c>
      <c r="H25" s="8">
        <v>38.5</v>
      </c>
      <c r="I25" s="7">
        <f>ROUND(83354,2)</f>
        <v>83354</v>
      </c>
    </row>
    <row r="26" spans="1:9" ht="39.6" x14ac:dyDescent="0.3">
      <c r="A26" s="4" t="s">
        <v>239</v>
      </c>
      <c r="B26" s="5" t="s">
        <v>1029</v>
      </c>
      <c r="C26" s="5" t="s">
        <v>181</v>
      </c>
      <c r="D26" s="5" t="s">
        <v>240</v>
      </c>
      <c r="E26" s="5" t="s">
        <v>0</v>
      </c>
      <c r="F26" s="5" t="s">
        <v>0</v>
      </c>
      <c r="G26" s="5" t="s">
        <v>183</v>
      </c>
      <c r="H26" s="8">
        <v>33.71</v>
      </c>
      <c r="I26" s="7">
        <f>ROUND(73203.9599999999,2)</f>
        <v>73203.960000000006</v>
      </c>
    </row>
    <row r="27" spans="1:9" ht="39.6" x14ac:dyDescent="0.3">
      <c r="A27" s="4" t="s">
        <v>241</v>
      </c>
      <c r="B27" s="5" t="s">
        <v>1029</v>
      </c>
      <c r="C27" s="5" t="s">
        <v>181</v>
      </c>
      <c r="D27" s="5" t="s">
        <v>242</v>
      </c>
      <c r="E27" s="5" t="s">
        <v>0</v>
      </c>
      <c r="F27" s="5" t="s">
        <v>0</v>
      </c>
      <c r="G27" s="5" t="s">
        <v>183</v>
      </c>
      <c r="H27" s="8">
        <v>34.04</v>
      </c>
      <c r="I27" s="7">
        <f>ROUND(61684.1599999999,2)</f>
        <v>61684.160000000003</v>
      </c>
    </row>
    <row r="28" spans="1:9" ht="66" x14ac:dyDescent="0.3">
      <c r="A28" s="4" t="s">
        <v>243</v>
      </c>
      <c r="B28" s="5"/>
      <c r="C28" s="5" t="s">
        <v>244</v>
      </c>
      <c r="D28" s="5" t="s">
        <v>245</v>
      </c>
      <c r="E28" s="5" t="s">
        <v>246</v>
      </c>
      <c r="F28" s="5" t="s">
        <v>0</v>
      </c>
      <c r="G28" s="5" t="s">
        <v>247</v>
      </c>
      <c r="H28" s="8">
        <f>ROUND(18,2)</f>
        <v>18</v>
      </c>
      <c r="I28" s="7">
        <f>ROUND(5337,2)</f>
        <v>5337</v>
      </c>
    </row>
    <row r="29" spans="1:9" ht="39.6" x14ac:dyDescent="0.3">
      <c r="A29" s="4" t="s">
        <v>248</v>
      </c>
      <c r="B29" s="5" t="s">
        <v>1029</v>
      </c>
      <c r="C29" s="5" t="s">
        <v>181</v>
      </c>
      <c r="D29" s="5" t="s">
        <v>249</v>
      </c>
      <c r="E29" s="5" t="s">
        <v>0</v>
      </c>
      <c r="F29" s="5" t="s">
        <v>0</v>
      </c>
      <c r="G29" s="5" t="s">
        <v>183</v>
      </c>
      <c r="H29" s="8">
        <v>33.380000000000003</v>
      </c>
      <c r="I29" s="7">
        <f>ROUND(83958.32,2)</f>
        <v>83958.32</v>
      </c>
    </row>
    <row r="30" spans="1:9" ht="92.4" x14ac:dyDescent="0.3">
      <c r="A30" s="4" t="s">
        <v>250</v>
      </c>
      <c r="B30" s="5"/>
      <c r="C30" s="5" t="s">
        <v>236</v>
      </c>
      <c r="D30" s="5" t="s">
        <v>251</v>
      </c>
      <c r="E30" s="5" t="s">
        <v>0</v>
      </c>
      <c r="F30" s="5" t="s">
        <v>0</v>
      </c>
      <c r="G30" s="5" t="s">
        <v>252</v>
      </c>
      <c r="H30" s="8">
        <f>ROUND(1208.27,2)</f>
        <v>1208.27</v>
      </c>
      <c r="I30" s="7">
        <f>ROUND(92438.16,2)</f>
        <v>92438.16</v>
      </c>
    </row>
    <row r="31" spans="1:9" ht="39.6" x14ac:dyDescent="0.3">
      <c r="A31" s="4" t="s">
        <v>253</v>
      </c>
      <c r="B31" s="5" t="s">
        <v>1029</v>
      </c>
      <c r="C31" s="5" t="s">
        <v>181</v>
      </c>
      <c r="D31" s="5" t="s">
        <v>254</v>
      </c>
      <c r="E31" s="5" t="s">
        <v>255</v>
      </c>
      <c r="F31" s="5" t="s">
        <v>0</v>
      </c>
      <c r="G31" s="5" t="s">
        <v>183</v>
      </c>
      <c r="H31" s="9">
        <v>29.75</v>
      </c>
      <c r="I31" s="7">
        <f>ROUND(34629.69,2)</f>
        <v>34629.69</v>
      </c>
    </row>
    <row r="32" spans="1:9" ht="39.6" x14ac:dyDescent="0.3">
      <c r="A32" s="4" t="s">
        <v>256</v>
      </c>
      <c r="B32" s="5" t="s">
        <v>1029</v>
      </c>
      <c r="C32" s="5" t="s">
        <v>181</v>
      </c>
      <c r="D32" s="5" t="s">
        <v>257</v>
      </c>
      <c r="E32" s="5" t="s">
        <v>0</v>
      </c>
      <c r="F32" s="5" t="s">
        <v>0</v>
      </c>
      <c r="G32" s="5" t="s">
        <v>183</v>
      </c>
      <c r="H32" s="8">
        <v>33.880000000000003</v>
      </c>
      <c r="I32" s="7">
        <f>ROUND(92192.27,2)</f>
        <v>92192.27</v>
      </c>
    </row>
    <row r="33" spans="1:9" ht="66" x14ac:dyDescent="0.3">
      <c r="A33" s="4" t="s">
        <v>258</v>
      </c>
      <c r="B33" s="5"/>
      <c r="C33" s="5" t="s">
        <v>244</v>
      </c>
      <c r="D33" s="5" t="s">
        <v>259</v>
      </c>
      <c r="E33" s="5" t="s">
        <v>0</v>
      </c>
      <c r="F33" s="5" t="s">
        <v>0</v>
      </c>
      <c r="G33" s="5" t="s">
        <v>247</v>
      </c>
      <c r="H33" s="8">
        <f>ROUND(20.2601,2)</f>
        <v>20.260000000000002</v>
      </c>
      <c r="I33" s="7">
        <f>ROUND(50321.93,2)</f>
        <v>50321.93</v>
      </c>
    </row>
    <row r="34" spans="1:9" ht="39.6" x14ac:dyDescent="0.3">
      <c r="A34" s="4" t="s">
        <v>260</v>
      </c>
      <c r="B34" s="5" t="s">
        <v>1029</v>
      </c>
      <c r="C34" s="5" t="s">
        <v>181</v>
      </c>
      <c r="D34" s="5" t="s">
        <v>261</v>
      </c>
      <c r="E34" s="5" t="s">
        <v>0</v>
      </c>
      <c r="F34" s="5" t="s">
        <v>0</v>
      </c>
      <c r="G34" s="5" t="s">
        <v>183</v>
      </c>
      <c r="H34" s="8">
        <v>33.380000000000003</v>
      </c>
      <c r="I34" s="7">
        <f>ROUND(108285.169999999,2)</f>
        <v>108285.17</v>
      </c>
    </row>
    <row r="35" spans="1:9" ht="52.8" x14ac:dyDescent="0.3">
      <c r="A35" s="4" t="s">
        <v>262</v>
      </c>
      <c r="B35" s="5"/>
      <c r="C35" s="5" t="s">
        <v>201</v>
      </c>
      <c r="D35" s="5" t="s">
        <v>263</v>
      </c>
      <c r="E35" s="5" t="s">
        <v>264</v>
      </c>
      <c r="F35" s="5" t="s">
        <v>0</v>
      </c>
      <c r="G35" s="5" t="s">
        <v>265</v>
      </c>
      <c r="H35" s="8">
        <f>ROUND(18.54,2)</f>
        <v>18.54</v>
      </c>
      <c r="I35" s="7">
        <f>ROUND(2303.6,2)</f>
        <v>2303.6</v>
      </c>
    </row>
    <row r="36" spans="1:9" ht="52.8" x14ac:dyDescent="0.3">
      <c r="A36" s="4" t="s">
        <v>266</v>
      </c>
      <c r="B36" s="5" t="s">
        <v>1029</v>
      </c>
      <c r="C36" s="5" t="s">
        <v>181</v>
      </c>
      <c r="D36" s="5" t="s">
        <v>267</v>
      </c>
      <c r="E36" s="5" t="s">
        <v>0</v>
      </c>
      <c r="F36" s="5" t="s">
        <v>268</v>
      </c>
      <c r="G36" s="5" t="s">
        <v>183</v>
      </c>
      <c r="H36" s="9">
        <v>28.37</v>
      </c>
      <c r="I36" s="7">
        <f>ROUND(31189.9199999999,2)</f>
        <v>31189.919999999998</v>
      </c>
    </row>
    <row r="37" spans="1:9" ht="66" x14ac:dyDescent="0.3">
      <c r="A37" s="4" t="s">
        <v>269</v>
      </c>
      <c r="B37" s="5"/>
      <c r="C37" s="5" t="s">
        <v>270</v>
      </c>
      <c r="D37" s="5" t="s">
        <v>271</v>
      </c>
      <c r="E37" s="5" t="s">
        <v>0</v>
      </c>
      <c r="F37" s="5" t="s">
        <v>0</v>
      </c>
      <c r="G37" s="5" t="s">
        <v>272</v>
      </c>
      <c r="H37" s="8">
        <f>ROUND(1386.93,2)</f>
        <v>1386.93</v>
      </c>
      <c r="I37" s="7">
        <f>ROUND(76835.9299999999,2)</f>
        <v>76835.929999999993</v>
      </c>
    </row>
    <row r="38" spans="1:9" ht="39.6" x14ac:dyDescent="0.3">
      <c r="A38" s="4" t="s">
        <v>273</v>
      </c>
      <c r="B38" s="5" t="s">
        <v>1029</v>
      </c>
      <c r="C38" s="5" t="s">
        <v>181</v>
      </c>
      <c r="D38" s="5" t="s">
        <v>274</v>
      </c>
      <c r="E38" s="5" t="s">
        <v>0</v>
      </c>
      <c r="F38" s="5" t="s">
        <v>0</v>
      </c>
      <c r="G38" s="5" t="s">
        <v>183</v>
      </c>
      <c r="H38" s="8">
        <v>34.04</v>
      </c>
      <c r="I38" s="7">
        <f>ROUND(87069.2299999999,2)</f>
        <v>87069.23</v>
      </c>
    </row>
    <row r="39" spans="1:9" ht="39.6" x14ac:dyDescent="0.3">
      <c r="A39" s="4" t="s">
        <v>275</v>
      </c>
      <c r="B39" s="5" t="s">
        <v>1029</v>
      </c>
      <c r="C39" s="5" t="s">
        <v>181</v>
      </c>
      <c r="D39" s="5" t="s">
        <v>276</v>
      </c>
      <c r="E39" s="5" t="s">
        <v>0</v>
      </c>
      <c r="F39" s="5" t="s">
        <v>0</v>
      </c>
      <c r="G39" s="5" t="s">
        <v>183</v>
      </c>
      <c r="H39" s="8">
        <v>33.380000000000003</v>
      </c>
      <c r="I39" s="7">
        <f>ROUND(82827.6899999999,2)</f>
        <v>82827.69</v>
      </c>
    </row>
    <row r="40" spans="1:9" ht="39.6" x14ac:dyDescent="0.3">
      <c r="A40" s="4" t="s">
        <v>277</v>
      </c>
      <c r="B40" s="5" t="s">
        <v>1029</v>
      </c>
      <c r="C40" s="5" t="s">
        <v>181</v>
      </c>
      <c r="D40" s="5" t="s">
        <v>278</v>
      </c>
      <c r="E40" s="5" t="s">
        <v>0</v>
      </c>
      <c r="F40" s="5" t="s">
        <v>0</v>
      </c>
      <c r="G40" s="5" t="s">
        <v>183</v>
      </c>
      <c r="H40" s="9">
        <v>26.7</v>
      </c>
      <c r="I40" s="7">
        <f>ROUND(17939.19,2)</f>
        <v>17939.189999999999</v>
      </c>
    </row>
    <row r="41" spans="1:9" ht="39.6" x14ac:dyDescent="0.3">
      <c r="A41" s="4" t="s">
        <v>279</v>
      </c>
      <c r="B41" s="5" t="s">
        <v>1029</v>
      </c>
      <c r="C41" s="5" t="s">
        <v>181</v>
      </c>
      <c r="D41" s="5" t="s">
        <v>257</v>
      </c>
      <c r="E41" s="5" t="s">
        <v>0</v>
      </c>
      <c r="F41" s="5" t="s">
        <v>0</v>
      </c>
      <c r="G41" s="5" t="s">
        <v>183</v>
      </c>
      <c r="H41" s="8">
        <v>33.880000000000003</v>
      </c>
      <c r="I41" s="7">
        <f>ROUND(88291.61,2)</f>
        <v>88291.61</v>
      </c>
    </row>
    <row r="42" spans="1:9" ht="66" x14ac:dyDescent="0.3">
      <c r="A42" s="4" t="s">
        <v>280</v>
      </c>
      <c r="B42" s="5"/>
      <c r="C42" s="5" t="s">
        <v>281</v>
      </c>
      <c r="D42" s="5" t="s">
        <v>282</v>
      </c>
      <c r="E42" s="5" t="s">
        <v>0</v>
      </c>
      <c r="F42" s="5" t="s">
        <v>0</v>
      </c>
      <c r="G42" s="5" t="s">
        <v>283</v>
      </c>
      <c r="H42" s="8">
        <f>ROUND(3183,2)</f>
        <v>3183</v>
      </c>
      <c r="I42" s="7">
        <f>ROUND(186339.76,2)</f>
        <v>186339.76</v>
      </c>
    </row>
    <row r="43" spans="1:9" ht="39.6" x14ac:dyDescent="0.3">
      <c r="A43" s="4" t="s">
        <v>284</v>
      </c>
      <c r="B43" s="5"/>
      <c r="C43" s="5" t="s">
        <v>285</v>
      </c>
      <c r="D43" s="5" t="s">
        <v>286</v>
      </c>
      <c r="E43" s="5" t="s">
        <v>0</v>
      </c>
      <c r="F43" s="5" t="s">
        <v>0</v>
      </c>
      <c r="G43" s="5" t="s">
        <v>287</v>
      </c>
      <c r="H43" s="8">
        <f>ROUND(26.2547,2)</f>
        <v>26.25</v>
      </c>
      <c r="I43" s="7">
        <f>ROUND(59291.66,2)</f>
        <v>59291.66</v>
      </c>
    </row>
    <row r="44" spans="1:9" ht="39.6" x14ac:dyDescent="0.3">
      <c r="A44" s="4" t="s">
        <v>288</v>
      </c>
      <c r="B44" s="5" t="s">
        <v>1029</v>
      </c>
      <c r="C44" s="5" t="s">
        <v>181</v>
      </c>
      <c r="D44" s="5" t="s">
        <v>289</v>
      </c>
      <c r="E44" s="5" t="s">
        <v>0</v>
      </c>
      <c r="F44" s="5" t="s">
        <v>0</v>
      </c>
      <c r="G44" s="5" t="s">
        <v>183</v>
      </c>
      <c r="H44" s="8">
        <v>33.880000000000003</v>
      </c>
      <c r="I44" s="7">
        <f>ROUND(52612.28,2)</f>
        <v>52612.28</v>
      </c>
    </row>
    <row r="45" spans="1:9" ht="52.8" x14ac:dyDescent="0.3">
      <c r="A45" s="4" t="s">
        <v>290</v>
      </c>
      <c r="B45" s="5"/>
      <c r="C45" s="5" t="s">
        <v>201</v>
      </c>
      <c r="D45" s="5" t="s">
        <v>291</v>
      </c>
      <c r="E45" s="5" t="s">
        <v>292</v>
      </c>
      <c r="F45" s="5" t="s">
        <v>0</v>
      </c>
      <c r="G45" s="5" t="s">
        <v>203</v>
      </c>
      <c r="H45" s="8">
        <f>ROUND(18,2)</f>
        <v>18</v>
      </c>
      <c r="I45" s="7">
        <f>ROUND(13788,2)</f>
        <v>13788</v>
      </c>
    </row>
    <row r="46" spans="1:9" ht="66" x14ac:dyDescent="0.3">
      <c r="A46" s="4" t="s">
        <v>293</v>
      </c>
      <c r="B46" s="5"/>
      <c r="C46" s="5" t="s">
        <v>294</v>
      </c>
      <c r="D46" s="5" t="s">
        <v>295</v>
      </c>
      <c r="E46" s="5" t="s">
        <v>0</v>
      </c>
      <c r="F46" s="5" t="s">
        <v>0</v>
      </c>
      <c r="G46" s="5" t="s">
        <v>296</v>
      </c>
      <c r="H46" s="8">
        <f>ROUND(2916.21,2)</f>
        <v>2916.21</v>
      </c>
      <c r="I46" s="7">
        <f>ROUND(157283.52,2)</f>
        <v>157283.51999999999</v>
      </c>
    </row>
    <row r="47" spans="1:9" ht="39.6" x14ac:dyDescent="0.3">
      <c r="A47" s="4" t="s">
        <v>297</v>
      </c>
      <c r="B47" s="5" t="s">
        <v>1029</v>
      </c>
      <c r="C47" s="5" t="s">
        <v>181</v>
      </c>
      <c r="D47" s="5" t="s">
        <v>298</v>
      </c>
      <c r="E47" s="5" t="s">
        <v>299</v>
      </c>
      <c r="F47" s="5" t="s">
        <v>0</v>
      </c>
      <c r="G47" s="5" t="s">
        <v>183</v>
      </c>
      <c r="H47" s="8">
        <v>32.090000000000003</v>
      </c>
      <c r="I47" s="7">
        <f>ROUND(16356.1499999999,2)</f>
        <v>16356.15</v>
      </c>
    </row>
    <row r="48" spans="1:9" ht="39.6" x14ac:dyDescent="0.3">
      <c r="A48" s="4" t="s">
        <v>300</v>
      </c>
      <c r="B48" s="5" t="s">
        <v>1029</v>
      </c>
      <c r="C48" s="5" t="s">
        <v>181</v>
      </c>
      <c r="D48" s="5" t="s">
        <v>301</v>
      </c>
      <c r="E48" s="5" t="s">
        <v>292</v>
      </c>
      <c r="F48" s="5" t="s">
        <v>0</v>
      </c>
      <c r="G48" s="5" t="s">
        <v>183</v>
      </c>
      <c r="H48" s="9">
        <v>17.5</v>
      </c>
      <c r="I48" s="7">
        <f>ROUND(2612.93,2)</f>
        <v>2612.9299999999998</v>
      </c>
    </row>
    <row r="49" spans="1:9" ht="39.6" x14ac:dyDescent="0.3">
      <c r="A49" s="4" t="s">
        <v>302</v>
      </c>
      <c r="B49" s="5" t="s">
        <v>1029</v>
      </c>
      <c r="C49" s="5" t="s">
        <v>181</v>
      </c>
      <c r="D49" s="5" t="s">
        <v>303</v>
      </c>
      <c r="E49" s="5" t="s">
        <v>0</v>
      </c>
      <c r="F49" s="5" t="s">
        <v>0</v>
      </c>
      <c r="G49" s="5" t="s">
        <v>183</v>
      </c>
      <c r="H49" s="9">
        <v>33.380000000000003</v>
      </c>
      <c r="I49" s="7">
        <f>ROUND(79724.78,2)</f>
        <v>79724.78</v>
      </c>
    </row>
    <row r="50" spans="1:9" ht="39.6" x14ac:dyDescent="0.3">
      <c r="A50" s="4" t="s">
        <v>304</v>
      </c>
      <c r="B50" s="5"/>
      <c r="C50" s="5" t="s">
        <v>305</v>
      </c>
      <c r="D50" s="5" t="s">
        <v>306</v>
      </c>
      <c r="E50" s="5" t="s">
        <v>0</v>
      </c>
      <c r="F50" s="5" t="s">
        <v>0</v>
      </c>
      <c r="G50" s="5" t="s">
        <v>307</v>
      </c>
      <c r="H50" s="8">
        <f>ROUND(2715.05,2)</f>
        <v>2715.05</v>
      </c>
      <c r="I50" s="7">
        <f>ROUND(150729.49,2)</f>
        <v>150729.49</v>
      </c>
    </row>
    <row r="51" spans="1:9" ht="39.6" x14ac:dyDescent="0.3">
      <c r="A51" s="4" t="s">
        <v>308</v>
      </c>
      <c r="B51" s="5" t="s">
        <v>1029</v>
      </c>
      <c r="C51" s="5" t="s">
        <v>181</v>
      </c>
      <c r="D51" s="5" t="s">
        <v>309</v>
      </c>
      <c r="E51" s="5" t="s">
        <v>0</v>
      </c>
      <c r="F51" s="5" t="s">
        <v>0</v>
      </c>
      <c r="G51" s="5" t="s">
        <v>183</v>
      </c>
      <c r="H51" s="8">
        <v>33.380000000000003</v>
      </c>
      <c r="I51" s="7">
        <f>ROUND(94378.0199999999,2)</f>
        <v>94378.02</v>
      </c>
    </row>
    <row r="52" spans="1:9" ht="79.2" x14ac:dyDescent="0.3">
      <c r="A52" s="4" t="s">
        <v>310</v>
      </c>
      <c r="B52" s="5"/>
      <c r="C52" s="5" t="s">
        <v>311</v>
      </c>
      <c r="D52" s="5" t="s">
        <v>268</v>
      </c>
      <c r="E52" s="5" t="s">
        <v>0</v>
      </c>
      <c r="F52" s="5" t="s">
        <v>0</v>
      </c>
      <c r="G52" s="5" t="s">
        <v>312</v>
      </c>
      <c r="H52" s="8">
        <f>ROUND(18.5,2)</f>
        <v>18.5</v>
      </c>
      <c r="I52" s="7">
        <f>ROUND(30518.08,2)</f>
        <v>30518.080000000002</v>
      </c>
    </row>
    <row r="53" spans="1:9" ht="66" x14ac:dyDescent="0.3">
      <c r="A53" s="4" t="s">
        <v>313</v>
      </c>
      <c r="B53" s="5"/>
      <c r="C53" s="5" t="s">
        <v>294</v>
      </c>
      <c r="D53" s="5" t="s">
        <v>295</v>
      </c>
      <c r="E53" s="5" t="s">
        <v>314</v>
      </c>
      <c r="F53" s="5" t="s">
        <v>0</v>
      </c>
      <c r="G53" s="5" t="s">
        <v>315</v>
      </c>
      <c r="H53" s="8">
        <f>ROUND(1506.16,2)</f>
        <v>1506.16</v>
      </c>
      <c r="I53" s="7">
        <f>ROUND(58532.37,2)</f>
        <v>58532.37</v>
      </c>
    </row>
    <row r="54" spans="1:9" ht="52.8" x14ac:dyDescent="0.3">
      <c r="A54" s="4" t="s">
        <v>316</v>
      </c>
      <c r="B54" s="5"/>
      <c r="C54" s="5" t="s">
        <v>311</v>
      </c>
      <c r="D54" s="5" t="s">
        <v>317</v>
      </c>
      <c r="E54" s="5" t="s">
        <v>0</v>
      </c>
      <c r="F54" s="5" t="s">
        <v>0</v>
      </c>
      <c r="G54" s="5" t="s">
        <v>318</v>
      </c>
      <c r="H54" s="8">
        <f>ROUND(28.84,2)</f>
        <v>28.84</v>
      </c>
      <c r="I54" s="7">
        <f>ROUND(36433.62,2)</f>
        <v>36433.620000000003</v>
      </c>
    </row>
    <row r="55" spans="1:9" ht="79.2" x14ac:dyDescent="0.3">
      <c r="A55" s="4" t="s">
        <v>319</v>
      </c>
      <c r="B55" s="5"/>
      <c r="C55" s="5" t="s">
        <v>320</v>
      </c>
      <c r="D55" s="5" t="s">
        <v>321</v>
      </c>
      <c r="E55" s="5" t="s">
        <v>255</v>
      </c>
      <c r="F55" s="5" t="s">
        <v>0</v>
      </c>
      <c r="G55" s="5" t="s">
        <v>322</v>
      </c>
      <c r="H55" s="8">
        <f>ROUND(1058.02,2)</f>
        <v>1058.02</v>
      </c>
      <c r="I55" s="7">
        <f>ROUND(47414.1599999999,2)</f>
        <v>47414.16</v>
      </c>
    </row>
    <row r="56" spans="1:9" ht="39.6" x14ac:dyDescent="0.3">
      <c r="A56" s="4" t="s">
        <v>323</v>
      </c>
      <c r="B56" s="5" t="s">
        <v>1029</v>
      </c>
      <c r="C56" s="5" t="s">
        <v>181</v>
      </c>
      <c r="D56" s="5" t="s">
        <v>324</v>
      </c>
      <c r="E56" s="5" t="s">
        <v>0</v>
      </c>
      <c r="F56" s="5" t="s">
        <v>0</v>
      </c>
      <c r="G56" s="5" t="s">
        <v>183</v>
      </c>
      <c r="H56" s="8">
        <v>33.380000000000003</v>
      </c>
      <c r="I56" s="7">
        <f>ROUND(87894.43,2)</f>
        <v>87894.43</v>
      </c>
    </row>
    <row r="57" spans="1:9" ht="66" x14ac:dyDescent="0.3">
      <c r="A57" s="4" t="s">
        <v>325</v>
      </c>
      <c r="B57" s="5"/>
      <c r="C57" s="5" t="s">
        <v>244</v>
      </c>
      <c r="D57" s="5" t="s">
        <v>326</v>
      </c>
      <c r="E57" s="5" t="s">
        <v>0</v>
      </c>
      <c r="F57" s="5" t="s">
        <v>0</v>
      </c>
      <c r="G57" s="5" t="s">
        <v>247</v>
      </c>
      <c r="H57" s="8">
        <f>ROUND(18,2)</f>
        <v>18</v>
      </c>
      <c r="I57" s="7">
        <f>ROUND(5985,2)</f>
        <v>5985</v>
      </c>
    </row>
    <row r="58" spans="1:9" ht="39.6" x14ac:dyDescent="0.3">
      <c r="A58" s="4" t="s">
        <v>327</v>
      </c>
      <c r="B58" s="5" t="s">
        <v>1029</v>
      </c>
      <c r="C58" s="5" t="s">
        <v>236</v>
      </c>
      <c r="D58" s="5" t="s">
        <v>328</v>
      </c>
      <c r="E58" s="5" t="s">
        <v>329</v>
      </c>
      <c r="F58" s="5" t="s">
        <v>0</v>
      </c>
      <c r="G58" s="5" t="s">
        <v>330</v>
      </c>
      <c r="H58" s="9">
        <v>23.95</v>
      </c>
      <c r="I58" s="7">
        <f>ROUND(22994,2)</f>
        <v>22994</v>
      </c>
    </row>
    <row r="59" spans="1:9" ht="66" x14ac:dyDescent="0.3">
      <c r="A59" s="4" t="s">
        <v>331</v>
      </c>
      <c r="B59" s="5"/>
      <c r="C59" s="5" t="s">
        <v>294</v>
      </c>
      <c r="D59" s="5" t="s">
        <v>332</v>
      </c>
      <c r="E59" s="5" t="s">
        <v>0</v>
      </c>
      <c r="F59" s="5" t="s">
        <v>0</v>
      </c>
      <c r="G59" s="5" t="s">
        <v>333</v>
      </c>
      <c r="H59" s="8">
        <f>ROUND(1649.49,2)</f>
        <v>1649.49</v>
      </c>
      <c r="I59" s="7">
        <f>ROUND(47835.21,2)</f>
        <v>47835.21</v>
      </c>
    </row>
    <row r="60" spans="1:9" ht="39.6" x14ac:dyDescent="0.3">
      <c r="A60" s="4" t="s">
        <v>334</v>
      </c>
      <c r="B60" s="5" t="s">
        <v>1029</v>
      </c>
      <c r="C60" s="5" t="s">
        <v>181</v>
      </c>
      <c r="D60" s="5" t="s">
        <v>335</v>
      </c>
      <c r="E60" s="5" t="s">
        <v>0</v>
      </c>
      <c r="F60" s="5" t="s">
        <v>0</v>
      </c>
      <c r="G60" s="5" t="s">
        <v>183</v>
      </c>
      <c r="H60" s="6">
        <v>33.380000000000003</v>
      </c>
      <c r="I60" s="7">
        <f>ROUND(77240.3399999999,2)</f>
        <v>77240.34</v>
      </c>
    </row>
    <row r="61" spans="1:9" ht="39.6" x14ac:dyDescent="0.3">
      <c r="A61" s="4" t="s">
        <v>336</v>
      </c>
      <c r="B61" s="5" t="s">
        <v>1029</v>
      </c>
      <c r="C61" s="5" t="s">
        <v>236</v>
      </c>
      <c r="D61" s="5" t="s">
        <v>337</v>
      </c>
      <c r="E61" s="5" t="s">
        <v>0</v>
      </c>
      <c r="F61" s="5" t="s">
        <v>0</v>
      </c>
      <c r="G61" s="5" t="s">
        <v>238</v>
      </c>
      <c r="H61" s="8">
        <v>41.75</v>
      </c>
      <c r="I61" s="7">
        <f>ROUND(147328.63,2)</f>
        <v>147328.63</v>
      </c>
    </row>
    <row r="62" spans="1:9" ht="52.8" x14ac:dyDescent="0.3">
      <c r="A62" s="4" t="s">
        <v>338</v>
      </c>
      <c r="B62" s="5"/>
      <c r="C62" s="5" t="s">
        <v>281</v>
      </c>
      <c r="D62" s="5" t="s">
        <v>339</v>
      </c>
      <c r="E62" s="5" t="s">
        <v>0</v>
      </c>
      <c r="F62" s="5" t="s">
        <v>0</v>
      </c>
      <c r="G62" s="5" t="s">
        <v>340</v>
      </c>
      <c r="H62" s="8">
        <f>ROUND(1199.29,2)</f>
        <v>1199.29</v>
      </c>
      <c r="I62" s="7">
        <f>ROUND(61238.62,2)</f>
        <v>61238.62</v>
      </c>
    </row>
    <row r="63" spans="1:9" ht="39.6" x14ac:dyDescent="0.3">
      <c r="A63" s="4" t="s">
        <v>341</v>
      </c>
      <c r="B63" s="5" t="s">
        <v>1029</v>
      </c>
      <c r="C63" s="5" t="s">
        <v>181</v>
      </c>
      <c r="D63" s="5" t="s">
        <v>342</v>
      </c>
      <c r="E63" s="5" t="s">
        <v>0</v>
      </c>
      <c r="F63" s="5" t="s">
        <v>0</v>
      </c>
      <c r="G63" s="5" t="s">
        <v>183</v>
      </c>
      <c r="H63" s="8">
        <v>33.380000000000003</v>
      </c>
      <c r="I63" s="7">
        <f>ROUND(103830.62,2)</f>
        <v>103830.62</v>
      </c>
    </row>
    <row r="64" spans="1:9" ht="39.6" x14ac:dyDescent="0.3">
      <c r="A64" s="4" t="s">
        <v>343</v>
      </c>
      <c r="B64" s="5" t="s">
        <v>1029</v>
      </c>
      <c r="C64" s="5" t="s">
        <v>181</v>
      </c>
      <c r="D64" s="5" t="s">
        <v>344</v>
      </c>
      <c r="E64" s="5" t="s">
        <v>0</v>
      </c>
      <c r="F64" s="5" t="s">
        <v>0</v>
      </c>
      <c r="G64" s="5" t="s">
        <v>183</v>
      </c>
      <c r="H64" s="8">
        <v>33.380000000000003</v>
      </c>
      <c r="I64" s="7">
        <f>ROUND(47211.25,2)</f>
        <v>47211.25</v>
      </c>
    </row>
    <row r="65" spans="1:9" ht="39.6" x14ac:dyDescent="0.3">
      <c r="A65" s="4" t="s">
        <v>345</v>
      </c>
      <c r="B65" s="5"/>
      <c r="C65" s="5" t="s">
        <v>285</v>
      </c>
      <c r="D65" s="5" t="s">
        <v>346</v>
      </c>
      <c r="E65" s="5" t="s">
        <v>0</v>
      </c>
      <c r="F65" s="5" t="s">
        <v>0</v>
      </c>
      <c r="G65" s="5" t="s">
        <v>347</v>
      </c>
      <c r="H65" s="8">
        <f>ROUND(1659.76,2)</f>
        <v>1659.76</v>
      </c>
      <c r="I65" s="7">
        <f>ROUND(92298.2399999999,2)</f>
        <v>92298.240000000005</v>
      </c>
    </row>
    <row r="66" spans="1:9" ht="66" x14ac:dyDescent="0.3">
      <c r="A66" s="4" t="s">
        <v>348</v>
      </c>
      <c r="B66" s="5"/>
      <c r="C66" s="5" t="s">
        <v>294</v>
      </c>
      <c r="D66" s="5" t="s">
        <v>349</v>
      </c>
      <c r="E66" s="5" t="s">
        <v>350</v>
      </c>
      <c r="F66" s="5" t="s">
        <v>0</v>
      </c>
      <c r="G66" s="5" t="s">
        <v>351</v>
      </c>
      <c r="H66" s="8">
        <f>ROUND(1412.13,2)</f>
        <v>1412.13</v>
      </c>
      <c r="I66" s="7">
        <f>ROUND(12709.17,2)</f>
        <v>12709.17</v>
      </c>
    </row>
    <row r="67" spans="1:9" ht="39.6" x14ac:dyDescent="0.3">
      <c r="A67" s="4" t="s">
        <v>352</v>
      </c>
      <c r="B67" s="5" t="s">
        <v>1029</v>
      </c>
      <c r="C67" s="5" t="s">
        <v>181</v>
      </c>
      <c r="D67" s="5" t="s">
        <v>209</v>
      </c>
      <c r="E67" s="5" t="s">
        <v>0</v>
      </c>
      <c r="F67" s="5" t="s">
        <v>0</v>
      </c>
      <c r="G67" s="5" t="s">
        <v>183</v>
      </c>
      <c r="H67" s="8">
        <v>33.380000000000003</v>
      </c>
      <c r="I67" s="7">
        <f>ROUND(58649.1299999999,2)</f>
        <v>58649.13</v>
      </c>
    </row>
    <row r="68" spans="1:9" ht="39.6" x14ac:dyDescent="0.3">
      <c r="A68" s="4" t="s">
        <v>353</v>
      </c>
      <c r="B68" s="5" t="s">
        <v>1029</v>
      </c>
      <c r="C68" s="5" t="s">
        <v>181</v>
      </c>
      <c r="D68" s="5" t="s">
        <v>354</v>
      </c>
      <c r="E68" s="5" t="s">
        <v>0</v>
      </c>
      <c r="F68" s="5" t="s">
        <v>0</v>
      </c>
      <c r="G68" s="5" t="s">
        <v>183</v>
      </c>
      <c r="H68" s="9">
        <v>31.71</v>
      </c>
      <c r="I68" s="7">
        <f>ROUND(65591.04,2)</f>
        <v>65591.039999999994</v>
      </c>
    </row>
    <row r="69" spans="1:9" ht="39.6" x14ac:dyDescent="0.3">
      <c r="A69" s="4" t="s">
        <v>355</v>
      </c>
      <c r="B69" s="5" t="s">
        <v>1029</v>
      </c>
      <c r="C69" s="5" t="s">
        <v>181</v>
      </c>
      <c r="D69" s="5" t="s">
        <v>289</v>
      </c>
      <c r="E69" s="5" t="s">
        <v>0</v>
      </c>
      <c r="F69" s="5" t="s">
        <v>0</v>
      </c>
      <c r="G69" s="5" t="s">
        <v>183</v>
      </c>
      <c r="H69" s="8">
        <v>33.380000000000003</v>
      </c>
      <c r="I69" s="7">
        <f>ROUND(83954.9499999999,2)</f>
        <v>83954.95</v>
      </c>
    </row>
    <row r="70" spans="1:9" ht="39.6" x14ac:dyDescent="0.3">
      <c r="A70" s="4" t="s">
        <v>356</v>
      </c>
      <c r="B70" s="5" t="s">
        <v>1029</v>
      </c>
      <c r="C70" s="5" t="s">
        <v>181</v>
      </c>
      <c r="D70" s="5" t="s">
        <v>309</v>
      </c>
      <c r="E70" s="5" t="s">
        <v>0</v>
      </c>
      <c r="F70" s="5" t="s">
        <v>0</v>
      </c>
      <c r="G70" s="5" t="s">
        <v>183</v>
      </c>
      <c r="H70" s="8">
        <v>33.380000000000003</v>
      </c>
      <c r="I70" s="7">
        <f>ROUND(73477.9199999999,2)</f>
        <v>73477.919999999998</v>
      </c>
    </row>
    <row r="71" spans="1:9" ht="52.8" x14ac:dyDescent="0.3">
      <c r="A71" s="4" t="s">
        <v>357</v>
      </c>
      <c r="B71" s="5"/>
      <c r="C71" s="5" t="s">
        <v>181</v>
      </c>
      <c r="D71" s="5" t="s">
        <v>358</v>
      </c>
      <c r="E71" s="5" t="s">
        <v>0</v>
      </c>
      <c r="F71" s="5" t="s">
        <v>0</v>
      </c>
      <c r="G71" s="5" t="s">
        <v>351</v>
      </c>
      <c r="H71" s="8">
        <f>ROUND(50,2)</f>
        <v>50</v>
      </c>
      <c r="I71" s="7">
        <f>ROUND(8237.5,2)</f>
        <v>8237.5</v>
      </c>
    </row>
    <row r="72" spans="1:9" ht="66" x14ac:dyDescent="0.3">
      <c r="A72" s="4" t="s">
        <v>359</v>
      </c>
      <c r="B72" s="5"/>
      <c r="C72" s="5" t="s">
        <v>360</v>
      </c>
      <c r="D72" s="5" t="s">
        <v>361</v>
      </c>
      <c r="E72" s="5" t="s">
        <v>0</v>
      </c>
      <c r="F72" s="5" t="s">
        <v>0</v>
      </c>
      <c r="G72" s="5" t="s">
        <v>362</v>
      </c>
      <c r="H72" s="8">
        <f>ROUND(1592.69,2)</f>
        <v>1592.69</v>
      </c>
      <c r="I72" s="7">
        <f>ROUND(90282.11,2)</f>
        <v>90282.11</v>
      </c>
    </row>
    <row r="73" spans="1:9" ht="39.6" x14ac:dyDescent="0.3">
      <c r="A73" s="4" t="s">
        <v>363</v>
      </c>
      <c r="B73" s="5" t="s">
        <v>1029</v>
      </c>
      <c r="C73" s="5" t="s">
        <v>181</v>
      </c>
      <c r="D73" s="5" t="s">
        <v>301</v>
      </c>
      <c r="E73" s="5" t="s">
        <v>0</v>
      </c>
      <c r="F73" s="5" t="s">
        <v>0</v>
      </c>
      <c r="G73" s="5" t="s">
        <v>183</v>
      </c>
      <c r="H73" s="9">
        <v>28.37</v>
      </c>
      <c r="I73" s="7">
        <f>ROUND(29798.91,2)</f>
        <v>29798.91</v>
      </c>
    </row>
    <row r="74" spans="1:9" ht="79.2" x14ac:dyDescent="0.3">
      <c r="A74" s="4" t="s">
        <v>364</v>
      </c>
      <c r="B74" s="5"/>
      <c r="C74" s="5" t="s">
        <v>244</v>
      </c>
      <c r="D74" s="5" t="s">
        <v>365</v>
      </c>
      <c r="E74" s="5" t="s">
        <v>0</v>
      </c>
      <c r="F74" s="5" t="s">
        <v>0</v>
      </c>
      <c r="G74" s="5" t="s">
        <v>366</v>
      </c>
      <c r="H74" s="8">
        <f>ROUND(21,2)</f>
        <v>21</v>
      </c>
      <c r="I74" s="7">
        <f>ROUND(53849.9299999999,2)</f>
        <v>53849.93</v>
      </c>
    </row>
    <row r="75" spans="1:9" ht="39.6" x14ac:dyDescent="0.3">
      <c r="A75" s="4" t="s">
        <v>367</v>
      </c>
      <c r="B75" s="5" t="s">
        <v>1029</v>
      </c>
      <c r="C75" s="5" t="s">
        <v>181</v>
      </c>
      <c r="D75" s="5" t="s">
        <v>368</v>
      </c>
      <c r="E75" s="5" t="s">
        <v>0</v>
      </c>
      <c r="F75" s="5" t="s">
        <v>0</v>
      </c>
      <c r="G75" s="5" t="s">
        <v>183</v>
      </c>
      <c r="H75" s="8">
        <v>33.380000000000003</v>
      </c>
      <c r="I75" s="7">
        <f>ROUND(76348.14,2)</f>
        <v>76348.14</v>
      </c>
    </row>
    <row r="76" spans="1:9" ht="39.6" x14ac:dyDescent="0.3">
      <c r="A76" s="4" t="s">
        <v>369</v>
      </c>
      <c r="B76" s="5" t="s">
        <v>1029</v>
      </c>
      <c r="C76" s="5" t="s">
        <v>181</v>
      </c>
      <c r="D76" s="5" t="s">
        <v>370</v>
      </c>
      <c r="E76" s="5" t="s">
        <v>0</v>
      </c>
      <c r="F76" s="5" t="s">
        <v>0</v>
      </c>
      <c r="G76" s="5" t="s">
        <v>183</v>
      </c>
      <c r="H76" s="8">
        <v>33.380000000000003</v>
      </c>
      <c r="I76" s="7">
        <f>ROUND(11968.5399999999,2)</f>
        <v>11968.54</v>
      </c>
    </row>
    <row r="77" spans="1:9" ht="39.6" x14ac:dyDescent="0.3">
      <c r="A77" s="4" t="s">
        <v>371</v>
      </c>
      <c r="B77" s="5" t="s">
        <v>1029</v>
      </c>
      <c r="C77" s="5" t="s">
        <v>181</v>
      </c>
      <c r="D77" s="5" t="s">
        <v>372</v>
      </c>
      <c r="E77" s="5" t="s">
        <v>0</v>
      </c>
      <c r="F77" s="5" t="s">
        <v>0</v>
      </c>
      <c r="G77" s="5" t="s">
        <v>183</v>
      </c>
      <c r="H77" s="8">
        <v>33.380000000000003</v>
      </c>
      <c r="I77" s="7">
        <f>ROUND(98632.7399999999,2)</f>
        <v>98632.74</v>
      </c>
    </row>
    <row r="78" spans="1:9" ht="39.6" x14ac:dyDescent="0.3">
      <c r="A78" s="4" t="s">
        <v>373</v>
      </c>
      <c r="B78" s="5" t="s">
        <v>1029</v>
      </c>
      <c r="C78" s="5" t="s">
        <v>181</v>
      </c>
      <c r="D78" s="5" t="s">
        <v>188</v>
      </c>
      <c r="E78" s="5" t="s">
        <v>374</v>
      </c>
      <c r="F78" s="5" t="s">
        <v>0</v>
      </c>
      <c r="G78" s="5" t="s">
        <v>183</v>
      </c>
      <c r="H78" s="8">
        <v>32.090000000000003</v>
      </c>
      <c r="I78" s="7">
        <f>ROUND(20871.17,2)</f>
        <v>20871.169999999998</v>
      </c>
    </row>
    <row r="79" spans="1:9" ht="39.6" x14ac:dyDescent="0.3">
      <c r="A79" s="4" t="s">
        <v>375</v>
      </c>
      <c r="B79" s="5" t="s">
        <v>1029</v>
      </c>
      <c r="C79" s="5" t="s">
        <v>181</v>
      </c>
      <c r="D79" s="5" t="s">
        <v>254</v>
      </c>
      <c r="E79" s="5" t="s">
        <v>0</v>
      </c>
      <c r="F79" s="5" t="s">
        <v>0</v>
      </c>
      <c r="G79" s="5" t="s">
        <v>183</v>
      </c>
      <c r="H79" s="9">
        <v>30.04</v>
      </c>
      <c r="I79" s="7">
        <f>ROUND(40863.4599999999,2)</f>
        <v>40863.46</v>
      </c>
    </row>
    <row r="80" spans="1:9" ht="39.6" x14ac:dyDescent="0.3">
      <c r="A80" s="4" t="s">
        <v>376</v>
      </c>
      <c r="B80" s="5" t="s">
        <v>1029</v>
      </c>
      <c r="C80" s="5" t="s">
        <v>181</v>
      </c>
      <c r="D80" s="5" t="s">
        <v>377</v>
      </c>
      <c r="E80" s="5" t="s">
        <v>378</v>
      </c>
      <c r="F80" s="5" t="s">
        <v>0</v>
      </c>
      <c r="G80" s="5" t="s">
        <v>183</v>
      </c>
      <c r="H80" s="9">
        <v>17.5</v>
      </c>
      <c r="I80" s="7">
        <f>ROUND(7690.29,2)</f>
        <v>7690.29</v>
      </c>
    </row>
    <row r="81" spans="1:9" ht="39.6" x14ac:dyDescent="0.3">
      <c r="A81" s="4" t="s">
        <v>379</v>
      </c>
      <c r="B81" s="5" t="s">
        <v>1029</v>
      </c>
      <c r="C81" s="5" t="s">
        <v>181</v>
      </c>
      <c r="D81" s="5" t="s">
        <v>344</v>
      </c>
      <c r="E81" s="5" t="s">
        <v>0</v>
      </c>
      <c r="F81" s="5" t="s">
        <v>0</v>
      </c>
      <c r="G81" s="5" t="s">
        <v>183</v>
      </c>
      <c r="H81" s="8">
        <v>33.380000000000003</v>
      </c>
      <c r="I81" s="7">
        <f>ROUND(88832.05,2)</f>
        <v>88832.05</v>
      </c>
    </row>
    <row r="82" spans="1:9" ht="52.8" x14ac:dyDescent="0.3">
      <c r="A82" s="4" t="s">
        <v>380</v>
      </c>
      <c r="B82" s="5"/>
      <c r="C82" s="5" t="s">
        <v>201</v>
      </c>
      <c r="D82" s="5" t="s">
        <v>381</v>
      </c>
      <c r="E82" s="5" t="s">
        <v>382</v>
      </c>
      <c r="F82" s="5" t="s">
        <v>0</v>
      </c>
      <c r="G82" s="5" t="s">
        <v>203</v>
      </c>
      <c r="H82" s="8">
        <f>ROUND(20.2601,2)</f>
        <v>20.260000000000002</v>
      </c>
      <c r="I82" s="7">
        <f>ROUND(11269.63,2)</f>
        <v>11269.63</v>
      </c>
    </row>
    <row r="83" spans="1:9" ht="66" x14ac:dyDescent="0.3">
      <c r="A83" s="4" t="s">
        <v>383</v>
      </c>
      <c r="B83" s="5"/>
      <c r="C83" s="5" t="s">
        <v>294</v>
      </c>
      <c r="D83" s="5" t="s">
        <v>384</v>
      </c>
      <c r="E83" s="5" t="s">
        <v>0</v>
      </c>
      <c r="F83" s="5" t="s">
        <v>0</v>
      </c>
      <c r="G83" s="5" t="s">
        <v>315</v>
      </c>
      <c r="H83" s="8">
        <f>ROUND(1366.92,2)</f>
        <v>1366.92</v>
      </c>
      <c r="I83" s="7">
        <f>ROUND(76235.3999999999,2)</f>
        <v>76235.399999999994</v>
      </c>
    </row>
    <row r="84" spans="1:9" ht="39.6" x14ac:dyDescent="0.3">
      <c r="A84" s="4" t="s">
        <v>385</v>
      </c>
      <c r="B84" s="5" t="s">
        <v>1029</v>
      </c>
      <c r="C84" s="5" t="s">
        <v>181</v>
      </c>
      <c r="D84" s="5" t="s">
        <v>234</v>
      </c>
      <c r="E84" s="5" t="s">
        <v>0</v>
      </c>
      <c r="F84" s="5" t="s">
        <v>0</v>
      </c>
      <c r="G84" s="5" t="s">
        <v>183</v>
      </c>
      <c r="H84" s="8">
        <v>33.380000000000003</v>
      </c>
      <c r="I84" s="7">
        <f>ROUND(77767.5699999999,2)</f>
        <v>77767.570000000007</v>
      </c>
    </row>
    <row r="85" spans="1:9" ht="39.6" x14ac:dyDescent="0.3">
      <c r="A85" s="4" t="s">
        <v>386</v>
      </c>
      <c r="B85" s="5" t="s">
        <v>1029</v>
      </c>
      <c r="C85" s="5" t="s">
        <v>181</v>
      </c>
      <c r="D85" s="5" t="s">
        <v>387</v>
      </c>
      <c r="E85" s="5" t="s">
        <v>0</v>
      </c>
      <c r="F85" s="5" t="s">
        <v>0</v>
      </c>
      <c r="G85" s="5" t="s">
        <v>183</v>
      </c>
      <c r="H85" s="8">
        <v>33.380000000000003</v>
      </c>
      <c r="I85" s="7">
        <f>ROUND(83781.3199999999,2)</f>
        <v>83781.320000000007</v>
      </c>
    </row>
    <row r="86" spans="1:9" ht="39.6" x14ac:dyDescent="0.3">
      <c r="A86" s="4" t="s">
        <v>388</v>
      </c>
      <c r="B86" s="5" t="s">
        <v>1029</v>
      </c>
      <c r="C86" s="5" t="s">
        <v>181</v>
      </c>
      <c r="D86" s="5" t="s">
        <v>344</v>
      </c>
      <c r="E86" s="5" t="s">
        <v>0</v>
      </c>
      <c r="F86" s="5" t="s">
        <v>0</v>
      </c>
      <c r="G86" s="5" t="s">
        <v>183</v>
      </c>
      <c r="H86" s="8">
        <v>33.380000000000003</v>
      </c>
      <c r="I86" s="7">
        <f>ROUND(90265.3199999999,2)</f>
        <v>90265.32</v>
      </c>
    </row>
    <row r="87" spans="1:9" ht="39.6" x14ac:dyDescent="0.3">
      <c r="A87" s="4" t="s">
        <v>389</v>
      </c>
      <c r="B87" s="5" t="s">
        <v>1029</v>
      </c>
      <c r="C87" s="5" t="s">
        <v>181</v>
      </c>
      <c r="D87" s="5" t="s">
        <v>390</v>
      </c>
      <c r="E87" s="5" t="s">
        <v>0</v>
      </c>
      <c r="F87" s="5" t="s">
        <v>0</v>
      </c>
      <c r="G87" s="5" t="s">
        <v>183</v>
      </c>
      <c r="H87" s="9">
        <v>33.380000000000003</v>
      </c>
      <c r="I87" s="7">
        <f>ROUND(77999.95,2)</f>
        <v>77999.95</v>
      </c>
    </row>
    <row r="88" spans="1:9" ht="39.6" x14ac:dyDescent="0.3">
      <c r="A88" s="4" t="s">
        <v>391</v>
      </c>
      <c r="B88" s="5" t="s">
        <v>1029</v>
      </c>
      <c r="C88" s="5" t="s">
        <v>181</v>
      </c>
      <c r="D88" s="5" t="s">
        <v>392</v>
      </c>
      <c r="E88" s="5" t="s">
        <v>0</v>
      </c>
      <c r="F88" s="5" t="s">
        <v>0</v>
      </c>
      <c r="G88" s="5" t="s">
        <v>183</v>
      </c>
      <c r="H88" s="8">
        <v>34.04</v>
      </c>
      <c r="I88" s="7">
        <f>ROUND(70480.3599999999,2)</f>
        <v>70480.36</v>
      </c>
    </row>
    <row r="89" spans="1:9" ht="66" x14ac:dyDescent="0.3">
      <c r="A89" s="4" t="s">
        <v>393</v>
      </c>
      <c r="B89" s="5"/>
      <c r="C89" s="5" t="s">
        <v>394</v>
      </c>
      <c r="D89" s="5" t="s">
        <v>395</v>
      </c>
      <c r="E89" s="5" t="s">
        <v>0</v>
      </c>
      <c r="F89" s="5" t="s">
        <v>0</v>
      </c>
      <c r="G89" s="5" t="s">
        <v>396</v>
      </c>
      <c r="H89" s="8">
        <f>ROUND(24.2462,2)</f>
        <v>24.25</v>
      </c>
      <c r="I89" s="7">
        <f>ROUND(36126.7099999999,2)</f>
        <v>36126.71</v>
      </c>
    </row>
    <row r="90" spans="1:9" ht="39.6" x14ac:dyDescent="0.3">
      <c r="A90" s="4" t="s">
        <v>397</v>
      </c>
      <c r="B90" s="5" t="s">
        <v>1029</v>
      </c>
      <c r="C90" s="5" t="s">
        <v>181</v>
      </c>
      <c r="D90" s="5" t="s">
        <v>398</v>
      </c>
      <c r="E90" s="5" t="s">
        <v>0</v>
      </c>
      <c r="F90" s="5" t="s">
        <v>0</v>
      </c>
      <c r="G90" s="5" t="s">
        <v>183</v>
      </c>
      <c r="H90" s="8">
        <v>33.380000000000003</v>
      </c>
      <c r="I90" s="7">
        <f>ROUND(76877.47,2)</f>
        <v>76877.47</v>
      </c>
    </row>
    <row r="91" spans="1:9" ht="39.6" x14ac:dyDescent="0.3">
      <c r="A91" s="4" t="s">
        <v>399</v>
      </c>
      <c r="B91" s="5" t="s">
        <v>1029</v>
      </c>
      <c r="C91" s="5" t="s">
        <v>181</v>
      </c>
      <c r="D91" s="5" t="s">
        <v>400</v>
      </c>
      <c r="E91" s="5" t="s">
        <v>0</v>
      </c>
      <c r="F91" s="5" t="s">
        <v>0</v>
      </c>
      <c r="G91" s="5" t="s">
        <v>183</v>
      </c>
      <c r="H91" s="8">
        <v>33.880000000000003</v>
      </c>
      <c r="I91" s="7">
        <f>ROUND(117361.49,2)</f>
        <v>117361.49</v>
      </c>
    </row>
    <row r="92" spans="1:9" ht="39.6" x14ac:dyDescent="0.3">
      <c r="A92" s="4" t="s">
        <v>401</v>
      </c>
      <c r="B92" s="5" t="s">
        <v>1029</v>
      </c>
      <c r="C92" s="5" t="s">
        <v>181</v>
      </c>
      <c r="D92" s="5" t="s">
        <v>196</v>
      </c>
      <c r="E92" s="5" t="s">
        <v>0</v>
      </c>
      <c r="F92" s="5" t="s">
        <v>0</v>
      </c>
      <c r="G92" s="5" t="s">
        <v>183</v>
      </c>
      <c r="H92" s="8">
        <v>33.380000000000003</v>
      </c>
      <c r="I92" s="7">
        <f>ROUND(89970.63,2)</f>
        <v>89970.63</v>
      </c>
    </row>
    <row r="93" spans="1:9" ht="66" x14ac:dyDescent="0.3">
      <c r="A93" s="4" t="s">
        <v>402</v>
      </c>
      <c r="B93" s="5"/>
      <c r="C93" s="5" t="s">
        <v>244</v>
      </c>
      <c r="D93" s="5" t="s">
        <v>403</v>
      </c>
      <c r="E93" s="5" t="s">
        <v>404</v>
      </c>
      <c r="F93" s="5" t="s">
        <v>0</v>
      </c>
      <c r="G93" s="5" t="s">
        <v>247</v>
      </c>
      <c r="H93" s="8">
        <f>ROUND(20.2601,2)</f>
        <v>20.260000000000002</v>
      </c>
      <c r="I93" s="7">
        <f>ROUND(43148.77,2)</f>
        <v>43148.77</v>
      </c>
    </row>
    <row r="94" spans="1:9" ht="39.6" x14ac:dyDescent="0.3">
      <c r="A94" s="4" t="s">
        <v>405</v>
      </c>
      <c r="B94" s="5" t="s">
        <v>1029</v>
      </c>
      <c r="C94" s="5" t="s">
        <v>181</v>
      </c>
      <c r="D94" s="5" t="s">
        <v>406</v>
      </c>
      <c r="E94" s="5" t="s">
        <v>407</v>
      </c>
      <c r="F94" s="5" t="s">
        <v>0</v>
      </c>
      <c r="G94" s="5" t="s">
        <v>183</v>
      </c>
      <c r="H94" s="8">
        <v>32.090000000000003</v>
      </c>
      <c r="I94" s="7">
        <f>ROUND(31106.9799999999,2)</f>
        <v>31106.98</v>
      </c>
    </row>
    <row r="95" spans="1:9" ht="39.6" x14ac:dyDescent="0.3">
      <c r="A95" s="4" t="s">
        <v>408</v>
      </c>
      <c r="B95" s="5" t="s">
        <v>1029</v>
      </c>
      <c r="C95" s="5" t="s">
        <v>236</v>
      </c>
      <c r="D95" s="5" t="s">
        <v>309</v>
      </c>
      <c r="E95" s="5" t="s">
        <v>0</v>
      </c>
      <c r="F95" s="5" t="s">
        <v>0</v>
      </c>
      <c r="G95" s="5" t="s">
        <v>238</v>
      </c>
      <c r="H95" s="8">
        <v>37.75</v>
      </c>
      <c r="I95" s="7">
        <f>ROUND(130578.979999999,2)</f>
        <v>130578.98</v>
      </c>
    </row>
    <row r="96" spans="1:9" ht="66" x14ac:dyDescent="0.3">
      <c r="A96" s="4" t="s">
        <v>409</v>
      </c>
      <c r="B96" s="5"/>
      <c r="C96" s="5" t="s">
        <v>294</v>
      </c>
      <c r="D96" s="5" t="s">
        <v>410</v>
      </c>
      <c r="E96" s="5" t="s">
        <v>411</v>
      </c>
      <c r="F96" s="5" t="s">
        <v>0</v>
      </c>
      <c r="G96" s="5" t="s">
        <v>315</v>
      </c>
      <c r="H96" s="8">
        <f>ROUND(1365.39,2)</f>
        <v>1365.39</v>
      </c>
      <c r="I96" s="7">
        <f>ROUND(33177.0499999999,2)</f>
        <v>33177.050000000003</v>
      </c>
    </row>
    <row r="97" spans="1:9" ht="39.6" x14ac:dyDescent="0.3">
      <c r="A97" s="4" t="s">
        <v>412</v>
      </c>
      <c r="B97" s="5" t="s">
        <v>1029</v>
      </c>
      <c r="C97" s="5" t="s">
        <v>181</v>
      </c>
      <c r="D97" s="5" t="s">
        <v>413</v>
      </c>
      <c r="E97" s="5" t="s">
        <v>0</v>
      </c>
      <c r="F97" s="5" t="s">
        <v>0</v>
      </c>
      <c r="G97" s="5" t="s">
        <v>183</v>
      </c>
      <c r="H97" s="8">
        <v>33.380000000000003</v>
      </c>
      <c r="I97" s="7">
        <f>ROUND(87246.8599999999,2)</f>
        <v>87246.86</v>
      </c>
    </row>
    <row r="98" spans="1:9" ht="39.6" x14ac:dyDescent="0.3">
      <c r="A98" s="4" t="s">
        <v>414</v>
      </c>
      <c r="B98" s="5" t="s">
        <v>1029</v>
      </c>
      <c r="C98" s="5" t="s">
        <v>181</v>
      </c>
      <c r="D98" s="5" t="s">
        <v>415</v>
      </c>
      <c r="E98" s="5" t="s">
        <v>0</v>
      </c>
      <c r="F98" s="5" t="s">
        <v>0</v>
      </c>
      <c r="G98" s="5" t="s">
        <v>183</v>
      </c>
      <c r="H98" s="8">
        <v>33.380000000000003</v>
      </c>
      <c r="I98" s="7">
        <f>ROUND(91722.2499999999,2)</f>
        <v>91722.25</v>
      </c>
    </row>
    <row r="99" spans="1:9" ht="39.6" x14ac:dyDescent="0.3">
      <c r="A99" s="4" t="s">
        <v>416</v>
      </c>
      <c r="B99" s="5" t="s">
        <v>1029</v>
      </c>
      <c r="C99" s="5" t="s">
        <v>181</v>
      </c>
      <c r="D99" s="5" t="s">
        <v>417</v>
      </c>
      <c r="E99" s="5" t="s">
        <v>418</v>
      </c>
      <c r="F99" s="5" t="s">
        <v>0</v>
      </c>
      <c r="G99" s="5" t="s">
        <v>183</v>
      </c>
      <c r="H99" s="8">
        <v>32.090000000000003</v>
      </c>
      <c r="I99" s="7">
        <f>ROUND(6418,2)</f>
        <v>6418</v>
      </c>
    </row>
    <row r="100" spans="1:9" ht="39.6" x14ac:dyDescent="0.3">
      <c r="A100" s="4" t="s">
        <v>419</v>
      </c>
      <c r="B100" s="5" t="s">
        <v>1029</v>
      </c>
      <c r="C100" s="5" t="s">
        <v>181</v>
      </c>
      <c r="D100" s="5" t="s">
        <v>420</v>
      </c>
      <c r="E100" s="5" t="s">
        <v>0</v>
      </c>
      <c r="F100" s="5" t="s">
        <v>0</v>
      </c>
      <c r="G100" s="5" t="s">
        <v>183</v>
      </c>
      <c r="H100" s="8">
        <v>33.380000000000003</v>
      </c>
      <c r="I100" s="7">
        <f>ROUND(35831.73,2)</f>
        <v>35831.730000000003</v>
      </c>
    </row>
    <row r="101" spans="1:9" ht="39.6" x14ac:dyDescent="0.3">
      <c r="A101" s="4" t="s">
        <v>421</v>
      </c>
      <c r="B101" s="5" t="s">
        <v>1029</v>
      </c>
      <c r="C101" s="5" t="s">
        <v>181</v>
      </c>
      <c r="D101" s="5" t="s">
        <v>422</v>
      </c>
      <c r="E101" s="5" t="s">
        <v>0</v>
      </c>
      <c r="F101" s="5" t="s">
        <v>254</v>
      </c>
      <c r="G101" s="5" t="s">
        <v>183</v>
      </c>
      <c r="H101" s="9">
        <v>33.04</v>
      </c>
      <c r="I101" s="7">
        <f>ROUND(41992.52,2)</f>
        <v>41992.52</v>
      </c>
    </row>
    <row r="102" spans="1:9" ht="39.6" x14ac:dyDescent="0.3">
      <c r="A102" s="4" t="s">
        <v>423</v>
      </c>
      <c r="B102" s="5" t="s">
        <v>1029</v>
      </c>
      <c r="C102" s="5" t="s">
        <v>181</v>
      </c>
      <c r="D102" s="5" t="s">
        <v>424</v>
      </c>
      <c r="E102" s="5" t="s">
        <v>0</v>
      </c>
      <c r="F102" s="5" t="s">
        <v>0</v>
      </c>
      <c r="G102" s="5" t="s">
        <v>183</v>
      </c>
      <c r="H102" s="9">
        <v>31.71</v>
      </c>
      <c r="I102" s="7">
        <f>ROUND(89233.33,2)</f>
        <v>89233.33</v>
      </c>
    </row>
    <row r="103" spans="1:9" ht="39.6" x14ac:dyDescent="0.3">
      <c r="A103" s="4" t="s">
        <v>425</v>
      </c>
      <c r="B103" s="5" t="s">
        <v>1029</v>
      </c>
      <c r="C103" s="5" t="s">
        <v>236</v>
      </c>
      <c r="D103" s="5" t="s">
        <v>426</v>
      </c>
      <c r="E103" s="5" t="s">
        <v>0</v>
      </c>
      <c r="F103" s="5" t="s">
        <v>0</v>
      </c>
      <c r="G103" s="5" t="s">
        <v>238</v>
      </c>
      <c r="H103" s="9">
        <v>38.15</v>
      </c>
      <c r="I103" s="7">
        <f>ROUND(98772.2599999999,2)</f>
        <v>98772.26</v>
      </c>
    </row>
    <row r="104" spans="1:9" ht="52.8" x14ac:dyDescent="0.3">
      <c r="A104" s="4" t="s">
        <v>427</v>
      </c>
      <c r="B104" s="5"/>
      <c r="C104" s="5" t="s">
        <v>201</v>
      </c>
      <c r="D104" s="5" t="s">
        <v>428</v>
      </c>
      <c r="E104" s="5" t="s">
        <v>429</v>
      </c>
      <c r="F104" s="5" t="s">
        <v>0</v>
      </c>
      <c r="G104" s="5" t="s">
        <v>203</v>
      </c>
      <c r="H104" s="8">
        <f>ROUND(18,2)</f>
        <v>18</v>
      </c>
      <c r="I104" s="7">
        <f>ROUND(7546.5,2)</f>
        <v>7546.5</v>
      </c>
    </row>
    <row r="105" spans="1:9" ht="39.6" x14ac:dyDescent="0.3">
      <c r="A105" s="4" t="s">
        <v>430</v>
      </c>
      <c r="B105" s="5" t="s">
        <v>1029</v>
      </c>
      <c r="C105" s="5" t="s">
        <v>236</v>
      </c>
      <c r="D105" s="5" t="s">
        <v>431</v>
      </c>
      <c r="E105" s="5" t="s">
        <v>0</v>
      </c>
      <c r="F105" s="5" t="s">
        <v>0</v>
      </c>
      <c r="G105" s="5" t="s">
        <v>238</v>
      </c>
      <c r="H105" s="8">
        <v>38.5</v>
      </c>
      <c r="I105" s="7">
        <f>ROUND(128517.099999999,2)</f>
        <v>128517.1</v>
      </c>
    </row>
    <row r="106" spans="1:9" ht="39.6" x14ac:dyDescent="0.3">
      <c r="A106" s="4" t="s">
        <v>432</v>
      </c>
      <c r="B106" s="5" t="s">
        <v>1029</v>
      </c>
      <c r="C106" s="5" t="s">
        <v>236</v>
      </c>
      <c r="D106" s="5" t="s">
        <v>433</v>
      </c>
      <c r="E106" s="5" t="s">
        <v>0</v>
      </c>
      <c r="F106" s="5" t="s">
        <v>0</v>
      </c>
      <c r="G106" s="5" t="s">
        <v>238</v>
      </c>
      <c r="H106" s="8">
        <v>37.75</v>
      </c>
      <c r="I106" s="7">
        <f>ROUND(144185.76,2)</f>
        <v>144185.76</v>
      </c>
    </row>
    <row r="107" spans="1:9" ht="39.6" x14ac:dyDescent="0.3">
      <c r="A107" s="4" t="s">
        <v>434</v>
      </c>
      <c r="B107" s="5" t="s">
        <v>1029</v>
      </c>
      <c r="C107" s="5" t="s">
        <v>236</v>
      </c>
      <c r="D107" s="5" t="s">
        <v>435</v>
      </c>
      <c r="E107" s="5" t="s">
        <v>0</v>
      </c>
      <c r="F107" s="5" t="s">
        <v>0</v>
      </c>
      <c r="G107" s="5" t="s">
        <v>330</v>
      </c>
      <c r="H107" s="8">
        <v>28.28</v>
      </c>
      <c r="I107" s="7">
        <f>ROUND(67047.05,2)</f>
        <v>67047.05</v>
      </c>
    </row>
    <row r="108" spans="1:9" ht="39.6" x14ac:dyDescent="0.3">
      <c r="A108" s="4" t="s">
        <v>436</v>
      </c>
      <c r="B108" s="5" t="s">
        <v>1029</v>
      </c>
      <c r="C108" s="5" t="s">
        <v>181</v>
      </c>
      <c r="D108" s="5" t="s">
        <v>437</v>
      </c>
      <c r="E108" s="5" t="s">
        <v>0</v>
      </c>
      <c r="F108" s="5" t="s">
        <v>0</v>
      </c>
      <c r="G108" s="5" t="s">
        <v>183</v>
      </c>
      <c r="H108" s="8">
        <v>34.04</v>
      </c>
      <c r="I108" s="7">
        <f>ROUND(83272.5799999999,2)</f>
        <v>83272.58</v>
      </c>
    </row>
    <row r="109" spans="1:9" ht="39.6" x14ac:dyDescent="0.3">
      <c r="A109" s="4" t="s">
        <v>438</v>
      </c>
      <c r="B109" s="5" t="s">
        <v>1029</v>
      </c>
      <c r="C109" s="5" t="s">
        <v>181</v>
      </c>
      <c r="D109" s="5" t="s">
        <v>439</v>
      </c>
      <c r="E109" s="5" t="s">
        <v>0</v>
      </c>
      <c r="F109" s="5" t="s">
        <v>0</v>
      </c>
      <c r="G109" s="5" t="s">
        <v>183</v>
      </c>
      <c r="H109" s="8">
        <v>33.880000000000003</v>
      </c>
      <c r="I109" s="7">
        <f>ROUND(77142.44,2)</f>
        <v>77142.44</v>
      </c>
    </row>
    <row r="110" spans="1:9" ht="52.8" x14ac:dyDescent="0.3">
      <c r="A110" s="4" t="s">
        <v>440</v>
      </c>
      <c r="B110" s="5" t="s">
        <v>1029</v>
      </c>
      <c r="C110" s="5" t="s">
        <v>236</v>
      </c>
      <c r="D110" s="5" t="s">
        <v>441</v>
      </c>
      <c r="E110" s="5" t="s">
        <v>0</v>
      </c>
      <c r="F110" s="5" t="s">
        <v>0</v>
      </c>
      <c r="G110" s="5" t="s">
        <v>330</v>
      </c>
      <c r="H110" s="9">
        <v>28.28</v>
      </c>
      <c r="I110" s="7">
        <f>ROUND(68129.76,2)</f>
        <v>68129.759999999995</v>
      </c>
    </row>
    <row r="111" spans="1:9" ht="39.6" x14ac:dyDescent="0.3">
      <c r="A111" s="4" t="s">
        <v>442</v>
      </c>
      <c r="B111" s="5" t="s">
        <v>1029</v>
      </c>
      <c r="C111" s="5" t="s">
        <v>236</v>
      </c>
      <c r="D111" s="5" t="s">
        <v>443</v>
      </c>
      <c r="E111" s="5" t="s">
        <v>444</v>
      </c>
      <c r="F111" s="5" t="s">
        <v>0</v>
      </c>
      <c r="G111" s="5" t="s">
        <v>330</v>
      </c>
      <c r="H111" s="8">
        <v>28.15</v>
      </c>
      <c r="I111" s="6"/>
    </row>
    <row r="112" spans="1:9" ht="39.6" x14ac:dyDescent="0.3">
      <c r="A112" s="4" t="s">
        <v>445</v>
      </c>
      <c r="B112" s="5" t="s">
        <v>1029</v>
      </c>
      <c r="C112" s="5" t="s">
        <v>181</v>
      </c>
      <c r="D112" s="5" t="s">
        <v>446</v>
      </c>
      <c r="E112" s="5" t="s">
        <v>0</v>
      </c>
      <c r="F112" s="5" t="s">
        <v>0</v>
      </c>
      <c r="G112" s="5" t="s">
        <v>183</v>
      </c>
      <c r="H112" s="8">
        <v>34.04</v>
      </c>
      <c r="I112" s="7">
        <f>ROUND(80470.45,2)</f>
        <v>80470.45</v>
      </c>
    </row>
    <row r="113" spans="1:9" ht="39.6" x14ac:dyDescent="0.3">
      <c r="A113" s="4" t="s">
        <v>447</v>
      </c>
      <c r="B113" s="5" t="s">
        <v>1029</v>
      </c>
      <c r="C113" s="5" t="s">
        <v>181</v>
      </c>
      <c r="D113" s="5" t="s">
        <v>390</v>
      </c>
      <c r="E113" s="5" t="s">
        <v>0</v>
      </c>
      <c r="F113" s="5" t="s">
        <v>0</v>
      </c>
      <c r="G113" s="5" t="s">
        <v>183</v>
      </c>
      <c r="H113" s="9">
        <v>33.380000000000003</v>
      </c>
      <c r="I113" s="7">
        <f>ROUND(85163.0999999999,2)</f>
        <v>85163.1</v>
      </c>
    </row>
    <row r="114" spans="1:9" ht="39.6" x14ac:dyDescent="0.3">
      <c r="A114" s="4" t="s">
        <v>448</v>
      </c>
      <c r="B114" s="5" t="s">
        <v>1029</v>
      </c>
      <c r="C114" s="5" t="s">
        <v>181</v>
      </c>
      <c r="D114" s="5" t="s">
        <v>449</v>
      </c>
      <c r="E114" s="5" t="s">
        <v>0</v>
      </c>
      <c r="F114" s="5" t="s">
        <v>0</v>
      </c>
      <c r="G114" s="5" t="s">
        <v>183</v>
      </c>
      <c r="H114" s="8">
        <v>33.71</v>
      </c>
      <c r="I114" s="7">
        <f>ROUND(74729.15,2)</f>
        <v>74729.149999999994</v>
      </c>
    </row>
    <row r="115" spans="1:9" ht="39.6" x14ac:dyDescent="0.3">
      <c r="A115" s="4" t="s">
        <v>450</v>
      </c>
      <c r="B115" s="5"/>
      <c r="C115" s="5" t="s">
        <v>285</v>
      </c>
      <c r="D115" s="5" t="s">
        <v>451</v>
      </c>
      <c r="E115" s="5" t="s">
        <v>0</v>
      </c>
      <c r="F115" s="5" t="s">
        <v>0</v>
      </c>
      <c r="G115" s="5" t="s">
        <v>452</v>
      </c>
      <c r="H115" s="8">
        <f>ROUND(19.788,2)</f>
        <v>19.79</v>
      </c>
      <c r="I115" s="7">
        <f>ROUND(43276.4899999999,2)</f>
        <v>43276.49</v>
      </c>
    </row>
    <row r="116" spans="1:9" ht="39.6" x14ac:dyDescent="0.3">
      <c r="A116" s="4" t="s">
        <v>453</v>
      </c>
      <c r="B116" s="5" t="s">
        <v>1029</v>
      </c>
      <c r="C116" s="5" t="s">
        <v>181</v>
      </c>
      <c r="D116" s="5" t="s">
        <v>377</v>
      </c>
      <c r="E116" s="5" t="s">
        <v>404</v>
      </c>
      <c r="F116" s="5" t="s">
        <v>0</v>
      </c>
      <c r="G116" s="5" t="s">
        <v>183</v>
      </c>
      <c r="H116" s="9">
        <v>17.5</v>
      </c>
      <c r="I116" s="7">
        <f>ROUND(2240,2)</f>
        <v>2240</v>
      </c>
    </row>
    <row r="117" spans="1:9" ht="66" x14ac:dyDescent="0.3">
      <c r="A117" s="4" t="s">
        <v>454</v>
      </c>
      <c r="B117" s="5"/>
      <c r="C117" s="5" t="s">
        <v>244</v>
      </c>
      <c r="D117" s="5" t="s">
        <v>455</v>
      </c>
      <c r="E117" s="5" t="s">
        <v>0</v>
      </c>
      <c r="F117" s="5" t="s">
        <v>0</v>
      </c>
      <c r="G117" s="5" t="s">
        <v>247</v>
      </c>
      <c r="H117" s="8">
        <f>ROUND(24.7509,2)</f>
        <v>24.75</v>
      </c>
      <c r="I117" s="7">
        <f>ROUND(72503.56,2)</f>
        <v>72503.56</v>
      </c>
    </row>
    <row r="118" spans="1:9" ht="66" x14ac:dyDescent="0.3">
      <c r="A118" s="4" t="s">
        <v>456</v>
      </c>
      <c r="B118" s="5"/>
      <c r="C118" s="5" t="s">
        <v>244</v>
      </c>
      <c r="D118" s="5" t="s">
        <v>457</v>
      </c>
      <c r="E118" s="5" t="s">
        <v>329</v>
      </c>
      <c r="F118" s="5" t="s">
        <v>0</v>
      </c>
      <c r="G118" s="5" t="s">
        <v>247</v>
      </c>
      <c r="H118" s="8">
        <f>ROUND(18,2)</f>
        <v>18</v>
      </c>
      <c r="I118" s="7">
        <f>ROUND(12793.5,2)</f>
        <v>12793.5</v>
      </c>
    </row>
    <row r="119" spans="1:9" ht="66" x14ac:dyDescent="0.3">
      <c r="A119" s="4" t="s">
        <v>458</v>
      </c>
      <c r="B119" s="5"/>
      <c r="C119" s="5" t="s">
        <v>244</v>
      </c>
      <c r="D119" s="5" t="s">
        <v>459</v>
      </c>
      <c r="E119" s="5" t="s">
        <v>0</v>
      </c>
      <c r="F119" s="5" t="s">
        <v>0</v>
      </c>
      <c r="G119" s="5" t="s">
        <v>247</v>
      </c>
      <c r="H119" s="8">
        <f>ROUND(20.8678,2)</f>
        <v>20.87</v>
      </c>
      <c r="I119" s="7">
        <f>ROUND(48296.07,2)</f>
        <v>48296.07</v>
      </c>
    </row>
    <row r="120" spans="1:9" ht="39.6" x14ac:dyDescent="0.3">
      <c r="A120" s="4" t="s">
        <v>460</v>
      </c>
      <c r="B120" s="5" t="s">
        <v>1029</v>
      </c>
      <c r="C120" s="5" t="s">
        <v>181</v>
      </c>
      <c r="D120" s="5" t="s">
        <v>461</v>
      </c>
      <c r="E120" s="5" t="s">
        <v>0</v>
      </c>
      <c r="F120" s="5" t="s">
        <v>0</v>
      </c>
      <c r="G120" s="5" t="s">
        <v>183</v>
      </c>
      <c r="H120" s="8">
        <v>33.380000000000003</v>
      </c>
      <c r="I120" s="7">
        <f>ROUND(85588.99,2)</f>
        <v>85588.99</v>
      </c>
    </row>
    <row r="121" spans="1:9" ht="66" x14ac:dyDescent="0.3">
      <c r="A121" s="4" t="s">
        <v>462</v>
      </c>
      <c r="B121" s="5"/>
      <c r="C121" s="5" t="s">
        <v>394</v>
      </c>
      <c r="D121" s="5" t="s">
        <v>463</v>
      </c>
      <c r="E121" s="5" t="s">
        <v>0</v>
      </c>
      <c r="F121" s="5" t="s">
        <v>0</v>
      </c>
      <c r="G121" s="5" t="s">
        <v>396</v>
      </c>
      <c r="H121" s="8">
        <f>ROUND(23,2)</f>
        <v>23</v>
      </c>
      <c r="I121" s="7">
        <f>ROUND(51401.88,2)</f>
        <v>51401.88</v>
      </c>
    </row>
    <row r="122" spans="1:9" ht="52.8" x14ac:dyDescent="0.3">
      <c r="A122" s="4" t="s">
        <v>464</v>
      </c>
      <c r="B122" s="5"/>
      <c r="C122" s="5" t="s">
        <v>305</v>
      </c>
      <c r="D122" s="5" t="s">
        <v>465</v>
      </c>
      <c r="E122" s="5" t="s">
        <v>0</v>
      </c>
      <c r="F122" s="5" t="s">
        <v>0</v>
      </c>
      <c r="G122" s="5" t="s">
        <v>466</v>
      </c>
      <c r="H122" s="8">
        <f>ROUND(1020.4,2)</f>
        <v>1020.4</v>
      </c>
      <c r="I122" s="7">
        <f>ROUND(56685.8,2)</f>
        <v>56685.8</v>
      </c>
    </row>
    <row r="123" spans="1:9" ht="39.6" x14ac:dyDescent="0.3">
      <c r="A123" s="4" t="s">
        <v>467</v>
      </c>
      <c r="B123" s="5" t="s">
        <v>1029</v>
      </c>
      <c r="C123" s="5" t="s">
        <v>181</v>
      </c>
      <c r="D123" s="5" t="s">
        <v>468</v>
      </c>
      <c r="E123" s="5" t="s">
        <v>0</v>
      </c>
      <c r="F123" s="5" t="s">
        <v>0</v>
      </c>
      <c r="G123" s="5" t="s">
        <v>183</v>
      </c>
      <c r="H123" s="8">
        <v>33.380000000000003</v>
      </c>
      <c r="I123" s="7">
        <f>ROUND(54312.42,2)</f>
        <v>54312.42</v>
      </c>
    </row>
    <row r="124" spans="1:9" ht="39.6" x14ac:dyDescent="0.3">
      <c r="A124" s="4" t="s">
        <v>469</v>
      </c>
      <c r="B124" s="5" t="s">
        <v>1029</v>
      </c>
      <c r="C124" s="5" t="s">
        <v>181</v>
      </c>
      <c r="D124" s="5" t="s">
        <v>196</v>
      </c>
      <c r="E124" s="5" t="s">
        <v>0</v>
      </c>
      <c r="F124" s="5" t="s">
        <v>0</v>
      </c>
      <c r="G124" s="5" t="s">
        <v>183</v>
      </c>
      <c r="H124" s="8">
        <v>33.380000000000003</v>
      </c>
      <c r="I124" s="7">
        <f>ROUND(103768.39,2)</f>
        <v>103768.39</v>
      </c>
    </row>
    <row r="125" spans="1:9" ht="39.6" x14ac:dyDescent="0.3">
      <c r="A125" s="4" t="s">
        <v>470</v>
      </c>
      <c r="B125" s="5" t="s">
        <v>1029</v>
      </c>
      <c r="C125" s="5" t="s">
        <v>181</v>
      </c>
      <c r="D125" s="5" t="s">
        <v>471</v>
      </c>
      <c r="E125" s="5" t="s">
        <v>0</v>
      </c>
      <c r="F125" s="5" t="s">
        <v>0</v>
      </c>
      <c r="G125" s="5" t="s">
        <v>183</v>
      </c>
      <c r="H125" s="9">
        <v>28.37</v>
      </c>
      <c r="I125" s="7">
        <f>ROUND(35585.45,2)</f>
        <v>35585.449999999997</v>
      </c>
    </row>
    <row r="126" spans="1:9" ht="66" x14ac:dyDescent="0.3">
      <c r="A126" s="4" t="s">
        <v>472</v>
      </c>
      <c r="B126" s="5"/>
      <c r="C126" s="5" t="s">
        <v>294</v>
      </c>
      <c r="D126" s="5" t="s">
        <v>368</v>
      </c>
      <c r="E126" s="5" t="s">
        <v>473</v>
      </c>
      <c r="F126" s="5" t="s">
        <v>0</v>
      </c>
      <c r="G126" s="5" t="s">
        <v>474</v>
      </c>
      <c r="H126" s="8">
        <f>ROUND(1406.89,2)</f>
        <v>1406.89</v>
      </c>
      <c r="I126" s="7">
        <f>ROUND(47833.3599999999,2)</f>
        <v>47833.36</v>
      </c>
    </row>
    <row r="127" spans="1:9" ht="66" x14ac:dyDescent="0.3">
      <c r="A127" s="4" t="s">
        <v>475</v>
      </c>
      <c r="B127" s="5"/>
      <c r="C127" s="5" t="s">
        <v>476</v>
      </c>
      <c r="D127" s="5" t="s">
        <v>477</v>
      </c>
      <c r="E127" s="5" t="s">
        <v>0</v>
      </c>
      <c r="F127" s="5" t="s">
        <v>0</v>
      </c>
      <c r="G127" s="5" t="s">
        <v>478</v>
      </c>
      <c r="H127" s="8">
        <f>ROUND(1400.06,2)</f>
        <v>1400.06</v>
      </c>
      <c r="I127" s="7">
        <f>ROUND(90063.3199999999,2)</f>
        <v>90063.32</v>
      </c>
    </row>
    <row r="128" spans="1:9" ht="39.6" x14ac:dyDescent="0.3">
      <c r="A128" s="4" t="s">
        <v>479</v>
      </c>
      <c r="B128" s="5" t="s">
        <v>1029</v>
      </c>
      <c r="C128" s="5" t="s">
        <v>181</v>
      </c>
      <c r="D128" s="5" t="s">
        <v>349</v>
      </c>
      <c r="E128" s="5" t="s">
        <v>0</v>
      </c>
      <c r="F128" s="5" t="s">
        <v>0</v>
      </c>
      <c r="G128" s="5" t="s">
        <v>183</v>
      </c>
      <c r="H128" s="8">
        <v>33.380000000000003</v>
      </c>
      <c r="I128" s="7">
        <f>ROUND(92217.08,2)</f>
        <v>92217.08</v>
      </c>
    </row>
    <row r="129" spans="1:9" ht="39.6" x14ac:dyDescent="0.3">
      <c r="A129" s="4" t="s">
        <v>480</v>
      </c>
      <c r="B129" s="5" t="s">
        <v>1029</v>
      </c>
      <c r="C129" s="5" t="s">
        <v>181</v>
      </c>
      <c r="D129" s="5" t="s">
        <v>435</v>
      </c>
      <c r="E129" s="5" t="s">
        <v>0</v>
      </c>
      <c r="F129" s="5" t="s">
        <v>0</v>
      </c>
      <c r="G129" s="5" t="s">
        <v>183</v>
      </c>
      <c r="H129" s="8">
        <v>33.380000000000003</v>
      </c>
      <c r="I129" s="7">
        <f>ROUND(80371.0799999999,2)</f>
        <v>80371.08</v>
      </c>
    </row>
    <row r="130" spans="1:9" ht="39.6" x14ac:dyDescent="0.3">
      <c r="A130" s="4" t="s">
        <v>481</v>
      </c>
      <c r="B130" s="5" t="s">
        <v>1029</v>
      </c>
      <c r="C130" s="5" t="s">
        <v>181</v>
      </c>
      <c r="D130" s="5" t="s">
        <v>215</v>
      </c>
      <c r="E130" s="5" t="s">
        <v>0</v>
      </c>
      <c r="F130" s="5" t="s">
        <v>0</v>
      </c>
      <c r="G130" s="5" t="s">
        <v>183</v>
      </c>
      <c r="H130" s="8">
        <v>33.380000000000003</v>
      </c>
      <c r="I130" s="7">
        <f>ROUND(79975.5799999999,2)</f>
        <v>79975.58</v>
      </c>
    </row>
    <row r="131" spans="1:9" ht="39.6" x14ac:dyDescent="0.3">
      <c r="A131" s="4" t="s">
        <v>482</v>
      </c>
      <c r="B131" s="5" t="s">
        <v>1029</v>
      </c>
      <c r="C131" s="5" t="s">
        <v>181</v>
      </c>
      <c r="D131" s="5" t="s">
        <v>372</v>
      </c>
      <c r="E131" s="5" t="s">
        <v>0</v>
      </c>
      <c r="F131" s="5" t="s">
        <v>0</v>
      </c>
      <c r="G131" s="5" t="s">
        <v>183</v>
      </c>
      <c r="H131" s="8">
        <v>33.380000000000003</v>
      </c>
      <c r="I131" s="7">
        <f>ROUND(115199.749999999,2)</f>
        <v>115199.75</v>
      </c>
    </row>
    <row r="132" spans="1:9" ht="52.8" x14ac:dyDescent="0.3">
      <c r="A132" s="4" t="s">
        <v>483</v>
      </c>
      <c r="B132" s="5"/>
      <c r="C132" s="5" t="s">
        <v>270</v>
      </c>
      <c r="D132" s="5" t="s">
        <v>484</v>
      </c>
      <c r="E132" s="5" t="s">
        <v>0</v>
      </c>
      <c r="F132" s="5" t="s">
        <v>0</v>
      </c>
      <c r="G132" s="5" t="s">
        <v>485</v>
      </c>
      <c r="H132" s="8">
        <f>ROUND(1024.64,2)</f>
        <v>1024.6400000000001</v>
      </c>
      <c r="I132" s="7">
        <f>ROUND(55257.0599999999,2)</f>
        <v>55257.06</v>
      </c>
    </row>
    <row r="133" spans="1:9" ht="39.6" x14ac:dyDescent="0.3">
      <c r="A133" s="4" t="s">
        <v>486</v>
      </c>
      <c r="B133" s="5"/>
      <c r="C133" s="5" t="s">
        <v>360</v>
      </c>
      <c r="D133" s="5" t="s">
        <v>278</v>
      </c>
      <c r="E133" s="5" t="s">
        <v>0</v>
      </c>
      <c r="F133" s="5" t="s">
        <v>0</v>
      </c>
      <c r="G133" s="5" t="s">
        <v>487</v>
      </c>
      <c r="H133" s="8">
        <f>ROUND(1057.88,2)</f>
        <v>1057.8800000000001</v>
      </c>
      <c r="I133" s="7">
        <f>ROUND(23286.87,2)</f>
        <v>23286.87</v>
      </c>
    </row>
    <row r="134" spans="1:9" ht="39.6" x14ac:dyDescent="0.3">
      <c r="A134" s="4" t="s">
        <v>488</v>
      </c>
      <c r="B134" s="5" t="s">
        <v>1029</v>
      </c>
      <c r="C134" s="5" t="s">
        <v>236</v>
      </c>
      <c r="D134" s="5" t="s">
        <v>489</v>
      </c>
      <c r="E134" s="5" t="s">
        <v>0</v>
      </c>
      <c r="F134" s="5" t="s">
        <v>0</v>
      </c>
      <c r="G134" s="5" t="s">
        <v>330</v>
      </c>
      <c r="H134" s="9">
        <v>28.28</v>
      </c>
      <c r="I134" s="7">
        <f>ROUND(72136.72,2)</f>
        <v>72136.72</v>
      </c>
    </row>
    <row r="135" spans="1:9" ht="66" x14ac:dyDescent="0.3">
      <c r="A135" s="4" t="s">
        <v>490</v>
      </c>
      <c r="B135" s="5"/>
      <c r="C135" s="5" t="s">
        <v>244</v>
      </c>
      <c r="D135" s="5" t="s">
        <v>491</v>
      </c>
      <c r="E135" s="5" t="s">
        <v>0</v>
      </c>
      <c r="F135" s="5" t="s">
        <v>0</v>
      </c>
      <c r="G135" s="5" t="s">
        <v>247</v>
      </c>
      <c r="H135" s="8">
        <f>ROUND(18,2)</f>
        <v>18</v>
      </c>
      <c r="I135" s="7">
        <f>ROUND(29736,2)</f>
        <v>29736</v>
      </c>
    </row>
    <row r="136" spans="1:9" ht="52.8" x14ac:dyDescent="0.3">
      <c r="A136" s="4" t="s">
        <v>492</v>
      </c>
      <c r="B136" s="5"/>
      <c r="C136" s="5" t="s">
        <v>201</v>
      </c>
      <c r="D136" s="5" t="s">
        <v>428</v>
      </c>
      <c r="E136" s="5" t="s">
        <v>0</v>
      </c>
      <c r="F136" s="5" t="s">
        <v>0</v>
      </c>
      <c r="G136" s="5" t="s">
        <v>203</v>
      </c>
      <c r="H136" s="8">
        <f>ROUND(18,2)</f>
        <v>18</v>
      </c>
      <c r="I136" s="7">
        <f>ROUND(16353,2)</f>
        <v>16353</v>
      </c>
    </row>
    <row r="137" spans="1:9" ht="39.6" x14ac:dyDescent="0.3">
      <c r="A137" s="4" t="s">
        <v>493</v>
      </c>
      <c r="B137" s="5" t="s">
        <v>1029</v>
      </c>
      <c r="C137" s="5" t="s">
        <v>181</v>
      </c>
      <c r="D137" s="5" t="s">
        <v>332</v>
      </c>
      <c r="E137" s="5" t="s">
        <v>0</v>
      </c>
      <c r="F137" s="5" t="s">
        <v>0</v>
      </c>
      <c r="G137" s="5" t="s">
        <v>183</v>
      </c>
      <c r="H137" s="8">
        <v>33.380000000000003</v>
      </c>
      <c r="I137" s="7">
        <f>ROUND(82540.58,2)</f>
        <v>82540.58</v>
      </c>
    </row>
    <row r="138" spans="1:9" ht="66" x14ac:dyDescent="0.3">
      <c r="A138" s="4" t="s">
        <v>494</v>
      </c>
      <c r="B138" s="5"/>
      <c r="C138" s="5" t="s">
        <v>394</v>
      </c>
      <c r="D138" s="5" t="s">
        <v>465</v>
      </c>
      <c r="E138" s="5" t="s">
        <v>0</v>
      </c>
      <c r="F138" s="5" t="s">
        <v>0</v>
      </c>
      <c r="G138" s="5" t="s">
        <v>396</v>
      </c>
      <c r="H138" s="8">
        <f>ROUND(22,2)</f>
        <v>22</v>
      </c>
      <c r="I138" s="7">
        <f>ROUND(48752,2)</f>
        <v>48752</v>
      </c>
    </row>
    <row r="139" spans="1:9" ht="66" x14ac:dyDescent="0.3">
      <c r="A139" s="4" t="s">
        <v>495</v>
      </c>
      <c r="B139" s="5"/>
      <c r="C139" s="5" t="s">
        <v>476</v>
      </c>
      <c r="D139" s="5" t="s">
        <v>496</v>
      </c>
      <c r="E139" s="5" t="s">
        <v>0</v>
      </c>
      <c r="F139" s="5" t="s">
        <v>0</v>
      </c>
      <c r="G139" s="5" t="s">
        <v>497</v>
      </c>
      <c r="H139" s="8">
        <f>ROUND(1809.3,2)</f>
        <v>1809.3</v>
      </c>
      <c r="I139" s="7">
        <f>ROUND(106103.62,2)</f>
        <v>106103.62</v>
      </c>
    </row>
    <row r="140" spans="1:9" ht="39.6" x14ac:dyDescent="0.3">
      <c r="A140" s="4" t="s">
        <v>498</v>
      </c>
      <c r="B140" s="5" t="s">
        <v>1029</v>
      </c>
      <c r="C140" s="5" t="s">
        <v>181</v>
      </c>
      <c r="D140" s="5" t="s">
        <v>499</v>
      </c>
      <c r="E140" s="5" t="s">
        <v>0</v>
      </c>
      <c r="F140" s="5" t="s">
        <v>0</v>
      </c>
      <c r="G140" s="5" t="s">
        <v>183</v>
      </c>
      <c r="H140" s="8">
        <v>33.880000000000003</v>
      </c>
      <c r="I140" s="7">
        <f>ROUND(115790.439999999,2)</f>
        <v>115790.44</v>
      </c>
    </row>
    <row r="141" spans="1:9" ht="79.2" x14ac:dyDescent="0.3">
      <c r="A141" s="4" t="s">
        <v>500</v>
      </c>
      <c r="B141" s="5"/>
      <c r="C141" s="5" t="s">
        <v>294</v>
      </c>
      <c r="D141" s="5" t="s">
        <v>501</v>
      </c>
      <c r="E141" s="5" t="s">
        <v>0</v>
      </c>
      <c r="F141" s="5" t="s">
        <v>0</v>
      </c>
      <c r="G141" s="5" t="s">
        <v>502</v>
      </c>
      <c r="H141" s="8">
        <f>ROUND(1709.9,2)</f>
        <v>1709.9</v>
      </c>
      <c r="I141" s="7">
        <f>ROUND(96603.4599999999,2)</f>
        <v>96603.46</v>
      </c>
    </row>
    <row r="142" spans="1:9" ht="39.6" x14ac:dyDescent="0.3">
      <c r="A142" s="4" t="s">
        <v>503</v>
      </c>
      <c r="B142" s="5"/>
      <c r="C142" s="5" t="s">
        <v>285</v>
      </c>
      <c r="D142" s="5" t="s">
        <v>504</v>
      </c>
      <c r="E142" s="5" t="s">
        <v>0</v>
      </c>
      <c r="F142" s="5" t="s">
        <v>0</v>
      </c>
      <c r="G142" s="5" t="s">
        <v>505</v>
      </c>
      <c r="H142" s="8">
        <f>ROUND(2835.37,2)</f>
        <v>2835.37</v>
      </c>
      <c r="I142" s="7">
        <f>ROUND(157079.499999999,2)</f>
        <v>157079.5</v>
      </c>
    </row>
    <row r="143" spans="1:9" ht="39.6" x14ac:dyDescent="0.3">
      <c r="A143" s="4" t="s">
        <v>506</v>
      </c>
      <c r="B143" s="5" t="s">
        <v>1029</v>
      </c>
      <c r="C143" s="5" t="s">
        <v>236</v>
      </c>
      <c r="D143" s="5" t="s">
        <v>507</v>
      </c>
      <c r="E143" s="5" t="s">
        <v>0</v>
      </c>
      <c r="F143" s="5" t="s">
        <v>0</v>
      </c>
      <c r="G143" s="5" t="s">
        <v>508</v>
      </c>
      <c r="H143" s="8">
        <v>39.11</v>
      </c>
      <c r="I143" s="7">
        <f>ROUND(99696.85,2)</f>
        <v>99696.85</v>
      </c>
    </row>
    <row r="144" spans="1:9" ht="39.6" x14ac:dyDescent="0.3">
      <c r="A144" s="4" t="s">
        <v>509</v>
      </c>
      <c r="B144" s="5" t="s">
        <v>1029</v>
      </c>
      <c r="C144" s="5" t="s">
        <v>181</v>
      </c>
      <c r="D144" s="5" t="s">
        <v>510</v>
      </c>
      <c r="E144" s="5" t="s">
        <v>0</v>
      </c>
      <c r="F144" s="5" t="s">
        <v>0</v>
      </c>
      <c r="G144" s="5" t="s">
        <v>183</v>
      </c>
      <c r="H144" s="8">
        <v>33.71</v>
      </c>
      <c r="I144" s="7">
        <f>ROUND(126784.13,2)</f>
        <v>126784.13</v>
      </c>
    </row>
    <row r="145" spans="1:9" ht="52.8" x14ac:dyDescent="0.3">
      <c r="A145" s="4" t="s">
        <v>511</v>
      </c>
      <c r="B145" s="5"/>
      <c r="C145" s="5" t="s">
        <v>281</v>
      </c>
      <c r="D145" s="5" t="s">
        <v>512</v>
      </c>
      <c r="E145" s="5" t="s">
        <v>0</v>
      </c>
      <c r="F145" s="5" t="s">
        <v>0</v>
      </c>
      <c r="G145" s="5" t="s">
        <v>513</v>
      </c>
      <c r="H145" s="8">
        <f>ROUND(3530.77,2)</f>
        <v>3530.77</v>
      </c>
      <c r="I145" s="7">
        <f>ROUND(195604.659999999,2)</f>
        <v>195604.66</v>
      </c>
    </row>
    <row r="146" spans="1:9" ht="39.6" x14ac:dyDescent="0.3">
      <c r="A146" s="4" t="s">
        <v>514</v>
      </c>
      <c r="B146" s="5" t="s">
        <v>1029</v>
      </c>
      <c r="C146" s="5" t="s">
        <v>181</v>
      </c>
      <c r="D146" s="5" t="s">
        <v>515</v>
      </c>
      <c r="E146" s="5" t="s">
        <v>0</v>
      </c>
      <c r="F146" s="5" t="s">
        <v>0</v>
      </c>
      <c r="G146" s="5" t="s">
        <v>183</v>
      </c>
      <c r="H146" s="8">
        <v>34.04</v>
      </c>
      <c r="I146" s="7">
        <f>ROUND(110688.519999999,2)</f>
        <v>110688.52</v>
      </c>
    </row>
    <row r="147" spans="1:9" ht="39.6" x14ac:dyDescent="0.3">
      <c r="A147" s="4" t="s">
        <v>516</v>
      </c>
      <c r="B147" s="5" t="s">
        <v>1029</v>
      </c>
      <c r="C147" s="5" t="s">
        <v>181</v>
      </c>
      <c r="D147" s="5" t="s">
        <v>517</v>
      </c>
      <c r="E147" s="5" t="s">
        <v>0</v>
      </c>
      <c r="F147" s="5" t="s">
        <v>0</v>
      </c>
      <c r="G147" s="5" t="s">
        <v>183</v>
      </c>
      <c r="H147" s="8">
        <v>33.71</v>
      </c>
      <c r="I147" s="7">
        <f>ROUND(75102.31,2)</f>
        <v>75102.31</v>
      </c>
    </row>
    <row r="148" spans="1:9" ht="39.6" x14ac:dyDescent="0.3">
      <c r="A148" s="4" t="s">
        <v>518</v>
      </c>
      <c r="B148" s="5" t="s">
        <v>1029</v>
      </c>
      <c r="C148" s="5" t="s">
        <v>181</v>
      </c>
      <c r="D148" s="5" t="s">
        <v>519</v>
      </c>
      <c r="E148" s="5" t="s">
        <v>0</v>
      </c>
      <c r="F148" s="5" t="s">
        <v>0</v>
      </c>
      <c r="G148" s="5" t="s">
        <v>183</v>
      </c>
      <c r="H148" s="8">
        <v>33.880000000000003</v>
      </c>
      <c r="I148" s="7">
        <f>ROUND(51970.1,2)</f>
        <v>51970.1</v>
      </c>
    </row>
    <row r="149" spans="1:9" ht="39.6" x14ac:dyDescent="0.3">
      <c r="A149" s="4" t="s">
        <v>520</v>
      </c>
      <c r="B149" s="5" t="s">
        <v>1029</v>
      </c>
      <c r="C149" s="5" t="s">
        <v>181</v>
      </c>
      <c r="D149" s="5" t="s">
        <v>335</v>
      </c>
      <c r="E149" s="5" t="s">
        <v>0</v>
      </c>
      <c r="F149" s="5" t="s">
        <v>0</v>
      </c>
      <c r="G149" s="5" t="s">
        <v>183</v>
      </c>
      <c r="H149" s="8">
        <v>33.380000000000003</v>
      </c>
      <c r="I149" s="7">
        <f>ROUND(42060.7299999999,2)</f>
        <v>42060.73</v>
      </c>
    </row>
    <row r="150" spans="1:9" ht="39.6" x14ac:dyDescent="0.3">
      <c r="A150" s="4" t="s">
        <v>521</v>
      </c>
      <c r="B150" s="5" t="s">
        <v>1029</v>
      </c>
      <c r="C150" s="5" t="s">
        <v>236</v>
      </c>
      <c r="D150" s="5" t="s">
        <v>522</v>
      </c>
      <c r="E150" s="5" t="s">
        <v>0</v>
      </c>
      <c r="F150" s="5" t="s">
        <v>0</v>
      </c>
      <c r="G150" s="5" t="s">
        <v>330</v>
      </c>
      <c r="H150" s="8">
        <v>28.56</v>
      </c>
      <c r="I150" s="7">
        <f>ROUND(70730.16,2)</f>
        <v>70730.16</v>
      </c>
    </row>
    <row r="151" spans="1:9" ht="52.8" x14ac:dyDescent="0.3">
      <c r="A151" s="4" t="s">
        <v>523</v>
      </c>
      <c r="B151" s="5" t="s">
        <v>1029</v>
      </c>
      <c r="C151" s="5" t="s">
        <v>181</v>
      </c>
      <c r="D151" s="5" t="s">
        <v>194</v>
      </c>
      <c r="E151" s="5" t="s">
        <v>0</v>
      </c>
      <c r="F151" s="5" t="s">
        <v>0</v>
      </c>
      <c r="G151" s="5" t="s">
        <v>183</v>
      </c>
      <c r="H151" s="8">
        <v>33.380000000000003</v>
      </c>
      <c r="I151" s="7">
        <f>ROUND(89142.0299999999,2)</f>
        <v>89142.03</v>
      </c>
    </row>
    <row r="152" spans="1:9" ht="39.6" x14ac:dyDescent="0.3">
      <c r="A152" s="4" t="s">
        <v>524</v>
      </c>
      <c r="B152" s="5" t="s">
        <v>1029</v>
      </c>
      <c r="C152" s="5" t="s">
        <v>181</v>
      </c>
      <c r="D152" s="5" t="s">
        <v>335</v>
      </c>
      <c r="E152" s="5" t="s">
        <v>0</v>
      </c>
      <c r="F152" s="5" t="s">
        <v>0</v>
      </c>
      <c r="G152" s="5" t="s">
        <v>183</v>
      </c>
      <c r="H152" s="6">
        <v>33.380000000000003</v>
      </c>
      <c r="I152" s="7">
        <f>ROUND(80991.18,2)</f>
        <v>80991.179999999993</v>
      </c>
    </row>
    <row r="153" spans="1:9" ht="39.6" x14ac:dyDescent="0.3">
      <c r="A153" s="4" t="s">
        <v>525</v>
      </c>
      <c r="B153" s="5" t="s">
        <v>1029</v>
      </c>
      <c r="C153" s="5" t="s">
        <v>181</v>
      </c>
      <c r="D153" s="5" t="s">
        <v>342</v>
      </c>
      <c r="E153" s="5" t="s">
        <v>0</v>
      </c>
      <c r="F153" s="5" t="s">
        <v>0</v>
      </c>
      <c r="G153" s="5" t="s">
        <v>183</v>
      </c>
      <c r="H153" s="8">
        <v>33.380000000000003</v>
      </c>
      <c r="I153" s="7">
        <f>ROUND(93457.04,2)</f>
        <v>93457.04</v>
      </c>
    </row>
    <row r="154" spans="1:9" ht="39.6" x14ac:dyDescent="0.3">
      <c r="A154" s="4" t="s">
        <v>526</v>
      </c>
      <c r="B154" s="5" t="s">
        <v>1029</v>
      </c>
      <c r="C154" s="5" t="s">
        <v>181</v>
      </c>
      <c r="D154" s="5" t="s">
        <v>527</v>
      </c>
      <c r="E154" s="5" t="s">
        <v>528</v>
      </c>
      <c r="F154" s="5" t="s">
        <v>0</v>
      </c>
      <c r="G154" s="5" t="s">
        <v>183</v>
      </c>
      <c r="H154" s="8">
        <v>33.71</v>
      </c>
      <c r="I154" s="7">
        <f>ROUND(51735.36,2)</f>
        <v>51735.360000000001</v>
      </c>
    </row>
    <row r="155" spans="1:9" ht="92.4" x14ac:dyDescent="0.3">
      <c r="A155" s="4" t="s">
        <v>529</v>
      </c>
      <c r="B155" s="5"/>
      <c r="C155" s="5" t="s">
        <v>394</v>
      </c>
      <c r="D155" s="5" t="s">
        <v>530</v>
      </c>
      <c r="E155" s="5" t="s">
        <v>0</v>
      </c>
      <c r="F155" s="5" t="s">
        <v>0</v>
      </c>
      <c r="G155" s="5" t="s">
        <v>531</v>
      </c>
      <c r="H155" s="8">
        <f>ROUND(2576.4,2)</f>
        <v>2576.4</v>
      </c>
      <c r="I155" s="7">
        <f>ROUND(142732.559999999,2)</f>
        <v>142732.56</v>
      </c>
    </row>
    <row r="156" spans="1:9" ht="39.6" x14ac:dyDescent="0.3">
      <c r="A156" s="4" t="s">
        <v>532</v>
      </c>
      <c r="B156" s="5" t="s">
        <v>1029</v>
      </c>
      <c r="C156" s="5" t="s">
        <v>181</v>
      </c>
      <c r="D156" s="5" t="s">
        <v>468</v>
      </c>
      <c r="E156" s="5" t="s">
        <v>0</v>
      </c>
      <c r="F156" s="5" t="s">
        <v>0</v>
      </c>
      <c r="G156" s="5" t="s">
        <v>183</v>
      </c>
      <c r="H156" s="8">
        <v>33.71</v>
      </c>
      <c r="I156" s="7">
        <f>ROUND(83429.9,2)</f>
        <v>83429.899999999994</v>
      </c>
    </row>
    <row r="157" spans="1:9" ht="52.8" x14ac:dyDescent="0.3">
      <c r="A157" s="4" t="s">
        <v>533</v>
      </c>
      <c r="B157" s="5"/>
      <c r="C157" s="5" t="s">
        <v>201</v>
      </c>
      <c r="D157" s="5" t="s">
        <v>534</v>
      </c>
      <c r="E157" s="5" t="s">
        <v>0</v>
      </c>
      <c r="F157" s="5" t="s">
        <v>535</v>
      </c>
      <c r="G157" s="5" t="s">
        <v>203</v>
      </c>
      <c r="H157" s="8">
        <f>ROUND(18,2)</f>
        <v>18</v>
      </c>
      <c r="I157" s="7">
        <f>ROUND(23294.25,2)</f>
        <v>23294.25</v>
      </c>
    </row>
    <row r="158" spans="1:9" ht="39.6" x14ac:dyDescent="0.3">
      <c r="A158" s="4" t="s">
        <v>536</v>
      </c>
      <c r="B158" s="5" t="s">
        <v>1029</v>
      </c>
      <c r="C158" s="5" t="s">
        <v>181</v>
      </c>
      <c r="D158" s="5" t="s">
        <v>537</v>
      </c>
      <c r="E158" s="5" t="s">
        <v>0</v>
      </c>
      <c r="F158" s="5" t="s">
        <v>0</v>
      </c>
      <c r="G158" s="5" t="s">
        <v>183</v>
      </c>
      <c r="H158" s="8">
        <v>33.380000000000003</v>
      </c>
      <c r="I158" s="7">
        <f>ROUND(79962.29,2)</f>
        <v>79962.289999999994</v>
      </c>
    </row>
    <row r="159" spans="1:9" ht="39.6" x14ac:dyDescent="0.3">
      <c r="A159" s="4" t="s">
        <v>538</v>
      </c>
      <c r="B159" s="5" t="s">
        <v>1029</v>
      </c>
      <c r="C159" s="5" t="s">
        <v>181</v>
      </c>
      <c r="D159" s="5" t="s">
        <v>276</v>
      </c>
      <c r="E159" s="5" t="s">
        <v>0</v>
      </c>
      <c r="F159" s="5" t="s">
        <v>0</v>
      </c>
      <c r="G159" s="5" t="s">
        <v>183</v>
      </c>
      <c r="H159" s="8">
        <v>33.380000000000003</v>
      </c>
      <c r="I159" s="7">
        <f>ROUND(97506.9499999999,2)</f>
        <v>97506.95</v>
      </c>
    </row>
    <row r="160" spans="1:9" ht="39.6" x14ac:dyDescent="0.3">
      <c r="A160" s="4" t="s">
        <v>539</v>
      </c>
      <c r="B160" s="5" t="s">
        <v>1029</v>
      </c>
      <c r="C160" s="5" t="s">
        <v>181</v>
      </c>
      <c r="D160" s="5" t="s">
        <v>188</v>
      </c>
      <c r="E160" s="5" t="s">
        <v>0</v>
      </c>
      <c r="F160" s="5" t="s">
        <v>0</v>
      </c>
      <c r="G160" s="5" t="s">
        <v>183</v>
      </c>
      <c r="H160" s="8">
        <v>33.380000000000003</v>
      </c>
      <c r="I160" s="7">
        <f>ROUND(80758.54,2)</f>
        <v>80758.539999999994</v>
      </c>
    </row>
    <row r="161" spans="1:9" ht="79.2" x14ac:dyDescent="0.3">
      <c r="A161" s="4" t="s">
        <v>540</v>
      </c>
      <c r="B161" s="5"/>
      <c r="C161" s="5" t="s">
        <v>476</v>
      </c>
      <c r="D161" s="5" t="s">
        <v>541</v>
      </c>
      <c r="E161" s="5" t="s">
        <v>542</v>
      </c>
      <c r="F161" s="5" t="s">
        <v>0</v>
      </c>
      <c r="G161" s="5" t="s">
        <v>543</v>
      </c>
      <c r="H161" s="8">
        <f>ROUND(1470.22,2)</f>
        <v>1470.22</v>
      </c>
      <c r="I161" s="7">
        <f>ROUND(1470.22,2)</f>
        <v>1470.22</v>
      </c>
    </row>
    <row r="162" spans="1:9" ht="39.6" x14ac:dyDescent="0.3">
      <c r="A162" s="4" t="s">
        <v>544</v>
      </c>
      <c r="B162" s="5" t="s">
        <v>1029</v>
      </c>
      <c r="C162" s="5" t="s">
        <v>181</v>
      </c>
      <c r="D162" s="5" t="s">
        <v>545</v>
      </c>
      <c r="E162" s="5" t="s">
        <v>0</v>
      </c>
      <c r="F162" s="5" t="s">
        <v>0</v>
      </c>
      <c r="G162" s="5" t="s">
        <v>183</v>
      </c>
      <c r="H162" s="8">
        <v>33.380000000000003</v>
      </c>
      <c r="I162" s="7">
        <f>ROUND(77642.2899999999,2)</f>
        <v>77642.289999999994</v>
      </c>
    </row>
    <row r="163" spans="1:9" ht="66" x14ac:dyDescent="0.3">
      <c r="A163" s="4" t="s">
        <v>546</v>
      </c>
      <c r="B163" s="5"/>
      <c r="C163" s="5" t="s">
        <v>294</v>
      </c>
      <c r="D163" s="5" t="s">
        <v>547</v>
      </c>
      <c r="E163" s="5" t="s">
        <v>0</v>
      </c>
      <c r="F163" s="5" t="s">
        <v>0</v>
      </c>
      <c r="G163" s="5" t="s">
        <v>474</v>
      </c>
      <c r="H163" s="8">
        <f>ROUND(1387.33,2)</f>
        <v>1387.33</v>
      </c>
      <c r="I163" s="7">
        <f>ROUND(98885.53,2)</f>
        <v>98885.53</v>
      </c>
    </row>
    <row r="164" spans="1:9" ht="39.6" x14ac:dyDescent="0.3">
      <c r="A164" s="4" t="s">
        <v>548</v>
      </c>
      <c r="B164" s="5" t="s">
        <v>1029</v>
      </c>
      <c r="C164" s="5" t="s">
        <v>181</v>
      </c>
      <c r="D164" s="5" t="s">
        <v>424</v>
      </c>
      <c r="E164" s="5" t="s">
        <v>0</v>
      </c>
      <c r="F164" s="5" t="s">
        <v>0</v>
      </c>
      <c r="G164" s="5" t="s">
        <v>183</v>
      </c>
      <c r="H164" s="9">
        <v>31.71</v>
      </c>
      <c r="I164" s="7">
        <f>ROUND(47721.34,2)</f>
        <v>47721.34</v>
      </c>
    </row>
    <row r="165" spans="1:9" ht="39.6" x14ac:dyDescent="0.3">
      <c r="A165" s="4" t="s">
        <v>549</v>
      </c>
      <c r="B165" s="5" t="s">
        <v>1029</v>
      </c>
      <c r="C165" s="5" t="s">
        <v>181</v>
      </c>
      <c r="D165" s="5" t="s">
        <v>550</v>
      </c>
      <c r="E165" s="5" t="s">
        <v>0</v>
      </c>
      <c r="F165" s="5" t="s">
        <v>0</v>
      </c>
      <c r="G165" s="5" t="s">
        <v>183</v>
      </c>
      <c r="H165" s="8">
        <v>33.380000000000003</v>
      </c>
      <c r="I165" s="7">
        <f>ROUND(61767.77,2)</f>
        <v>61767.77</v>
      </c>
    </row>
    <row r="166" spans="1:9" ht="66" x14ac:dyDescent="0.3">
      <c r="A166" s="4" t="s">
        <v>551</v>
      </c>
      <c r="B166" s="5"/>
      <c r="C166" s="5" t="s">
        <v>244</v>
      </c>
      <c r="D166" s="5" t="s">
        <v>552</v>
      </c>
      <c r="E166" s="5" t="s">
        <v>0</v>
      </c>
      <c r="F166" s="5" t="s">
        <v>0</v>
      </c>
      <c r="G166" s="5" t="s">
        <v>247</v>
      </c>
      <c r="H166" s="8">
        <f>ROUND(19.673,2)</f>
        <v>19.670000000000002</v>
      </c>
      <c r="I166" s="7">
        <f>ROUND(46532.9299999999,2)</f>
        <v>46532.93</v>
      </c>
    </row>
    <row r="167" spans="1:9" ht="39.6" x14ac:dyDescent="0.3">
      <c r="A167" s="4" t="s">
        <v>553</v>
      </c>
      <c r="B167" s="5" t="s">
        <v>1029</v>
      </c>
      <c r="C167" s="5" t="s">
        <v>181</v>
      </c>
      <c r="D167" s="5" t="s">
        <v>554</v>
      </c>
      <c r="E167" s="5" t="s">
        <v>0</v>
      </c>
      <c r="F167" s="5" t="s">
        <v>0</v>
      </c>
      <c r="G167" s="5" t="s">
        <v>183</v>
      </c>
      <c r="H167" s="9">
        <v>30.04</v>
      </c>
      <c r="I167" s="7">
        <f>ROUND(41329.45,2)</f>
        <v>41329.449999999997</v>
      </c>
    </row>
    <row r="168" spans="1:9" ht="79.2" x14ac:dyDescent="0.3">
      <c r="A168" s="4" t="s">
        <v>555</v>
      </c>
      <c r="B168" s="5"/>
      <c r="C168" s="5" t="s">
        <v>311</v>
      </c>
      <c r="D168" s="5" t="s">
        <v>556</v>
      </c>
      <c r="E168" s="5" t="s">
        <v>557</v>
      </c>
      <c r="F168" s="5" t="s">
        <v>0</v>
      </c>
      <c r="G168" s="5" t="s">
        <v>312</v>
      </c>
      <c r="H168" s="8">
        <f>ROUND(18.5,2)</f>
        <v>18.5</v>
      </c>
      <c r="I168" s="7">
        <f>ROUND(18453.75,2)</f>
        <v>18453.75</v>
      </c>
    </row>
    <row r="169" spans="1:9" ht="79.2" x14ac:dyDescent="0.3">
      <c r="A169" s="4" t="s">
        <v>558</v>
      </c>
      <c r="B169" s="5"/>
      <c r="C169" s="5" t="s">
        <v>360</v>
      </c>
      <c r="D169" s="5" t="s">
        <v>559</v>
      </c>
      <c r="E169" s="5" t="s">
        <v>0</v>
      </c>
      <c r="F169" s="5" t="s">
        <v>0</v>
      </c>
      <c r="G169" s="5" t="s">
        <v>560</v>
      </c>
      <c r="H169" s="8">
        <f>ROUND(2333.97,2)</f>
        <v>2333.9699999999998</v>
      </c>
      <c r="I169" s="7">
        <f>ROUND(129169.15,2)</f>
        <v>129169.15</v>
      </c>
    </row>
    <row r="170" spans="1:9" ht="39.6" x14ac:dyDescent="0.3">
      <c r="A170" s="4" t="s">
        <v>561</v>
      </c>
      <c r="B170" s="5" t="s">
        <v>1029</v>
      </c>
      <c r="C170" s="5" t="s">
        <v>181</v>
      </c>
      <c r="D170" s="5" t="s">
        <v>471</v>
      </c>
      <c r="E170" s="5" t="s">
        <v>562</v>
      </c>
      <c r="F170" s="5" t="s">
        <v>0</v>
      </c>
      <c r="G170" s="5" t="s">
        <v>183</v>
      </c>
      <c r="H170" s="9">
        <v>28.09</v>
      </c>
      <c r="I170" s="7">
        <f>ROUND(26167.35,2)</f>
        <v>26167.35</v>
      </c>
    </row>
    <row r="171" spans="1:9" ht="39.6" x14ac:dyDescent="0.3">
      <c r="A171" s="4" t="s">
        <v>563</v>
      </c>
      <c r="B171" s="5" t="s">
        <v>1029</v>
      </c>
      <c r="C171" s="5" t="s">
        <v>181</v>
      </c>
      <c r="D171" s="5" t="s">
        <v>303</v>
      </c>
      <c r="E171" s="5" t="s">
        <v>0</v>
      </c>
      <c r="F171" s="5" t="s">
        <v>0</v>
      </c>
      <c r="G171" s="5" t="s">
        <v>183</v>
      </c>
      <c r="H171" s="6">
        <v>33.380000000000003</v>
      </c>
      <c r="I171" s="7">
        <f>ROUND(60687.7499999999,2)</f>
        <v>60687.75</v>
      </c>
    </row>
    <row r="172" spans="1:9" ht="66" x14ac:dyDescent="0.3">
      <c r="A172" s="4" t="s">
        <v>564</v>
      </c>
      <c r="B172" s="5"/>
      <c r="C172" s="5" t="s">
        <v>476</v>
      </c>
      <c r="D172" s="5" t="s">
        <v>565</v>
      </c>
      <c r="E172" s="5" t="s">
        <v>566</v>
      </c>
      <c r="F172" s="5" t="s">
        <v>0</v>
      </c>
      <c r="G172" s="5" t="s">
        <v>478</v>
      </c>
      <c r="H172" s="8">
        <f>ROUND(1449.55,2)</f>
        <v>1449.55</v>
      </c>
      <c r="I172" s="7">
        <f>ROUND(50646.18,2)</f>
        <v>50646.18</v>
      </c>
    </row>
    <row r="173" spans="1:9" ht="39.6" x14ac:dyDescent="0.3">
      <c r="A173" s="4" t="s">
        <v>567</v>
      </c>
      <c r="B173" s="5" t="s">
        <v>1029</v>
      </c>
      <c r="C173" s="5" t="s">
        <v>181</v>
      </c>
      <c r="D173" s="5" t="s">
        <v>439</v>
      </c>
      <c r="E173" s="5" t="s">
        <v>0</v>
      </c>
      <c r="F173" s="5" t="s">
        <v>0</v>
      </c>
      <c r="G173" s="5" t="s">
        <v>183</v>
      </c>
      <c r="H173" s="8">
        <v>33.880000000000003</v>
      </c>
      <c r="I173" s="7">
        <f>ROUND(130342.31,2)</f>
        <v>130342.31</v>
      </c>
    </row>
    <row r="174" spans="1:9" ht="39.6" x14ac:dyDescent="0.3">
      <c r="A174" s="4" t="s">
        <v>568</v>
      </c>
      <c r="B174" s="5" t="s">
        <v>1029</v>
      </c>
      <c r="C174" s="5" t="s">
        <v>236</v>
      </c>
      <c r="D174" s="5" t="s">
        <v>569</v>
      </c>
      <c r="E174" s="5" t="s">
        <v>570</v>
      </c>
      <c r="F174" s="5" t="s">
        <v>0</v>
      </c>
      <c r="G174" s="5" t="s">
        <v>238</v>
      </c>
      <c r="H174" s="8">
        <v>37.53</v>
      </c>
      <c r="I174" s="7">
        <f>ROUND(95577.4299999999,2)</f>
        <v>95577.43</v>
      </c>
    </row>
    <row r="175" spans="1:9" ht="52.8" x14ac:dyDescent="0.3">
      <c r="A175" s="4" t="s">
        <v>571</v>
      </c>
      <c r="B175" s="5" t="s">
        <v>1029</v>
      </c>
      <c r="C175" s="5" t="s">
        <v>181</v>
      </c>
      <c r="D175" s="5" t="s">
        <v>554</v>
      </c>
      <c r="E175" s="5" t="s">
        <v>572</v>
      </c>
      <c r="F175" s="5" t="s">
        <v>0</v>
      </c>
      <c r="G175" s="5" t="s">
        <v>183</v>
      </c>
      <c r="H175" s="9">
        <v>17.5</v>
      </c>
      <c r="I175" s="7">
        <f>ROUND(2568.49,2)</f>
        <v>2568.4899999999998</v>
      </c>
    </row>
    <row r="176" spans="1:9" ht="39.6" x14ac:dyDescent="0.3">
      <c r="A176" s="4" t="s">
        <v>573</v>
      </c>
      <c r="B176" s="5" t="s">
        <v>1029</v>
      </c>
      <c r="C176" s="5" t="s">
        <v>181</v>
      </c>
      <c r="D176" s="5" t="s">
        <v>390</v>
      </c>
      <c r="E176" s="5" t="s">
        <v>0</v>
      </c>
      <c r="F176" s="5" t="s">
        <v>0</v>
      </c>
      <c r="G176" s="5" t="s">
        <v>183</v>
      </c>
      <c r="H176" s="6">
        <v>33.380000000000003</v>
      </c>
      <c r="I176" s="7">
        <f>ROUND(87265.68,2)</f>
        <v>87265.68</v>
      </c>
    </row>
    <row r="177" spans="1:9" ht="39.6" x14ac:dyDescent="0.3">
      <c r="A177" s="4" t="s">
        <v>574</v>
      </c>
      <c r="B177" s="5"/>
      <c r="C177" s="5" t="s">
        <v>575</v>
      </c>
      <c r="D177" s="5" t="s">
        <v>576</v>
      </c>
      <c r="E177" s="5" t="s">
        <v>0</v>
      </c>
      <c r="F177" s="5" t="s">
        <v>0</v>
      </c>
      <c r="G177" s="5" t="s">
        <v>577</v>
      </c>
      <c r="H177" s="8">
        <f>ROUND(1475.59,2)</f>
        <v>1475.59</v>
      </c>
      <c r="I177" s="7">
        <f>ROUND(68992.8399999999,2)</f>
        <v>68992.84</v>
      </c>
    </row>
    <row r="178" spans="1:9" ht="39.6" x14ac:dyDescent="0.3">
      <c r="A178" s="4" t="s">
        <v>578</v>
      </c>
      <c r="B178" s="5"/>
      <c r="C178" s="5" t="s">
        <v>305</v>
      </c>
      <c r="D178" s="5" t="s">
        <v>579</v>
      </c>
      <c r="E178" s="5" t="s">
        <v>580</v>
      </c>
      <c r="F178" s="5" t="s">
        <v>0</v>
      </c>
      <c r="G178" s="5" t="s">
        <v>581</v>
      </c>
      <c r="H178" s="8">
        <f>ROUND(1288.46,2)</f>
        <v>1288.46</v>
      </c>
      <c r="I178" s="7">
        <f>ROUND(55758.6599999999,2)</f>
        <v>55758.66</v>
      </c>
    </row>
    <row r="179" spans="1:9" ht="39.6" x14ac:dyDescent="0.3">
      <c r="A179" s="4" t="s">
        <v>582</v>
      </c>
      <c r="B179" s="5" t="s">
        <v>1029</v>
      </c>
      <c r="C179" s="5" t="s">
        <v>181</v>
      </c>
      <c r="D179" s="5" t="s">
        <v>217</v>
      </c>
      <c r="E179" s="5" t="s">
        <v>0</v>
      </c>
      <c r="F179" s="5" t="s">
        <v>0</v>
      </c>
      <c r="G179" s="5" t="s">
        <v>183</v>
      </c>
      <c r="H179" s="8">
        <v>33.380000000000003</v>
      </c>
      <c r="I179" s="7">
        <f>ROUND(77483.7799999999,2)</f>
        <v>77483.78</v>
      </c>
    </row>
    <row r="180" spans="1:9" ht="39.6" x14ac:dyDescent="0.3">
      <c r="A180" s="4" t="s">
        <v>583</v>
      </c>
      <c r="B180" s="5" t="s">
        <v>1029</v>
      </c>
      <c r="C180" s="5" t="s">
        <v>181</v>
      </c>
      <c r="D180" s="5" t="s">
        <v>344</v>
      </c>
      <c r="E180" s="5" t="s">
        <v>0</v>
      </c>
      <c r="F180" s="5" t="s">
        <v>0</v>
      </c>
      <c r="G180" s="5" t="s">
        <v>183</v>
      </c>
      <c r="H180" s="8">
        <v>33.380000000000003</v>
      </c>
      <c r="I180" s="7">
        <f>ROUND(69655.62,2)</f>
        <v>69655.62</v>
      </c>
    </row>
    <row r="181" spans="1:9" ht="39.6" x14ac:dyDescent="0.3">
      <c r="A181" s="4" t="s">
        <v>584</v>
      </c>
      <c r="B181" s="5" t="s">
        <v>1029</v>
      </c>
      <c r="C181" s="5" t="s">
        <v>181</v>
      </c>
      <c r="D181" s="5" t="s">
        <v>276</v>
      </c>
      <c r="E181" s="5" t="s">
        <v>0</v>
      </c>
      <c r="F181" s="5" t="s">
        <v>0</v>
      </c>
      <c r="G181" s="5" t="s">
        <v>183</v>
      </c>
      <c r="H181" s="8">
        <v>33.380000000000003</v>
      </c>
      <c r="I181" s="7">
        <f>ROUND(84774.4399999999,2)</f>
        <v>84774.44</v>
      </c>
    </row>
    <row r="182" spans="1:9" ht="66" x14ac:dyDescent="0.3">
      <c r="A182" s="4" t="s">
        <v>585</v>
      </c>
      <c r="B182" s="5"/>
      <c r="C182" s="5" t="s">
        <v>244</v>
      </c>
      <c r="D182" s="5" t="s">
        <v>586</v>
      </c>
      <c r="E182" s="5" t="s">
        <v>202</v>
      </c>
      <c r="F182" s="5" t="s">
        <v>0</v>
      </c>
      <c r="G182" s="5" t="s">
        <v>247</v>
      </c>
      <c r="H182" s="8">
        <f>ROUND(18,2)</f>
        <v>18</v>
      </c>
      <c r="I182" s="7">
        <f>ROUND(8077.5,2)</f>
        <v>8077.5</v>
      </c>
    </row>
    <row r="183" spans="1:9" ht="39.6" x14ac:dyDescent="0.3">
      <c r="A183" s="4" t="s">
        <v>587</v>
      </c>
      <c r="B183" s="5" t="s">
        <v>1029</v>
      </c>
      <c r="C183" s="5" t="s">
        <v>236</v>
      </c>
      <c r="D183" s="5" t="s">
        <v>588</v>
      </c>
      <c r="E183" s="5" t="s">
        <v>0</v>
      </c>
      <c r="F183" s="5" t="s">
        <v>0</v>
      </c>
      <c r="G183" s="5" t="s">
        <v>238</v>
      </c>
      <c r="H183" s="8">
        <v>37.75</v>
      </c>
      <c r="I183" s="7">
        <f>ROUND(109444.349999999,2)</f>
        <v>109444.35</v>
      </c>
    </row>
    <row r="184" spans="1:9" ht="39.6" x14ac:dyDescent="0.3">
      <c r="A184" s="4" t="s">
        <v>589</v>
      </c>
      <c r="B184" s="5" t="s">
        <v>1029</v>
      </c>
      <c r="C184" s="5" t="s">
        <v>181</v>
      </c>
      <c r="D184" s="5" t="s">
        <v>590</v>
      </c>
      <c r="E184" s="5" t="s">
        <v>0</v>
      </c>
      <c r="F184" s="5" t="s">
        <v>0</v>
      </c>
      <c r="G184" s="5" t="s">
        <v>183</v>
      </c>
      <c r="H184" s="8">
        <v>33.880000000000003</v>
      </c>
      <c r="I184" s="7">
        <f>ROUND(96316.62,2)</f>
        <v>96316.62</v>
      </c>
    </row>
    <row r="185" spans="1:9" ht="52.8" x14ac:dyDescent="0.3">
      <c r="A185" s="4" t="s">
        <v>591</v>
      </c>
      <c r="B185" s="5"/>
      <c r="C185" s="5" t="s">
        <v>201</v>
      </c>
      <c r="D185" s="5" t="s">
        <v>202</v>
      </c>
      <c r="E185" s="5" t="s">
        <v>0</v>
      </c>
      <c r="F185" s="5" t="s">
        <v>0</v>
      </c>
      <c r="G185" s="5" t="s">
        <v>203</v>
      </c>
      <c r="H185" s="8">
        <f>ROUND(18,2)</f>
        <v>18</v>
      </c>
      <c r="I185" s="7">
        <f>ROUND(10379.25,2)</f>
        <v>10379.25</v>
      </c>
    </row>
    <row r="186" spans="1:9" ht="39.6" x14ac:dyDescent="0.3">
      <c r="A186" s="4" t="s">
        <v>592</v>
      </c>
      <c r="B186" s="5" t="s">
        <v>1029</v>
      </c>
      <c r="C186" s="5" t="s">
        <v>181</v>
      </c>
      <c r="D186" s="5" t="s">
        <v>219</v>
      </c>
      <c r="E186" s="5" t="s">
        <v>0</v>
      </c>
      <c r="F186" s="5" t="s">
        <v>0</v>
      </c>
      <c r="G186" s="5" t="s">
        <v>183</v>
      </c>
      <c r="H186" s="8">
        <v>33.380000000000003</v>
      </c>
      <c r="I186" s="7">
        <f>ROUND(33303.12,2)</f>
        <v>33303.120000000003</v>
      </c>
    </row>
    <row r="187" spans="1:9" ht="39.6" x14ac:dyDescent="0.3">
      <c r="A187" s="4" t="s">
        <v>593</v>
      </c>
      <c r="B187" s="5" t="s">
        <v>1029</v>
      </c>
      <c r="C187" s="5" t="s">
        <v>181</v>
      </c>
      <c r="D187" s="5" t="s">
        <v>190</v>
      </c>
      <c r="E187" s="5" t="s">
        <v>0</v>
      </c>
      <c r="F187" s="5" t="s">
        <v>0</v>
      </c>
      <c r="G187" s="5" t="s">
        <v>183</v>
      </c>
      <c r="H187" s="8">
        <v>33.880000000000003</v>
      </c>
      <c r="I187" s="7">
        <f>ROUND(93746.47,2)</f>
        <v>93746.47</v>
      </c>
    </row>
    <row r="188" spans="1:9" ht="39.6" x14ac:dyDescent="0.3">
      <c r="A188" s="4" t="s">
        <v>594</v>
      </c>
      <c r="B188" s="5" t="s">
        <v>1029</v>
      </c>
      <c r="C188" s="5" t="s">
        <v>181</v>
      </c>
      <c r="D188" s="5" t="s">
        <v>276</v>
      </c>
      <c r="E188" s="5" t="s">
        <v>595</v>
      </c>
      <c r="F188" s="5" t="s">
        <v>0</v>
      </c>
      <c r="G188" s="5" t="s">
        <v>183</v>
      </c>
      <c r="H188" s="8">
        <v>33.049999999999997</v>
      </c>
      <c r="I188" s="7">
        <f>ROUND(83236.7699999999,2)</f>
        <v>83236.77</v>
      </c>
    </row>
    <row r="189" spans="1:9" ht="52.8" x14ac:dyDescent="0.3">
      <c r="A189" s="4" t="s">
        <v>596</v>
      </c>
      <c r="B189" s="5"/>
      <c r="C189" s="5" t="s">
        <v>201</v>
      </c>
      <c r="D189" s="5" t="s">
        <v>597</v>
      </c>
      <c r="E189" s="5" t="s">
        <v>598</v>
      </c>
      <c r="F189" s="5" t="s">
        <v>0</v>
      </c>
      <c r="G189" s="5" t="s">
        <v>203</v>
      </c>
      <c r="H189" s="8">
        <f>ROUND(18,2)</f>
        <v>18</v>
      </c>
      <c r="I189" s="7">
        <f>ROUND(20787.75,2)</f>
        <v>20787.75</v>
      </c>
    </row>
    <row r="190" spans="1:9" ht="66" x14ac:dyDescent="0.3">
      <c r="A190" s="4" t="s">
        <v>599</v>
      </c>
      <c r="B190" s="5"/>
      <c r="C190" s="5" t="s">
        <v>294</v>
      </c>
      <c r="D190" s="5" t="s">
        <v>194</v>
      </c>
      <c r="E190" s="5" t="s">
        <v>0</v>
      </c>
      <c r="F190" s="5" t="s">
        <v>0</v>
      </c>
      <c r="G190" s="5" t="s">
        <v>315</v>
      </c>
      <c r="H190" s="8">
        <f>ROUND(1386.53,2)</f>
        <v>1386.53</v>
      </c>
      <c r="I190" s="7">
        <f>ROUND(88813.7699999999,2)</f>
        <v>88813.77</v>
      </c>
    </row>
    <row r="191" spans="1:9" ht="39.6" x14ac:dyDescent="0.3">
      <c r="A191" s="4" t="s">
        <v>600</v>
      </c>
      <c r="B191" s="5" t="s">
        <v>1029</v>
      </c>
      <c r="C191" s="5" t="s">
        <v>181</v>
      </c>
      <c r="D191" s="5" t="s">
        <v>377</v>
      </c>
      <c r="E191" s="5" t="s">
        <v>0</v>
      </c>
      <c r="F191" s="5" t="s">
        <v>0</v>
      </c>
      <c r="G191" s="5" t="s">
        <v>183</v>
      </c>
      <c r="H191" s="9">
        <v>17.5</v>
      </c>
      <c r="I191" s="7">
        <f>ROUND(15322.38,2)</f>
        <v>15322.38</v>
      </c>
    </row>
    <row r="192" spans="1:9" ht="66" x14ac:dyDescent="0.3">
      <c r="A192" s="4" t="s">
        <v>601</v>
      </c>
      <c r="B192" s="5"/>
      <c r="C192" s="5" t="s">
        <v>476</v>
      </c>
      <c r="D192" s="5" t="s">
        <v>602</v>
      </c>
      <c r="E192" s="5" t="s">
        <v>0</v>
      </c>
      <c r="F192" s="5" t="s">
        <v>0</v>
      </c>
      <c r="G192" s="5" t="s">
        <v>603</v>
      </c>
      <c r="H192" s="8">
        <f>ROUND(2625.7,2)</f>
        <v>2625.7</v>
      </c>
      <c r="I192" s="7">
        <f>ROUND(144938.639999999,2)</f>
        <v>144938.64000000001</v>
      </c>
    </row>
    <row r="193" spans="1:9" ht="39.6" x14ac:dyDescent="0.3">
      <c r="A193" s="4" t="s">
        <v>604</v>
      </c>
      <c r="B193" s="5" t="s">
        <v>1029</v>
      </c>
      <c r="C193" s="5" t="s">
        <v>181</v>
      </c>
      <c r="D193" s="5" t="s">
        <v>377</v>
      </c>
      <c r="E193" s="5" t="s">
        <v>605</v>
      </c>
      <c r="F193" s="5" t="s">
        <v>0</v>
      </c>
      <c r="G193" s="5" t="s">
        <v>183</v>
      </c>
      <c r="H193" s="9">
        <v>29.22</v>
      </c>
      <c r="I193" s="7">
        <f>ROUND(15171.74,2)</f>
        <v>15171.74</v>
      </c>
    </row>
    <row r="194" spans="1:9" ht="39.6" x14ac:dyDescent="0.3">
      <c r="A194" s="4" t="s">
        <v>606</v>
      </c>
      <c r="B194" s="5" t="s">
        <v>1029</v>
      </c>
      <c r="C194" s="5" t="s">
        <v>181</v>
      </c>
      <c r="D194" s="5" t="s">
        <v>579</v>
      </c>
      <c r="E194" s="5" t="s">
        <v>0</v>
      </c>
      <c r="F194" s="5" t="s">
        <v>0</v>
      </c>
      <c r="G194" s="5" t="s">
        <v>183</v>
      </c>
      <c r="H194" s="6">
        <v>33.380000000000003</v>
      </c>
      <c r="I194" s="7">
        <f>ROUND(77168.55,2)</f>
        <v>77168.55</v>
      </c>
    </row>
    <row r="195" spans="1:9" ht="66" x14ac:dyDescent="0.3">
      <c r="A195" s="4" t="s">
        <v>607</v>
      </c>
      <c r="B195" s="5"/>
      <c r="C195" s="5" t="s">
        <v>244</v>
      </c>
      <c r="D195" s="5" t="s">
        <v>326</v>
      </c>
      <c r="E195" s="5" t="s">
        <v>0</v>
      </c>
      <c r="F195" s="5" t="s">
        <v>0</v>
      </c>
      <c r="G195" s="5" t="s">
        <v>247</v>
      </c>
      <c r="H195" s="8">
        <f>ROUND(18,2)</f>
        <v>18</v>
      </c>
      <c r="I195" s="7">
        <f>ROUND(4171.5,2)</f>
        <v>4171.5</v>
      </c>
    </row>
    <row r="196" spans="1:9" ht="52.8" x14ac:dyDescent="0.3">
      <c r="A196" s="4" t="s">
        <v>608</v>
      </c>
      <c r="B196" s="5"/>
      <c r="C196" s="5" t="s">
        <v>201</v>
      </c>
      <c r="D196" s="5" t="s">
        <v>609</v>
      </c>
      <c r="E196" s="5" t="s">
        <v>610</v>
      </c>
      <c r="F196" s="5" t="s">
        <v>0</v>
      </c>
      <c r="G196" s="5" t="s">
        <v>265</v>
      </c>
      <c r="H196" s="8">
        <f>ROUND(17,2)</f>
        <v>17</v>
      </c>
      <c r="I196" s="7">
        <f>ROUND(442,2)</f>
        <v>442</v>
      </c>
    </row>
    <row r="197" spans="1:9" ht="92.4" x14ac:dyDescent="0.3">
      <c r="A197" s="4" t="s">
        <v>611</v>
      </c>
      <c r="B197" s="5"/>
      <c r="C197" s="5" t="s">
        <v>294</v>
      </c>
      <c r="D197" s="5" t="s">
        <v>289</v>
      </c>
      <c r="E197" s="5" t="s">
        <v>0</v>
      </c>
      <c r="F197" s="5" t="s">
        <v>0</v>
      </c>
      <c r="G197" s="5" t="s">
        <v>612</v>
      </c>
      <c r="H197" s="8">
        <f>ROUND(1387.33,2)</f>
        <v>1387.33</v>
      </c>
      <c r="I197" s="7">
        <f>ROUND(80983.09,2)</f>
        <v>80983.09</v>
      </c>
    </row>
    <row r="198" spans="1:9" ht="52.8" x14ac:dyDescent="0.3">
      <c r="A198" s="4" t="s">
        <v>613</v>
      </c>
      <c r="B198" s="5"/>
      <c r="C198" s="5" t="s">
        <v>201</v>
      </c>
      <c r="D198" s="5" t="s">
        <v>202</v>
      </c>
      <c r="E198" s="5" t="s">
        <v>614</v>
      </c>
      <c r="F198" s="5" t="s">
        <v>0</v>
      </c>
      <c r="G198" s="5" t="s">
        <v>203</v>
      </c>
      <c r="H198" s="8">
        <f>ROUND(18,2)</f>
        <v>18</v>
      </c>
      <c r="I198" s="7">
        <f>ROUND(8732.25,2)</f>
        <v>8732.25</v>
      </c>
    </row>
    <row r="199" spans="1:9" ht="39.6" x14ac:dyDescent="0.3">
      <c r="A199" s="4" t="s">
        <v>615</v>
      </c>
      <c r="B199" s="5" t="s">
        <v>1029</v>
      </c>
      <c r="C199" s="5" t="s">
        <v>181</v>
      </c>
      <c r="D199" s="5" t="s">
        <v>547</v>
      </c>
      <c r="E199" s="5" t="s">
        <v>0</v>
      </c>
      <c r="F199" s="5" t="s">
        <v>0</v>
      </c>
      <c r="G199" s="5" t="s">
        <v>183</v>
      </c>
      <c r="H199" s="8">
        <v>33.880000000000003</v>
      </c>
      <c r="I199" s="7">
        <f>ROUND(92957.47,2)</f>
        <v>92957.47</v>
      </c>
    </row>
    <row r="200" spans="1:9" ht="39.6" x14ac:dyDescent="0.3">
      <c r="A200" s="4" t="s">
        <v>616</v>
      </c>
      <c r="B200" s="5" t="s">
        <v>1029</v>
      </c>
      <c r="C200" s="5" t="s">
        <v>181</v>
      </c>
      <c r="D200" s="5" t="s">
        <v>303</v>
      </c>
      <c r="E200" s="5" t="s">
        <v>0</v>
      </c>
      <c r="F200" s="5" t="s">
        <v>0</v>
      </c>
      <c r="G200" s="5" t="s">
        <v>183</v>
      </c>
      <c r="H200" s="6">
        <v>33.380000000000003</v>
      </c>
      <c r="I200" s="7">
        <f>ROUND(76351.4,2)</f>
        <v>76351.399999999994</v>
      </c>
    </row>
    <row r="201" spans="1:9" ht="39.6" x14ac:dyDescent="0.3">
      <c r="A201" s="4" t="s">
        <v>617</v>
      </c>
      <c r="B201" s="5" t="s">
        <v>1029</v>
      </c>
      <c r="C201" s="5" t="s">
        <v>181</v>
      </c>
      <c r="D201" s="5" t="s">
        <v>354</v>
      </c>
      <c r="E201" s="5" t="s">
        <v>0</v>
      </c>
      <c r="F201" s="5" t="s">
        <v>0</v>
      </c>
      <c r="G201" s="5" t="s">
        <v>183</v>
      </c>
      <c r="H201" s="6">
        <v>33.380000000000003</v>
      </c>
      <c r="I201" s="7">
        <f>ROUND(49227.49,2)</f>
        <v>49227.49</v>
      </c>
    </row>
    <row r="202" spans="1:9" ht="39.6" x14ac:dyDescent="0.3">
      <c r="A202" s="4" t="s">
        <v>618</v>
      </c>
      <c r="B202" s="5" t="s">
        <v>1029</v>
      </c>
      <c r="C202" s="5" t="s">
        <v>181</v>
      </c>
      <c r="D202" s="5" t="s">
        <v>437</v>
      </c>
      <c r="E202" s="5" t="s">
        <v>0</v>
      </c>
      <c r="F202" s="5" t="s">
        <v>0</v>
      </c>
      <c r="G202" s="5" t="s">
        <v>183</v>
      </c>
      <c r="H202" s="8">
        <v>33.880000000000003</v>
      </c>
      <c r="I202" s="7">
        <f>ROUND(96312.12,2)</f>
        <v>96312.12</v>
      </c>
    </row>
    <row r="203" spans="1:9" ht="39.6" x14ac:dyDescent="0.3">
      <c r="A203" s="4" t="s">
        <v>619</v>
      </c>
      <c r="B203" s="5" t="s">
        <v>1029</v>
      </c>
      <c r="C203" s="5" t="s">
        <v>181</v>
      </c>
      <c r="D203" s="5" t="s">
        <v>537</v>
      </c>
      <c r="E203" s="5" t="s">
        <v>0</v>
      </c>
      <c r="F203" s="5" t="s">
        <v>0</v>
      </c>
      <c r="G203" s="5" t="s">
        <v>183</v>
      </c>
      <c r="H203" s="8">
        <v>33.380000000000003</v>
      </c>
      <c r="I203" s="7">
        <f>ROUND(83797.1899999999,2)</f>
        <v>83797.19</v>
      </c>
    </row>
    <row r="204" spans="1:9" ht="52.8" x14ac:dyDescent="0.3">
      <c r="A204" s="4" t="s">
        <v>620</v>
      </c>
      <c r="B204" s="5"/>
      <c r="C204" s="5" t="s">
        <v>305</v>
      </c>
      <c r="D204" s="5" t="s">
        <v>621</v>
      </c>
      <c r="E204" s="5" t="s">
        <v>0</v>
      </c>
      <c r="F204" s="5" t="s">
        <v>0</v>
      </c>
      <c r="G204" s="5" t="s">
        <v>622</v>
      </c>
      <c r="H204" s="8">
        <f>ROUND(1618.07,2)</f>
        <v>1618.07</v>
      </c>
      <c r="I204" s="7">
        <f>ROUND(89810.0800000001,2)</f>
        <v>89810.08</v>
      </c>
    </row>
    <row r="205" spans="1:9" ht="66" x14ac:dyDescent="0.3">
      <c r="A205" s="4" t="s">
        <v>623</v>
      </c>
      <c r="B205" s="5"/>
      <c r="C205" s="5" t="s">
        <v>394</v>
      </c>
      <c r="D205" s="5" t="s">
        <v>624</v>
      </c>
      <c r="E205" s="5" t="s">
        <v>0</v>
      </c>
      <c r="F205" s="5" t="s">
        <v>0</v>
      </c>
      <c r="G205" s="5" t="s">
        <v>625</v>
      </c>
      <c r="H205" s="8">
        <f>ROUND(1217.31,2)</f>
        <v>1217.31</v>
      </c>
      <c r="I205" s="7">
        <f>ROUND(67322.9199999999,2)</f>
        <v>67322.92</v>
      </c>
    </row>
    <row r="206" spans="1:9" ht="39.6" x14ac:dyDescent="0.3">
      <c r="A206" s="4" t="s">
        <v>626</v>
      </c>
      <c r="B206" s="5" t="s">
        <v>1029</v>
      </c>
      <c r="C206" s="5" t="s">
        <v>181</v>
      </c>
      <c r="D206" s="5" t="s">
        <v>627</v>
      </c>
      <c r="E206" s="5" t="s">
        <v>0</v>
      </c>
      <c r="F206" s="5" t="s">
        <v>0</v>
      </c>
      <c r="G206" s="5" t="s">
        <v>183</v>
      </c>
      <c r="H206" s="8">
        <v>33.880000000000003</v>
      </c>
      <c r="I206" s="7">
        <f>ROUND(85465.19,2)</f>
        <v>85465.19</v>
      </c>
    </row>
    <row r="207" spans="1:9" ht="39.6" x14ac:dyDescent="0.3">
      <c r="A207" s="4" t="s">
        <v>628</v>
      </c>
      <c r="B207" s="5" t="s">
        <v>1029</v>
      </c>
      <c r="C207" s="5" t="s">
        <v>181</v>
      </c>
      <c r="D207" s="5" t="s">
        <v>415</v>
      </c>
      <c r="E207" s="5" t="s">
        <v>0</v>
      </c>
      <c r="F207" s="5" t="s">
        <v>0</v>
      </c>
      <c r="G207" s="5" t="s">
        <v>183</v>
      </c>
      <c r="H207" s="8">
        <v>33.380000000000003</v>
      </c>
      <c r="I207" s="7">
        <f>ROUND(86419.7399999999,2)</f>
        <v>86419.74</v>
      </c>
    </row>
    <row r="208" spans="1:9" ht="66" x14ac:dyDescent="0.3">
      <c r="A208" s="4" t="s">
        <v>629</v>
      </c>
      <c r="B208" s="5"/>
      <c r="C208" s="5" t="s">
        <v>294</v>
      </c>
      <c r="D208" s="5" t="s">
        <v>400</v>
      </c>
      <c r="E208" s="5" t="s">
        <v>535</v>
      </c>
      <c r="F208" s="5" t="s">
        <v>0</v>
      </c>
      <c r="G208" s="5" t="s">
        <v>474</v>
      </c>
      <c r="H208" s="8">
        <f>ROUND(1420.79,2)</f>
        <v>1420.79</v>
      </c>
      <c r="I208" s="7">
        <f>ROUND(91836.7699999999,2)</f>
        <v>91836.77</v>
      </c>
    </row>
    <row r="209" spans="1:9" ht="39.6" x14ac:dyDescent="0.3">
      <c r="A209" s="4" t="s">
        <v>630</v>
      </c>
      <c r="B209" s="5" t="s">
        <v>1029</v>
      </c>
      <c r="C209" s="5" t="s">
        <v>181</v>
      </c>
      <c r="D209" s="5" t="s">
        <v>194</v>
      </c>
      <c r="E209" s="5" t="s">
        <v>0</v>
      </c>
      <c r="F209" s="5" t="s">
        <v>0</v>
      </c>
      <c r="G209" s="5" t="s">
        <v>183</v>
      </c>
      <c r="H209" s="8">
        <v>33.380000000000003</v>
      </c>
      <c r="I209" s="7">
        <f>ROUND(75522.5399999999,2)</f>
        <v>75522.539999999994</v>
      </c>
    </row>
    <row r="210" spans="1:9" ht="79.2" x14ac:dyDescent="0.3">
      <c r="A210" s="4" t="s">
        <v>631</v>
      </c>
      <c r="B210" s="5"/>
      <c r="C210" s="5" t="s">
        <v>305</v>
      </c>
      <c r="D210" s="5" t="s">
        <v>632</v>
      </c>
      <c r="E210" s="5" t="s">
        <v>0</v>
      </c>
      <c r="F210" s="5" t="s">
        <v>0</v>
      </c>
      <c r="G210" s="5" t="s">
        <v>633</v>
      </c>
      <c r="H210" s="8">
        <f>ROUND(980,2)</f>
        <v>980</v>
      </c>
      <c r="I210" s="7">
        <f>ROUND(53910.34,2)</f>
        <v>53910.34</v>
      </c>
    </row>
    <row r="211" spans="1:9" ht="39.6" x14ac:dyDescent="0.3">
      <c r="A211" s="4" t="s">
        <v>634</v>
      </c>
      <c r="B211" s="5" t="s">
        <v>1029</v>
      </c>
      <c r="C211" s="5" t="s">
        <v>181</v>
      </c>
      <c r="D211" s="5" t="s">
        <v>390</v>
      </c>
      <c r="E211" s="5" t="s">
        <v>0</v>
      </c>
      <c r="F211" s="5" t="s">
        <v>0</v>
      </c>
      <c r="G211" s="5" t="s">
        <v>183</v>
      </c>
      <c r="H211" s="9">
        <v>33.380000000000003</v>
      </c>
      <c r="I211" s="7">
        <f>ROUND(80727.5799999999,2)</f>
        <v>80727.58</v>
      </c>
    </row>
    <row r="212" spans="1:9" ht="39.6" x14ac:dyDescent="0.3">
      <c r="A212" s="4" t="s">
        <v>635</v>
      </c>
      <c r="B212" s="5" t="s">
        <v>1029</v>
      </c>
      <c r="C212" s="5" t="s">
        <v>181</v>
      </c>
      <c r="D212" s="5" t="s">
        <v>303</v>
      </c>
      <c r="E212" s="5" t="s">
        <v>0</v>
      </c>
      <c r="F212" s="5" t="s">
        <v>0</v>
      </c>
      <c r="G212" s="5" t="s">
        <v>183</v>
      </c>
      <c r="H212" s="9">
        <v>33.380000000000003</v>
      </c>
      <c r="I212" s="7">
        <f>ROUND(83177.51,2)</f>
        <v>83177.509999999995</v>
      </c>
    </row>
    <row r="213" spans="1:9" ht="52.8" x14ac:dyDescent="0.3">
      <c r="A213" s="4" t="s">
        <v>636</v>
      </c>
      <c r="B213" s="5" t="s">
        <v>1029</v>
      </c>
      <c r="C213" s="5" t="s">
        <v>201</v>
      </c>
      <c r="D213" s="5" t="s">
        <v>202</v>
      </c>
      <c r="E213" s="5" t="s">
        <v>637</v>
      </c>
      <c r="F213" s="5" t="s">
        <v>0</v>
      </c>
      <c r="G213" s="5" t="s">
        <v>203</v>
      </c>
      <c r="H213" s="8">
        <f>ROUND(18,2)</f>
        <v>18</v>
      </c>
      <c r="I213" s="7">
        <f>ROUND(9245.25,2)</f>
        <v>9245.25</v>
      </c>
    </row>
    <row r="214" spans="1:9" ht="39.6" x14ac:dyDescent="0.3">
      <c r="A214" s="4" t="s">
        <v>638</v>
      </c>
      <c r="B214" s="5" t="s">
        <v>1029</v>
      </c>
      <c r="C214" s="5" t="s">
        <v>181</v>
      </c>
      <c r="D214" s="5" t="s">
        <v>639</v>
      </c>
      <c r="E214" s="5" t="s">
        <v>0</v>
      </c>
      <c r="F214" s="5" t="s">
        <v>0</v>
      </c>
      <c r="G214" s="5" t="s">
        <v>183</v>
      </c>
      <c r="H214" s="8">
        <v>33.380000000000003</v>
      </c>
      <c r="I214" s="7">
        <f>ROUND(111214.84,2)</f>
        <v>111214.84</v>
      </c>
    </row>
    <row r="215" spans="1:9" ht="66" x14ac:dyDescent="0.3">
      <c r="A215" s="4" t="s">
        <v>640</v>
      </c>
      <c r="B215" s="5"/>
      <c r="C215" s="5" t="s">
        <v>294</v>
      </c>
      <c r="D215" s="5" t="s">
        <v>461</v>
      </c>
      <c r="E215" s="5" t="s">
        <v>0</v>
      </c>
      <c r="F215" s="5" t="s">
        <v>0</v>
      </c>
      <c r="G215" s="5" t="s">
        <v>641</v>
      </c>
      <c r="H215" s="8">
        <f>ROUND(1335.25,2)</f>
        <v>1335.25</v>
      </c>
      <c r="I215" s="7">
        <f>ROUND(76972.85,2)</f>
        <v>76972.850000000006</v>
      </c>
    </row>
    <row r="216" spans="1:9" ht="39.6" x14ac:dyDescent="0.3">
      <c r="A216" s="4" t="s">
        <v>642</v>
      </c>
      <c r="B216" s="5" t="s">
        <v>1029</v>
      </c>
      <c r="C216" s="5" t="s">
        <v>181</v>
      </c>
      <c r="D216" s="5" t="s">
        <v>643</v>
      </c>
      <c r="E216" s="5" t="s">
        <v>0</v>
      </c>
      <c r="F216" s="5" t="s">
        <v>0</v>
      </c>
      <c r="G216" s="5" t="s">
        <v>183</v>
      </c>
      <c r="H216" s="8">
        <f>ROUND(0,2)</f>
        <v>0</v>
      </c>
      <c r="I216" s="7">
        <f>ROUND(108295.059999999,2)</f>
        <v>108295.06</v>
      </c>
    </row>
    <row r="217" spans="1:9" ht="79.2" x14ac:dyDescent="0.3">
      <c r="A217" s="4" t="s">
        <v>644</v>
      </c>
      <c r="B217" s="5"/>
      <c r="C217" s="5" t="s">
        <v>294</v>
      </c>
      <c r="D217" s="5" t="s">
        <v>645</v>
      </c>
      <c r="E217" s="5" t="s">
        <v>0</v>
      </c>
      <c r="F217" s="5" t="s">
        <v>0</v>
      </c>
      <c r="G217" s="5" t="s">
        <v>646</v>
      </c>
      <c r="H217" s="8">
        <f>ROUND(1327.11,2)</f>
        <v>1327.11</v>
      </c>
      <c r="I217" s="7">
        <f>ROUND(75771.89,2)</f>
        <v>75771.89</v>
      </c>
    </row>
    <row r="218" spans="1:9" ht="39.6" x14ac:dyDescent="0.3">
      <c r="A218" s="4" t="s">
        <v>647</v>
      </c>
      <c r="B218" s="5" t="s">
        <v>1029</v>
      </c>
      <c r="C218" s="5" t="s">
        <v>236</v>
      </c>
      <c r="D218" s="5" t="s">
        <v>648</v>
      </c>
      <c r="E218" s="5" t="s">
        <v>0</v>
      </c>
      <c r="F218" s="5" t="s">
        <v>0</v>
      </c>
      <c r="G218" s="5" t="s">
        <v>649</v>
      </c>
      <c r="H218" s="8">
        <v>34.67</v>
      </c>
      <c r="I218" s="7">
        <f>ROUND(87216.7299999999,2)</f>
        <v>87216.73</v>
      </c>
    </row>
    <row r="219" spans="1:9" ht="92.4" x14ac:dyDescent="0.3">
      <c r="A219" s="4" t="s">
        <v>650</v>
      </c>
      <c r="B219" s="5"/>
      <c r="C219" s="5" t="s">
        <v>394</v>
      </c>
      <c r="D219" s="5" t="s">
        <v>395</v>
      </c>
      <c r="E219" s="5" t="s">
        <v>0</v>
      </c>
      <c r="F219" s="5" t="s">
        <v>0</v>
      </c>
      <c r="G219" s="5" t="s">
        <v>651</v>
      </c>
      <c r="H219" s="8">
        <f>ROUND(28.325,2)</f>
        <v>28.33</v>
      </c>
      <c r="I219" s="7">
        <f>ROUND(62768.68,2)</f>
        <v>62768.68</v>
      </c>
    </row>
    <row r="220" spans="1:9" ht="39.6" x14ac:dyDescent="0.3">
      <c r="A220" s="4" t="s">
        <v>652</v>
      </c>
      <c r="B220" s="5"/>
      <c r="C220" s="5" t="s">
        <v>285</v>
      </c>
      <c r="D220" s="5" t="s">
        <v>653</v>
      </c>
      <c r="E220" s="5" t="s">
        <v>0</v>
      </c>
      <c r="F220" s="5" t="s">
        <v>0</v>
      </c>
      <c r="G220" s="5" t="s">
        <v>287</v>
      </c>
      <c r="H220" s="8">
        <f>ROUND(28.3765,2)</f>
        <v>28.38</v>
      </c>
      <c r="I220" s="7">
        <f>ROUND(65126.66,2)</f>
        <v>65126.66</v>
      </c>
    </row>
    <row r="221" spans="1:9" ht="66" x14ac:dyDescent="0.3">
      <c r="A221" s="4" t="s">
        <v>654</v>
      </c>
      <c r="B221" s="5"/>
      <c r="C221" s="5" t="s">
        <v>223</v>
      </c>
      <c r="D221" s="5" t="s">
        <v>655</v>
      </c>
      <c r="E221" s="5" t="s">
        <v>0</v>
      </c>
      <c r="F221" s="5" t="s">
        <v>0</v>
      </c>
      <c r="G221" s="5" t="s">
        <v>656</v>
      </c>
      <c r="H221" s="8">
        <f>ROUND(31.25,2)</f>
        <v>31.25</v>
      </c>
      <c r="I221" s="7">
        <f>ROUND(66000,2)</f>
        <v>66000</v>
      </c>
    </row>
    <row r="222" spans="1:9" ht="39.6" x14ac:dyDescent="0.3">
      <c r="A222" s="4" t="s">
        <v>657</v>
      </c>
      <c r="B222" s="5" t="s">
        <v>1029</v>
      </c>
      <c r="C222" s="5" t="s">
        <v>181</v>
      </c>
      <c r="D222" s="5" t="s">
        <v>658</v>
      </c>
      <c r="E222" s="5" t="s">
        <v>0</v>
      </c>
      <c r="F222" s="5" t="s">
        <v>0</v>
      </c>
      <c r="G222" s="5" t="s">
        <v>183</v>
      </c>
      <c r="H222" s="8">
        <v>33.880000000000003</v>
      </c>
      <c r="I222" s="7">
        <f>ROUND(104144.9,2)</f>
        <v>104144.9</v>
      </c>
    </row>
    <row r="223" spans="1:9" ht="39.6" x14ac:dyDescent="0.3">
      <c r="A223" s="4" t="s">
        <v>659</v>
      </c>
      <c r="B223" s="5"/>
      <c r="C223" s="5" t="s">
        <v>285</v>
      </c>
      <c r="D223" s="5" t="s">
        <v>660</v>
      </c>
      <c r="E223" s="5" t="s">
        <v>0</v>
      </c>
      <c r="F223" s="5" t="s">
        <v>0</v>
      </c>
      <c r="G223" s="5" t="s">
        <v>287</v>
      </c>
      <c r="H223" s="8">
        <f>ROUND(1306.88,2)</f>
        <v>1306.8800000000001</v>
      </c>
      <c r="I223" s="7">
        <f>ROUND(72401.1499999999,2)</f>
        <v>72401.149999999994</v>
      </c>
    </row>
    <row r="224" spans="1:9" ht="39.6" x14ac:dyDescent="0.3">
      <c r="A224" s="4" t="s">
        <v>661</v>
      </c>
      <c r="B224" s="5" t="s">
        <v>1029</v>
      </c>
      <c r="C224" s="5" t="s">
        <v>181</v>
      </c>
      <c r="D224" s="5" t="s">
        <v>590</v>
      </c>
      <c r="E224" s="5" t="s">
        <v>0</v>
      </c>
      <c r="F224" s="5" t="s">
        <v>0</v>
      </c>
      <c r="G224" s="5" t="s">
        <v>183</v>
      </c>
      <c r="H224" s="8">
        <v>33.880000000000003</v>
      </c>
      <c r="I224" s="7">
        <f>ROUND(83801.6699999999,2)</f>
        <v>83801.67</v>
      </c>
    </row>
    <row r="225" spans="1:9" ht="52.8" x14ac:dyDescent="0.3">
      <c r="A225" s="4" t="s">
        <v>662</v>
      </c>
      <c r="B225" s="5"/>
      <c r="C225" s="5" t="s">
        <v>201</v>
      </c>
      <c r="D225" s="5" t="s">
        <v>663</v>
      </c>
      <c r="E225" s="5" t="s">
        <v>664</v>
      </c>
      <c r="F225" s="5" t="s">
        <v>0</v>
      </c>
      <c r="G225" s="5" t="s">
        <v>203</v>
      </c>
      <c r="H225" s="8">
        <f>ROUND(18,2)</f>
        <v>18</v>
      </c>
      <c r="I225" s="7">
        <f>ROUND(19284.75,2)</f>
        <v>19284.75</v>
      </c>
    </row>
    <row r="226" spans="1:9" ht="39.6" x14ac:dyDescent="0.3">
      <c r="A226" s="4" t="s">
        <v>665</v>
      </c>
      <c r="B226" s="5" t="s">
        <v>1029</v>
      </c>
      <c r="C226" s="5" t="s">
        <v>181</v>
      </c>
      <c r="D226" s="5" t="s">
        <v>344</v>
      </c>
      <c r="E226" s="5" t="s">
        <v>0</v>
      </c>
      <c r="F226" s="5" t="s">
        <v>0</v>
      </c>
      <c r="G226" s="5" t="s">
        <v>183</v>
      </c>
      <c r="H226" s="8">
        <v>33.380000000000003</v>
      </c>
      <c r="I226" s="7">
        <f>ROUND(78943.03,2)</f>
        <v>78943.03</v>
      </c>
    </row>
    <row r="227" spans="1:9" ht="66" x14ac:dyDescent="0.3">
      <c r="A227" s="4" t="s">
        <v>666</v>
      </c>
      <c r="B227" s="5"/>
      <c r="C227" s="5" t="s">
        <v>244</v>
      </c>
      <c r="D227" s="5" t="s">
        <v>667</v>
      </c>
      <c r="E227" s="5" t="s">
        <v>668</v>
      </c>
      <c r="F227" s="5" t="s">
        <v>0</v>
      </c>
      <c r="G227" s="5" t="s">
        <v>247</v>
      </c>
      <c r="H227" s="8">
        <f>ROUND(18,2)</f>
        <v>18</v>
      </c>
      <c r="I227" s="7">
        <f>ROUND(1480.5,2)</f>
        <v>1480.5</v>
      </c>
    </row>
    <row r="228" spans="1:9" ht="39.6" x14ac:dyDescent="0.3">
      <c r="A228" s="4" t="s">
        <v>669</v>
      </c>
      <c r="B228" s="5" t="s">
        <v>1029</v>
      </c>
      <c r="C228" s="5" t="s">
        <v>181</v>
      </c>
      <c r="D228" s="5" t="s">
        <v>670</v>
      </c>
      <c r="E228" s="5" t="s">
        <v>0</v>
      </c>
      <c r="F228" s="5" t="s">
        <v>390</v>
      </c>
      <c r="G228" s="5" t="s">
        <v>183</v>
      </c>
      <c r="H228" s="8">
        <v>33.380000000000003</v>
      </c>
      <c r="I228" s="7">
        <f>ROUND(84336.8099999999,2)</f>
        <v>84336.81</v>
      </c>
    </row>
    <row r="229" spans="1:9" ht="66" x14ac:dyDescent="0.3">
      <c r="A229" s="4" t="s">
        <v>671</v>
      </c>
      <c r="B229" s="5"/>
      <c r="C229" s="5" t="s">
        <v>394</v>
      </c>
      <c r="D229" s="5" t="s">
        <v>672</v>
      </c>
      <c r="E229" s="5" t="s">
        <v>0</v>
      </c>
      <c r="F229" s="5" t="s">
        <v>0</v>
      </c>
      <c r="G229" s="5" t="s">
        <v>673</v>
      </c>
      <c r="H229" s="8">
        <f>ROUND(1559.2282,2)</f>
        <v>1559.23</v>
      </c>
      <c r="I229" s="7">
        <f>ROUND(87087.3,2)</f>
        <v>87087.3</v>
      </c>
    </row>
    <row r="230" spans="1:9" ht="52.8" x14ac:dyDescent="0.3">
      <c r="A230" s="4" t="s">
        <v>674</v>
      </c>
      <c r="B230" s="5" t="s">
        <v>1029</v>
      </c>
      <c r="C230" s="5" t="s">
        <v>223</v>
      </c>
      <c r="D230" s="5" t="s">
        <v>675</v>
      </c>
      <c r="E230" s="5" t="s">
        <v>0</v>
      </c>
      <c r="F230" s="5" t="s">
        <v>676</v>
      </c>
      <c r="G230" s="5" t="s">
        <v>677</v>
      </c>
      <c r="H230" s="8">
        <f>ROUND(50,2)</f>
        <v>50</v>
      </c>
      <c r="I230" s="7">
        <f>ROUND(56575,2)</f>
        <v>56575</v>
      </c>
    </row>
    <row r="231" spans="1:9" ht="39.6" x14ac:dyDescent="0.3">
      <c r="A231" s="4" t="s">
        <v>678</v>
      </c>
      <c r="B231" s="5" t="s">
        <v>1029</v>
      </c>
      <c r="C231" s="5" t="s">
        <v>181</v>
      </c>
      <c r="D231" s="5" t="s">
        <v>276</v>
      </c>
      <c r="E231" s="5" t="s">
        <v>0</v>
      </c>
      <c r="F231" s="5" t="s">
        <v>0</v>
      </c>
      <c r="G231" s="5" t="s">
        <v>183</v>
      </c>
      <c r="H231" s="8">
        <v>33.380000000000003</v>
      </c>
      <c r="I231" s="7">
        <f>ROUND(83846.58,2)</f>
        <v>83846.58</v>
      </c>
    </row>
    <row r="232" spans="1:9" ht="39.6" x14ac:dyDescent="0.3">
      <c r="A232" s="4" t="s">
        <v>679</v>
      </c>
      <c r="B232" s="5" t="s">
        <v>1029</v>
      </c>
      <c r="C232" s="5" t="s">
        <v>181</v>
      </c>
      <c r="D232" s="5" t="s">
        <v>648</v>
      </c>
      <c r="E232" s="5" t="s">
        <v>0</v>
      </c>
      <c r="F232" s="5" t="s">
        <v>0</v>
      </c>
      <c r="G232" s="5" t="s">
        <v>183</v>
      </c>
      <c r="H232" s="8">
        <v>33.380000000000003</v>
      </c>
      <c r="I232" s="7">
        <f>ROUND(82958.18,2)</f>
        <v>82958.179999999993</v>
      </c>
    </row>
    <row r="233" spans="1:9" ht="39.6" x14ac:dyDescent="0.3">
      <c r="A233" s="4" t="s">
        <v>680</v>
      </c>
      <c r="B233" s="5" t="s">
        <v>1029</v>
      </c>
      <c r="C233" s="5" t="s">
        <v>181</v>
      </c>
      <c r="D233" s="5" t="s">
        <v>342</v>
      </c>
      <c r="E233" s="5" t="s">
        <v>0</v>
      </c>
      <c r="F233" s="5" t="s">
        <v>0</v>
      </c>
      <c r="G233" s="5" t="s">
        <v>183</v>
      </c>
      <c r="H233" s="8">
        <v>33.380000000000003</v>
      </c>
      <c r="I233" s="7">
        <f>ROUND(25618.48,2)</f>
        <v>25618.48</v>
      </c>
    </row>
    <row r="234" spans="1:9" ht="39.6" x14ac:dyDescent="0.3">
      <c r="A234" s="4" t="s">
        <v>681</v>
      </c>
      <c r="B234" s="5" t="s">
        <v>1029</v>
      </c>
      <c r="C234" s="5" t="s">
        <v>181</v>
      </c>
      <c r="D234" s="5" t="s">
        <v>422</v>
      </c>
      <c r="E234" s="5" t="s">
        <v>0</v>
      </c>
      <c r="F234" s="5" t="s">
        <v>0</v>
      </c>
      <c r="G234" s="5" t="s">
        <v>183</v>
      </c>
      <c r="H234" s="9">
        <v>33.380000000000003</v>
      </c>
      <c r="I234" s="7">
        <f>ROUND(58982.9999999999,2)</f>
        <v>58983</v>
      </c>
    </row>
    <row r="235" spans="1:9" ht="39.6" x14ac:dyDescent="0.3">
      <c r="A235" s="4" t="s">
        <v>682</v>
      </c>
      <c r="B235" s="5" t="s">
        <v>1029</v>
      </c>
      <c r="C235" s="5" t="s">
        <v>236</v>
      </c>
      <c r="D235" s="5" t="s">
        <v>683</v>
      </c>
      <c r="E235" s="5" t="s">
        <v>0</v>
      </c>
      <c r="F235" s="5" t="s">
        <v>0</v>
      </c>
      <c r="G235" s="5" t="s">
        <v>649</v>
      </c>
      <c r="H235" s="8">
        <v>38.950000000000003</v>
      </c>
      <c r="I235" s="7">
        <f>ROUND(74582.65,2)</f>
        <v>74582.649999999994</v>
      </c>
    </row>
    <row r="236" spans="1:9" ht="92.4" x14ac:dyDescent="0.3">
      <c r="A236" s="4" t="s">
        <v>684</v>
      </c>
      <c r="B236" s="5"/>
      <c r="C236" s="5" t="s">
        <v>223</v>
      </c>
      <c r="D236" s="5" t="s">
        <v>685</v>
      </c>
      <c r="E236" s="5" t="s">
        <v>0</v>
      </c>
      <c r="F236" s="5" t="s">
        <v>0</v>
      </c>
      <c r="G236" s="5" t="s">
        <v>686</v>
      </c>
      <c r="H236" s="8">
        <f>ROUND(1392.69,2)</f>
        <v>1392.69</v>
      </c>
      <c r="I236" s="7">
        <f>ROUND(77155.03,2)</f>
        <v>77155.03</v>
      </c>
    </row>
    <row r="237" spans="1:9" ht="52.8" x14ac:dyDescent="0.3">
      <c r="A237" s="4" t="s">
        <v>687</v>
      </c>
      <c r="B237" s="5"/>
      <c r="C237" s="5" t="s">
        <v>201</v>
      </c>
      <c r="D237" s="5" t="s">
        <v>291</v>
      </c>
      <c r="E237" s="5" t="s">
        <v>688</v>
      </c>
      <c r="F237" s="5" t="s">
        <v>0</v>
      </c>
      <c r="G237" s="5" t="s">
        <v>203</v>
      </c>
      <c r="H237" s="8">
        <f>ROUND(18,2)</f>
        <v>18</v>
      </c>
      <c r="I237" s="7">
        <f>ROUND(39421.25,2)</f>
        <v>39421.25</v>
      </c>
    </row>
    <row r="238" spans="1:9" ht="66" x14ac:dyDescent="0.3">
      <c r="A238" s="4" t="s">
        <v>689</v>
      </c>
      <c r="B238" s="5"/>
      <c r="C238" s="5" t="s">
        <v>294</v>
      </c>
      <c r="D238" s="5" t="s">
        <v>690</v>
      </c>
      <c r="E238" s="5" t="s">
        <v>0</v>
      </c>
      <c r="F238" s="5" t="s">
        <v>0</v>
      </c>
      <c r="G238" s="5" t="s">
        <v>691</v>
      </c>
      <c r="H238" s="8">
        <f>ROUND(1426.65,2)</f>
        <v>1426.65</v>
      </c>
      <c r="I238" s="7">
        <f>ROUND(85248.5699999999,2)</f>
        <v>85248.57</v>
      </c>
    </row>
    <row r="239" spans="1:9" ht="39.6" x14ac:dyDescent="0.3">
      <c r="A239" s="4" t="s">
        <v>692</v>
      </c>
      <c r="B239" s="5" t="s">
        <v>1029</v>
      </c>
      <c r="C239" s="5" t="s">
        <v>181</v>
      </c>
      <c r="D239" s="5" t="s">
        <v>332</v>
      </c>
      <c r="E239" s="5" t="s">
        <v>693</v>
      </c>
      <c r="F239" s="5" t="s">
        <v>0</v>
      </c>
      <c r="G239" s="5" t="s">
        <v>183</v>
      </c>
      <c r="H239" s="8">
        <v>32.090000000000003</v>
      </c>
      <c r="I239" s="6"/>
    </row>
    <row r="240" spans="1:9" ht="52.8" x14ac:dyDescent="0.3">
      <c r="A240" s="4" t="s">
        <v>694</v>
      </c>
      <c r="B240" s="5"/>
      <c r="C240" s="5" t="s">
        <v>201</v>
      </c>
      <c r="D240" s="5" t="s">
        <v>609</v>
      </c>
      <c r="E240" s="5" t="s">
        <v>225</v>
      </c>
      <c r="F240" s="5" t="s">
        <v>0</v>
      </c>
      <c r="G240" s="5" t="s">
        <v>203</v>
      </c>
      <c r="H240" s="8">
        <f>ROUND(18,2)</f>
        <v>18</v>
      </c>
      <c r="I240" s="7">
        <f>ROUND(28161,2)</f>
        <v>28161</v>
      </c>
    </row>
    <row r="241" spans="1:9" ht="39.6" x14ac:dyDescent="0.3">
      <c r="A241" s="4" t="s">
        <v>695</v>
      </c>
      <c r="B241" s="5" t="s">
        <v>1029</v>
      </c>
      <c r="C241" s="5" t="s">
        <v>181</v>
      </c>
      <c r="D241" s="5" t="s">
        <v>468</v>
      </c>
      <c r="E241" s="5" t="s">
        <v>0</v>
      </c>
      <c r="F241" s="5" t="s">
        <v>0</v>
      </c>
      <c r="G241" s="5" t="s">
        <v>183</v>
      </c>
      <c r="H241" s="8">
        <v>33.380000000000003</v>
      </c>
      <c r="I241" s="7">
        <f>ROUND(15070.96,2)</f>
        <v>15070.96</v>
      </c>
    </row>
    <row r="242" spans="1:9" ht="39.6" x14ac:dyDescent="0.3">
      <c r="A242" s="4" t="s">
        <v>696</v>
      </c>
      <c r="B242" s="5" t="s">
        <v>1029</v>
      </c>
      <c r="C242" s="5" t="s">
        <v>181</v>
      </c>
      <c r="D242" s="5" t="s">
        <v>697</v>
      </c>
      <c r="E242" s="5" t="s">
        <v>0</v>
      </c>
      <c r="F242" s="5" t="s">
        <v>0</v>
      </c>
      <c r="G242" s="5" t="s">
        <v>183</v>
      </c>
      <c r="H242" s="8">
        <v>33.880000000000003</v>
      </c>
      <c r="I242" s="7">
        <f>ROUND(76112.0899999999,2)</f>
        <v>76112.09</v>
      </c>
    </row>
    <row r="243" spans="1:9" ht="39.6" x14ac:dyDescent="0.3">
      <c r="A243" s="4" t="s">
        <v>698</v>
      </c>
      <c r="B243" s="5" t="s">
        <v>1029</v>
      </c>
      <c r="C243" s="5" t="s">
        <v>181</v>
      </c>
      <c r="D243" s="5" t="s">
        <v>268</v>
      </c>
      <c r="E243" s="5" t="s">
        <v>0</v>
      </c>
      <c r="F243" s="5" t="s">
        <v>0</v>
      </c>
      <c r="G243" s="5" t="s">
        <v>183</v>
      </c>
      <c r="H243" s="9">
        <v>31.71</v>
      </c>
      <c r="I243" s="7">
        <f>ROUND(24486.4,2)</f>
        <v>24486.400000000001</v>
      </c>
    </row>
    <row r="244" spans="1:9" ht="52.8" x14ac:dyDescent="0.3">
      <c r="A244" s="4" t="s">
        <v>699</v>
      </c>
      <c r="B244" s="5"/>
      <c r="C244" s="5" t="s">
        <v>311</v>
      </c>
      <c r="D244" s="5" t="s">
        <v>700</v>
      </c>
      <c r="E244" s="5" t="s">
        <v>0</v>
      </c>
      <c r="F244" s="5" t="s">
        <v>0</v>
      </c>
      <c r="G244" s="5" t="s">
        <v>701</v>
      </c>
      <c r="H244" s="8">
        <f>ROUND(30.9,2)</f>
        <v>30.9</v>
      </c>
      <c r="I244" s="7">
        <f>ROUND(88671.77,2)</f>
        <v>88671.77</v>
      </c>
    </row>
    <row r="245" spans="1:9" ht="39.6" x14ac:dyDescent="0.3">
      <c r="A245" s="4" t="s">
        <v>702</v>
      </c>
      <c r="B245" s="5" t="s">
        <v>1029</v>
      </c>
      <c r="C245" s="5" t="s">
        <v>181</v>
      </c>
      <c r="D245" s="5" t="s">
        <v>332</v>
      </c>
      <c r="E245" s="5" t="s">
        <v>0</v>
      </c>
      <c r="F245" s="5" t="s">
        <v>0</v>
      </c>
      <c r="G245" s="5" t="s">
        <v>183</v>
      </c>
      <c r="H245" s="8">
        <v>33.880000000000003</v>
      </c>
      <c r="I245" s="7">
        <f>ROUND(78723.5199999999,2)</f>
        <v>78723.520000000004</v>
      </c>
    </row>
    <row r="246" spans="1:9" ht="39.6" x14ac:dyDescent="0.3">
      <c r="A246" s="4" t="s">
        <v>703</v>
      </c>
      <c r="B246" s="5" t="s">
        <v>1029</v>
      </c>
      <c r="C246" s="5" t="s">
        <v>181</v>
      </c>
      <c r="D246" s="5" t="s">
        <v>704</v>
      </c>
      <c r="E246" s="5" t="s">
        <v>0</v>
      </c>
      <c r="F246" s="5" t="s">
        <v>0</v>
      </c>
      <c r="G246" s="5" t="s">
        <v>183</v>
      </c>
      <c r="H246" s="8">
        <v>34.04</v>
      </c>
      <c r="I246" s="7">
        <f>ROUND(109797.77,2)</f>
        <v>109797.77</v>
      </c>
    </row>
    <row r="247" spans="1:9" ht="39.6" x14ac:dyDescent="0.3">
      <c r="A247" s="4" t="s">
        <v>705</v>
      </c>
      <c r="B247" s="5" t="s">
        <v>1029</v>
      </c>
      <c r="C247" s="5" t="s">
        <v>181</v>
      </c>
      <c r="D247" s="5" t="s">
        <v>547</v>
      </c>
      <c r="E247" s="5" t="s">
        <v>0</v>
      </c>
      <c r="F247" s="5" t="s">
        <v>0</v>
      </c>
      <c r="G247" s="5" t="s">
        <v>183</v>
      </c>
      <c r="H247" s="8">
        <v>33.880000000000003</v>
      </c>
      <c r="I247" s="7">
        <f>ROUND(69033.2,2)</f>
        <v>69033.2</v>
      </c>
    </row>
    <row r="248" spans="1:9" ht="39.6" x14ac:dyDescent="0.3">
      <c r="A248" s="4" t="s">
        <v>706</v>
      </c>
      <c r="B248" s="5" t="s">
        <v>1029</v>
      </c>
      <c r="C248" s="5" t="s">
        <v>181</v>
      </c>
      <c r="D248" s="5" t="s">
        <v>276</v>
      </c>
      <c r="E248" s="5" t="s">
        <v>0</v>
      </c>
      <c r="F248" s="5" t="s">
        <v>0</v>
      </c>
      <c r="G248" s="5" t="s">
        <v>183</v>
      </c>
      <c r="H248" s="8">
        <v>33.380000000000003</v>
      </c>
      <c r="I248" s="7">
        <f>ROUND(84372.1999999999,2)</f>
        <v>84372.2</v>
      </c>
    </row>
    <row r="249" spans="1:9" ht="39.6" x14ac:dyDescent="0.3">
      <c r="A249" s="4" t="s">
        <v>707</v>
      </c>
      <c r="B249" s="5" t="s">
        <v>1029</v>
      </c>
      <c r="C249" s="5" t="s">
        <v>181</v>
      </c>
      <c r="D249" s="5" t="s">
        <v>468</v>
      </c>
      <c r="E249" s="5" t="s">
        <v>0</v>
      </c>
      <c r="F249" s="5" t="s">
        <v>0</v>
      </c>
      <c r="G249" s="5" t="s">
        <v>183</v>
      </c>
      <c r="H249" s="8">
        <v>33.880000000000003</v>
      </c>
      <c r="I249" s="7">
        <f>ROUND(97054.8999999999,2)</f>
        <v>97054.9</v>
      </c>
    </row>
    <row r="250" spans="1:9" ht="39.6" x14ac:dyDescent="0.3">
      <c r="A250" s="4" t="s">
        <v>708</v>
      </c>
      <c r="B250" s="5" t="s">
        <v>1029</v>
      </c>
      <c r="C250" s="5" t="s">
        <v>181</v>
      </c>
      <c r="D250" s="5" t="s">
        <v>370</v>
      </c>
      <c r="E250" s="5" t="s">
        <v>0</v>
      </c>
      <c r="F250" s="5" t="s">
        <v>0</v>
      </c>
      <c r="G250" s="5" t="s">
        <v>183</v>
      </c>
      <c r="H250" s="8">
        <v>33.880000000000003</v>
      </c>
      <c r="I250" s="7">
        <f>ROUND(97362.89,2)</f>
        <v>97362.89</v>
      </c>
    </row>
    <row r="251" spans="1:9" ht="39.6" x14ac:dyDescent="0.3">
      <c r="A251" s="4" t="s">
        <v>709</v>
      </c>
      <c r="B251" s="5" t="s">
        <v>1029</v>
      </c>
      <c r="C251" s="5" t="s">
        <v>181</v>
      </c>
      <c r="D251" s="5" t="s">
        <v>349</v>
      </c>
      <c r="E251" s="5" t="s">
        <v>710</v>
      </c>
      <c r="F251" s="5" t="s">
        <v>0</v>
      </c>
      <c r="G251" s="5" t="s">
        <v>183</v>
      </c>
      <c r="H251" s="8">
        <v>33.380000000000003</v>
      </c>
      <c r="I251" s="7">
        <f>ROUND(83524.08,2)</f>
        <v>83524.08</v>
      </c>
    </row>
    <row r="252" spans="1:9" ht="39.6" x14ac:dyDescent="0.3">
      <c r="A252" s="4" t="s">
        <v>711</v>
      </c>
      <c r="B252" s="5" t="s">
        <v>1029</v>
      </c>
      <c r="C252" s="5" t="s">
        <v>181</v>
      </c>
      <c r="D252" s="5" t="s">
        <v>712</v>
      </c>
      <c r="E252" s="5" t="s">
        <v>713</v>
      </c>
      <c r="F252" s="5" t="s">
        <v>0</v>
      </c>
      <c r="G252" s="5" t="s">
        <v>183</v>
      </c>
      <c r="H252" s="8">
        <v>33.380000000000003</v>
      </c>
      <c r="I252" s="7">
        <f>ROUND(4350.8,2)</f>
        <v>4350.8</v>
      </c>
    </row>
    <row r="253" spans="1:9" ht="39.6" x14ac:dyDescent="0.3">
      <c r="A253" s="4" t="s">
        <v>714</v>
      </c>
      <c r="B253" s="5" t="s">
        <v>1029</v>
      </c>
      <c r="C253" s="5" t="s">
        <v>181</v>
      </c>
      <c r="D253" s="5" t="s">
        <v>550</v>
      </c>
      <c r="E253" s="5" t="s">
        <v>0</v>
      </c>
      <c r="F253" s="5" t="s">
        <v>0</v>
      </c>
      <c r="G253" s="5" t="s">
        <v>183</v>
      </c>
      <c r="H253" s="8">
        <v>34.04</v>
      </c>
      <c r="I253" s="7">
        <f>ROUND(49770.88,2)</f>
        <v>49770.879999999997</v>
      </c>
    </row>
    <row r="254" spans="1:9" ht="39.6" x14ac:dyDescent="0.3">
      <c r="A254" s="4" t="s">
        <v>715</v>
      </c>
      <c r="B254" s="5" t="s">
        <v>1029</v>
      </c>
      <c r="C254" s="5" t="s">
        <v>181</v>
      </c>
      <c r="D254" s="5" t="s">
        <v>648</v>
      </c>
      <c r="E254" s="5" t="s">
        <v>0</v>
      </c>
      <c r="F254" s="5" t="s">
        <v>0</v>
      </c>
      <c r="G254" s="5" t="s">
        <v>183</v>
      </c>
      <c r="H254" s="8">
        <v>33.380000000000003</v>
      </c>
      <c r="I254" s="7">
        <f>ROUND(74535.2699999999,2)</f>
        <v>74535.27</v>
      </c>
    </row>
    <row r="255" spans="1:9" ht="39.6" x14ac:dyDescent="0.3">
      <c r="A255" s="4" t="s">
        <v>716</v>
      </c>
      <c r="B255" s="5" t="s">
        <v>1029</v>
      </c>
      <c r="C255" s="5" t="s">
        <v>236</v>
      </c>
      <c r="D255" s="5" t="s">
        <v>717</v>
      </c>
      <c r="E255" s="5" t="s">
        <v>0</v>
      </c>
      <c r="F255" s="5" t="s">
        <v>0</v>
      </c>
      <c r="G255" s="5" t="s">
        <v>649</v>
      </c>
      <c r="H255" s="8">
        <v>34.67</v>
      </c>
      <c r="I255" s="7">
        <f>ROUND(93785.7599999999,2)</f>
        <v>93785.76</v>
      </c>
    </row>
    <row r="256" spans="1:9" ht="39.6" x14ac:dyDescent="0.3">
      <c r="A256" s="4" t="s">
        <v>718</v>
      </c>
      <c r="B256" s="5" t="s">
        <v>1029</v>
      </c>
      <c r="C256" s="5" t="s">
        <v>181</v>
      </c>
      <c r="D256" s="5" t="s">
        <v>212</v>
      </c>
      <c r="E256" s="5" t="s">
        <v>0</v>
      </c>
      <c r="F256" s="5" t="s">
        <v>0</v>
      </c>
      <c r="G256" s="5" t="s">
        <v>183</v>
      </c>
      <c r="H256" s="8">
        <v>33.880000000000003</v>
      </c>
      <c r="I256" s="7">
        <f>ROUND(71925.9999999999,2)</f>
        <v>71926</v>
      </c>
    </row>
    <row r="257" spans="1:9" ht="39.6" x14ac:dyDescent="0.3">
      <c r="A257" s="4" t="s">
        <v>719</v>
      </c>
      <c r="B257" s="5" t="s">
        <v>1029</v>
      </c>
      <c r="C257" s="5" t="s">
        <v>181</v>
      </c>
      <c r="D257" s="5" t="s">
        <v>510</v>
      </c>
      <c r="E257" s="5" t="s">
        <v>720</v>
      </c>
      <c r="F257" s="5" t="s">
        <v>0</v>
      </c>
      <c r="G257" s="5" t="s">
        <v>183</v>
      </c>
      <c r="H257" s="8">
        <v>32.090000000000003</v>
      </c>
      <c r="I257" s="7">
        <f>ROUND(20950.83,2)</f>
        <v>20950.830000000002</v>
      </c>
    </row>
    <row r="258" spans="1:9" ht="39.6" x14ac:dyDescent="0.3">
      <c r="A258" s="4" t="s">
        <v>721</v>
      </c>
      <c r="B258" s="5" t="s">
        <v>1029</v>
      </c>
      <c r="C258" s="5" t="s">
        <v>181</v>
      </c>
      <c r="D258" s="5" t="s">
        <v>335</v>
      </c>
      <c r="E258" s="5" t="s">
        <v>0</v>
      </c>
      <c r="F258" s="5" t="s">
        <v>0</v>
      </c>
      <c r="G258" s="5" t="s">
        <v>183</v>
      </c>
      <c r="H258" s="6">
        <v>33.380000000000003</v>
      </c>
      <c r="I258" s="7">
        <f>ROUND(79344.67,2)</f>
        <v>79344.67</v>
      </c>
    </row>
    <row r="259" spans="1:9" ht="39.6" x14ac:dyDescent="0.3">
      <c r="A259" s="4" t="s">
        <v>722</v>
      </c>
      <c r="B259" s="5" t="s">
        <v>1029</v>
      </c>
      <c r="C259" s="5" t="s">
        <v>181</v>
      </c>
      <c r="D259" s="5" t="s">
        <v>301</v>
      </c>
      <c r="E259" s="5" t="s">
        <v>723</v>
      </c>
      <c r="F259" s="5" t="s">
        <v>0</v>
      </c>
      <c r="G259" s="5" t="s">
        <v>183</v>
      </c>
      <c r="H259" s="6">
        <v>31.71</v>
      </c>
      <c r="I259" s="7">
        <f>ROUND(27051.78,2)</f>
        <v>27051.78</v>
      </c>
    </row>
    <row r="260" spans="1:9" ht="39.6" x14ac:dyDescent="0.3">
      <c r="A260" s="4" t="s">
        <v>724</v>
      </c>
      <c r="B260" s="5" t="s">
        <v>1029</v>
      </c>
      <c r="C260" s="5" t="s">
        <v>181</v>
      </c>
      <c r="D260" s="5" t="s">
        <v>725</v>
      </c>
      <c r="E260" s="5" t="s">
        <v>726</v>
      </c>
      <c r="F260" s="5" t="s">
        <v>0</v>
      </c>
      <c r="G260" s="5" t="s">
        <v>183</v>
      </c>
      <c r="H260" s="8">
        <v>32.090000000000003</v>
      </c>
      <c r="I260" s="7">
        <f>ROUND(35381.27,2)</f>
        <v>35381.269999999997</v>
      </c>
    </row>
    <row r="261" spans="1:9" ht="39.6" x14ac:dyDescent="0.3">
      <c r="A261" s="4" t="s">
        <v>727</v>
      </c>
      <c r="B261" s="5" t="s">
        <v>1029</v>
      </c>
      <c r="C261" s="5" t="s">
        <v>181</v>
      </c>
      <c r="D261" s="5" t="s">
        <v>449</v>
      </c>
      <c r="E261" s="5" t="s">
        <v>0</v>
      </c>
      <c r="F261" s="5" t="s">
        <v>0</v>
      </c>
      <c r="G261" s="5" t="s">
        <v>183</v>
      </c>
      <c r="H261" s="8">
        <v>33.380000000000003</v>
      </c>
      <c r="I261" s="7">
        <f>ROUND(72018.2999999999,2)</f>
        <v>72018.3</v>
      </c>
    </row>
    <row r="262" spans="1:9" ht="39.6" x14ac:dyDescent="0.3">
      <c r="A262" s="4" t="s">
        <v>728</v>
      </c>
      <c r="B262" s="5" t="s">
        <v>1029</v>
      </c>
      <c r="C262" s="5" t="s">
        <v>181</v>
      </c>
      <c r="D262" s="5" t="s">
        <v>354</v>
      </c>
      <c r="E262" s="5" t="s">
        <v>0</v>
      </c>
      <c r="F262" s="5" t="s">
        <v>0</v>
      </c>
      <c r="G262" s="5" t="s">
        <v>183</v>
      </c>
      <c r="H262" s="6">
        <v>33.380000000000003</v>
      </c>
      <c r="I262" s="7">
        <f>ROUND(42354.85,2)</f>
        <v>42354.85</v>
      </c>
    </row>
    <row r="263" spans="1:9" ht="39.6" x14ac:dyDescent="0.3">
      <c r="A263" s="4" t="s">
        <v>729</v>
      </c>
      <c r="B263" s="5" t="s">
        <v>1029</v>
      </c>
      <c r="C263" s="5" t="s">
        <v>181</v>
      </c>
      <c r="D263" s="5" t="s">
        <v>196</v>
      </c>
      <c r="E263" s="5" t="s">
        <v>0</v>
      </c>
      <c r="F263" s="5" t="s">
        <v>0</v>
      </c>
      <c r="G263" s="5" t="s">
        <v>183</v>
      </c>
      <c r="H263" s="8">
        <v>33.380000000000003</v>
      </c>
      <c r="I263" s="7">
        <f>ROUND(92396.7399999999,2)</f>
        <v>92396.74</v>
      </c>
    </row>
    <row r="264" spans="1:9" ht="39.6" x14ac:dyDescent="0.3">
      <c r="A264" s="4" t="s">
        <v>730</v>
      </c>
      <c r="B264" s="5"/>
      <c r="C264" s="5" t="s">
        <v>731</v>
      </c>
      <c r="D264" s="5" t="s">
        <v>461</v>
      </c>
      <c r="E264" s="5" t="s">
        <v>0</v>
      </c>
      <c r="F264" s="5" t="s">
        <v>0</v>
      </c>
      <c r="G264" s="5" t="s">
        <v>732</v>
      </c>
      <c r="H264" s="8">
        <f>ROUND(50,2)</f>
        <v>50</v>
      </c>
      <c r="I264" s="7">
        <f>ROUND(61862.5,2)</f>
        <v>61862.5</v>
      </c>
    </row>
    <row r="265" spans="1:9" ht="39.6" x14ac:dyDescent="0.3">
      <c r="A265" s="4" t="s">
        <v>733</v>
      </c>
      <c r="B265" s="5" t="s">
        <v>1029</v>
      </c>
      <c r="C265" s="5" t="s">
        <v>181</v>
      </c>
      <c r="D265" s="5" t="s">
        <v>734</v>
      </c>
      <c r="E265" s="5" t="s">
        <v>735</v>
      </c>
      <c r="F265" s="5" t="s">
        <v>0</v>
      </c>
      <c r="G265" s="5" t="s">
        <v>183</v>
      </c>
      <c r="H265" s="8">
        <v>33.380000000000003</v>
      </c>
      <c r="I265" s="7">
        <f>ROUND(92575.43,2)</f>
        <v>92575.43</v>
      </c>
    </row>
    <row r="266" spans="1:9" ht="66" x14ac:dyDescent="0.3">
      <c r="A266" s="4" t="s">
        <v>736</v>
      </c>
      <c r="B266" s="5"/>
      <c r="C266" s="5" t="s">
        <v>244</v>
      </c>
      <c r="D266" s="5" t="s">
        <v>737</v>
      </c>
      <c r="E266" s="5" t="s">
        <v>0</v>
      </c>
      <c r="F266" s="5" t="s">
        <v>0</v>
      </c>
      <c r="G266" s="5" t="s">
        <v>247</v>
      </c>
      <c r="H266" s="8">
        <f>ROUND(20.2601,2)</f>
        <v>20.260000000000002</v>
      </c>
      <c r="I266" s="7">
        <f>ROUND(44929.09,2)</f>
        <v>44929.09</v>
      </c>
    </row>
    <row r="267" spans="1:9" ht="39.6" x14ac:dyDescent="0.3">
      <c r="A267" s="4" t="s">
        <v>738</v>
      </c>
      <c r="B267" s="5" t="s">
        <v>1029</v>
      </c>
      <c r="C267" s="5" t="s">
        <v>181</v>
      </c>
      <c r="D267" s="5" t="s">
        <v>739</v>
      </c>
      <c r="E267" s="5" t="s">
        <v>0</v>
      </c>
      <c r="F267" s="5" t="s">
        <v>0</v>
      </c>
      <c r="G267" s="5" t="s">
        <v>183</v>
      </c>
      <c r="H267" s="8">
        <v>33.380000000000003</v>
      </c>
      <c r="I267" s="7">
        <f>ROUND(87377.0999999999,2)</f>
        <v>87377.1</v>
      </c>
    </row>
    <row r="268" spans="1:9" ht="52.8" x14ac:dyDescent="0.3">
      <c r="A268" s="4" t="s">
        <v>740</v>
      </c>
      <c r="B268" s="5"/>
      <c r="C268" s="5" t="s">
        <v>244</v>
      </c>
      <c r="D268" s="5" t="s">
        <v>741</v>
      </c>
      <c r="E268" s="5" t="s">
        <v>0</v>
      </c>
      <c r="F268" s="5" t="s">
        <v>0</v>
      </c>
      <c r="G268" s="5" t="s">
        <v>742</v>
      </c>
      <c r="H268" s="8">
        <f>ROUND(20.2601,2)</f>
        <v>20.260000000000002</v>
      </c>
      <c r="I268" s="7">
        <f>ROUND(45007.6,2)</f>
        <v>45007.6</v>
      </c>
    </row>
    <row r="269" spans="1:9" ht="66" x14ac:dyDescent="0.3">
      <c r="A269" s="4" t="s">
        <v>743</v>
      </c>
      <c r="B269" s="5"/>
      <c r="C269" s="5" t="s">
        <v>244</v>
      </c>
      <c r="D269" s="5" t="s">
        <v>744</v>
      </c>
      <c r="E269" s="5" t="s">
        <v>0</v>
      </c>
      <c r="F269" s="5" t="s">
        <v>0</v>
      </c>
      <c r="G269" s="5" t="s">
        <v>247</v>
      </c>
      <c r="H269" s="8">
        <f>ROUND(20.2601,2)</f>
        <v>20.260000000000002</v>
      </c>
      <c r="I269" s="7">
        <f>ROUND(44962.02,2)</f>
        <v>44962.02</v>
      </c>
    </row>
    <row r="270" spans="1:9" ht="39.6" x14ac:dyDescent="0.3">
      <c r="A270" s="4" t="s">
        <v>745</v>
      </c>
      <c r="B270" s="5" t="s">
        <v>1029</v>
      </c>
      <c r="C270" s="5" t="s">
        <v>181</v>
      </c>
      <c r="D270" s="5" t="s">
        <v>194</v>
      </c>
      <c r="E270" s="5" t="s">
        <v>746</v>
      </c>
      <c r="F270" s="5" t="s">
        <v>0</v>
      </c>
      <c r="G270" s="5" t="s">
        <v>183</v>
      </c>
      <c r="H270" s="8">
        <v>33.380000000000003</v>
      </c>
      <c r="I270" s="7">
        <f>ROUND(89930.4399999999,2)</f>
        <v>89930.44</v>
      </c>
    </row>
    <row r="271" spans="1:9" ht="39.6" x14ac:dyDescent="0.3">
      <c r="A271" s="4" t="s">
        <v>747</v>
      </c>
      <c r="B271" s="5" t="s">
        <v>1029</v>
      </c>
      <c r="C271" s="5" t="s">
        <v>236</v>
      </c>
      <c r="D271" s="5" t="s">
        <v>441</v>
      </c>
      <c r="E271" s="5" t="s">
        <v>0</v>
      </c>
      <c r="F271" s="5" t="s">
        <v>0</v>
      </c>
      <c r="G271" s="5" t="s">
        <v>649</v>
      </c>
      <c r="H271" s="9">
        <v>28.28</v>
      </c>
      <c r="I271" s="7">
        <f>ROUND(72917.51,2)</f>
        <v>72917.509999999995</v>
      </c>
    </row>
    <row r="272" spans="1:9" ht="39.6" x14ac:dyDescent="0.3">
      <c r="A272" s="4" t="s">
        <v>748</v>
      </c>
      <c r="B272" s="5" t="s">
        <v>1029</v>
      </c>
      <c r="C272" s="5" t="s">
        <v>181</v>
      </c>
      <c r="D272" s="5" t="s">
        <v>658</v>
      </c>
      <c r="E272" s="5" t="s">
        <v>0</v>
      </c>
      <c r="F272" s="5" t="s">
        <v>0</v>
      </c>
      <c r="G272" s="5" t="s">
        <v>183</v>
      </c>
      <c r="H272" s="8">
        <v>33.880000000000003</v>
      </c>
      <c r="I272" s="7">
        <f>ROUND(50853.9,2)</f>
        <v>50853.9</v>
      </c>
    </row>
    <row r="273" spans="1:9" ht="39.6" x14ac:dyDescent="0.3">
      <c r="A273" s="4" t="s">
        <v>749</v>
      </c>
      <c r="B273" s="5" t="s">
        <v>1029</v>
      </c>
      <c r="C273" s="5" t="s">
        <v>181</v>
      </c>
      <c r="D273" s="5" t="s">
        <v>390</v>
      </c>
      <c r="E273" s="5" t="s">
        <v>0</v>
      </c>
      <c r="F273" s="5" t="s">
        <v>0</v>
      </c>
      <c r="G273" s="5" t="s">
        <v>183</v>
      </c>
      <c r="H273" s="6">
        <v>33.380000000000003</v>
      </c>
      <c r="I273" s="7">
        <f>ROUND(49061.35,2)</f>
        <v>49061.35</v>
      </c>
    </row>
    <row r="274" spans="1:9" ht="39.6" x14ac:dyDescent="0.3">
      <c r="A274" s="4" t="s">
        <v>750</v>
      </c>
      <c r="B274" s="5" t="s">
        <v>1029</v>
      </c>
      <c r="C274" s="5" t="s">
        <v>181</v>
      </c>
      <c r="D274" s="5" t="s">
        <v>217</v>
      </c>
      <c r="E274" s="5" t="s">
        <v>751</v>
      </c>
      <c r="F274" s="5" t="s">
        <v>0</v>
      </c>
      <c r="G274" s="5" t="s">
        <v>183</v>
      </c>
      <c r="H274" s="8">
        <v>33.380000000000003</v>
      </c>
      <c r="I274" s="7">
        <f>ROUND(53650.6899999999,2)</f>
        <v>53650.69</v>
      </c>
    </row>
    <row r="275" spans="1:9" ht="66" x14ac:dyDescent="0.3">
      <c r="A275" s="4" t="s">
        <v>752</v>
      </c>
      <c r="B275" s="5"/>
      <c r="C275" s="5" t="s">
        <v>223</v>
      </c>
      <c r="D275" s="5" t="s">
        <v>753</v>
      </c>
      <c r="E275" s="5" t="s">
        <v>0</v>
      </c>
      <c r="F275" s="5" t="s">
        <v>0</v>
      </c>
      <c r="G275" s="5" t="s">
        <v>754</v>
      </c>
      <c r="H275" s="8">
        <f>ROUND(1538.46,2)</f>
        <v>1538.46</v>
      </c>
      <c r="I275" s="7">
        <f>ROUND(84615.3,2)</f>
        <v>84615.3</v>
      </c>
    </row>
    <row r="276" spans="1:9" ht="66" x14ac:dyDescent="0.3">
      <c r="A276" s="4" t="s">
        <v>755</v>
      </c>
      <c r="B276" s="5"/>
      <c r="C276" s="5" t="s">
        <v>575</v>
      </c>
      <c r="D276" s="5" t="s">
        <v>756</v>
      </c>
      <c r="E276" s="5" t="s">
        <v>0</v>
      </c>
      <c r="F276" s="5" t="s">
        <v>0</v>
      </c>
      <c r="G276" s="5" t="s">
        <v>757</v>
      </c>
      <c r="H276" s="8">
        <f>ROUND(29.274,2)</f>
        <v>29.27</v>
      </c>
      <c r="I276" s="7">
        <f>ROUND(63776.6799999999,2)</f>
        <v>63776.68</v>
      </c>
    </row>
    <row r="277" spans="1:9" ht="39.6" x14ac:dyDescent="0.3">
      <c r="A277" s="4" t="s">
        <v>758</v>
      </c>
      <c r="B277" s="5" t="s">
        <v>1029</v>
      </c>
      <c r="C277" s="5" t="s">
        <v>181</v>
      </c>
      <c r="D277" s="5" t="s">
        <v>499</v>
      </c>
      <c r="E277" s="5" t="s">
        <v>0</v>
      </c>
      <c r="F277" s="5" t="s">
        <v>0</v>
      </c>
      <c r="G277" s="5" t="s">
        <v>183</v>
      </c>
      <c r="H277" s="8">
        <v>33.880000000000003</v>
      </c>
      <c r="I277" s="7">
        <f>ROUND(75187.79,2)</f>
        <v>75187.789999999994</v>
      </c>
    </row>
    <row r="278" spans="1:9" ht="52.8" x14ac:dyDescent="0.3">
      <c r="A278" s="4" t="s">
        <v>759</v>
      </c>
      <c r="B278" s="5" t="s">
        <v>1029</v>
      </c>
      <c r="C278" s="5" t="s">
        <v>181</v>
      </c>
      <c r="D278" s="5" t="s">
        <v>276</v>
      </c>
      <c r="E278" s="5" t="s">
        <v>0</v>
      </c>
      <c r="F278" s="5" t="s">
        <v>0</v>
      </c>
      <c r="G278" s="5" t="s">
        <v>183</v>
      </c>
      <c r="H278" s="8">
        <v>33.380000000000003</v>
      </c>
      <c r="I278" s="7">
        <f>ROUND(78781.3999999999,2)</f>
        <v>78781.399999999994</v>
      </c>
    </row>
    <row r="279" spans="1:9" ht="66" x14ac:dyDescent="0.3">
      <c r="A279" s="4" t="s">
        <v>760</v>
      </c>
      <c r="B279" s="5"/>
      <c r="C279" s="5" t="s">
        <v>476</v>
      </c>
      <c r="D279" s="5" t="s">
        <v>317</v>
      </c>
      <c r="E279" s="5" t="s">
        <v>0</v>
      </c>
      <c r="F279" s="5" t="s">
        <v>0</v>
      </c>
      <c r="G279" s="5" t="s">
        <v>478</v>
      </c>
      <c r="H279" s="8">
        <f>ROUND(1442.31,2)</f>
        <v>1442.31</v>
      </c>
      <c r="I279" s="7">
        <f>ROUND(30288.15,2)</f>
        <v>30288.15</v>
      </c>
    </row>
    <row r="280" spans="1:9" ht="39.6" x14ac:dyDescent="0.3">
      <c r="A280" s="4" t="s">
        <v>761</v>
      </c>
      <c r="B280" s="5" t="s">
        <v>1029</v>
      </c>
      <c r="C280" s="5" t="s">
        <v>181</v>
      </c>
      <c r="D280" s="5" t="s">
        <v>439</v>
      </c>
      <c r="E280" s="5" t="s">
        <v>0</v>
      </c>
      <c r="F280" s="5" t="s">
        <v>0</v>
      </c>
      <c r="G280" s="5" t="s">
        <v>183</v>
      </c>
      <c r="H280" s="8">
        <v>33.880000000000003</v>
      </c>
      <c r="I280" s="7">
        <f>ROUND(94966.7299999999,2)</f>
        <v>94966.73</v>
      </c>
    </row>
    <row r="281" spans="1:9" ht="66" x14ac:dyDescent="0.3">
      <c r="A281" s="4" t="s">
        <v>762</v>
      </c>
      <c r="B281" s="5"/>
      <c r="C281" s="5" t="s">
        <v>294</v>
      </c>
      <c r="D281" s="5" t="s">
        <v>267</v>
      </c>
      <c r="E281" s="5" t="s">
        <v>0</v>
      </c>
      <c r="F281" s="5" t="s">
        <v>0</v>
      </c>
      <c r="G281" s="5" t="s">
        <v>474</v>
      </c>
      <c r="H281" s="8">
        <f>ROUND(1365.38,2)</f>
        <v>1365.38</v>
      </c>
      <c r="I281" s="7">
        <f>ROUND(73556.04,2)</f>
        <v>73556.039999999994</v>
      </c>
    </row>
    <row r="282" spans="1:9" ht="39.6" x14ac:dyDescent="0.3">
      <c r="A282" s="4" t="s">
        <v>763</v>
      </c>
      <c r="B282" s="5" t="s">
        <v>1029</v>
      </c>
      <c r="C282" s="5" t="s">
        <v>181</v>
      </c>
      <c r="D282" s="5" t="s">
        <v>420</v>
      </c>
      <c r="E282" s="5" t="s">
        <v>0</v>
      </c>
      <c r="F282" s="5" t="s">
        <v>0</v>
      </c>
      <c r="G282" s="5" t="s">
        <v>183</v>
      </c>
      <c r="H282" s="8">
        <v>33.380000000000003</v>
      </c>
      <c r="I282" s="7">
        <f>ROUND(87427,2)</f>
        <v>87427</v>
      </c>
    </row>
    <row r="283" spans="1:9" ht="66" x14ac:dyDescent="0.3">
      <c r="A283" s="4" t="s">
        <v>764</v>
      </c>
      <c r="B283" s="5"/>
      <c r="C283" s="5" t="s">
        <v>294</v>
      </c>
      <c r="D283" s="5" t="s">
        <v>765</v>
      </c>
      <c r="E283" s="5" t="s">
        <v>0</v>
      </c>
      <c r="F283" s="5" t="s">
        <v>0</v>
      </c>
      <c r="G283" s="5" t="s">
        <v>766</v>
      </c>
      <c r="H283" s="8">
        <f>ROUND(1468.94,2)</f>
        <v>1468.94</v>
      </c>
      <c r="I283" s="7">
        <f>ROUND(85348.48,2)</f>
        <v>85348.479999999996</v>
      </c>
    </row>
    <row r="284" spans="1:9" ht="39.6" x14ac:dyDescent="0.3">
      <c r="A284" s="4" t="s">
        <v>767</v>
      </c>
      <c r="B284" s="5" t="s">
        <v>1029</v>
      </c>
      <c r="C284" s="5" t="s">
        <v>181</v>
      </c>
      <c r="D284" s="5" t="s">
        <v>768</v>
      </c>
      <c r="E284" s="5" t="s">
        <v>0</v>
      </c>
      <c r="F284" s="5" t="s">
        <v>0</v>
      </c>
      <c r="G284" s="5" t="s">
        <v>183</v>
      </c>
      <c r="H284" s="8">
        <v>33.880000000000003</v>
      </c>
      <c r="I284" s="7">
        <f>ROUND(66239.42,2)</f>
        <v>66239.42</v>
      </c>
    </row>
    <row r="285" spans="1:9" ht="52.8" x14ac:dyDescent="0.3">
      <c r="A285" s="4" t="s">
        <v>769</v>
      </c>
      <c r="B285" s="5"/>
      <c r="C285" s="5" t="s">
        <v>201</v>
      </c>
      <c r="D285" s="5" t="s">
        <v>770</v>
      </c>
      <c r="E285" s="5" t="s">
        <v>0</v>
      </c>
      <c r="F285" s="5" t="s">
        <v>0</v>
      </c>
      <c r="G285" s="5" t="s">
        <v>203</v>
      </c>
      <c r="H285" s="8">
        <f>ROUND(18.54,2)</f>
        <v>18.54</v>
      </c>
      <c r="I285" s="7">
        <f>ROUND(45985.94,2)</f>
        <v>45985.94</v>
      </c>
    </row>
    <row r="286" spans="1:9" ht="52.8" x14ac:dyDescent="0.3">
      <c r="A286" s="4" t="s">
        <v>771</v>
      </c>
      <c r="B286" s="5"/>
      <c r="C286" s="5" t="s">
        <v>201</v>
      </c>
      <c r="D286" s="5" t="s">
        <v>772</v>
      </c>
      <c r="E286" s="5" t="s">
        <v>0</v>
      </c>
      <c r="F286" s="5" t="s">
        <v>0</v>
      </c>
      <c r="G286" s="5" t="s">
        <v>203</v>
      </c>
      <c r="H286" s="8">
        <f>ROUND(18.18,2)</f>
        <v>18.18</v>
      </c>
      <c r="I286" s="7">
        <f>ROUND(32605.18,2)</f>
        <v>32605.18</v>
      </c>
    </row>
    <row r="287" spans="1:9" ht="39.6" x14ac:dyDescent="0.3">
      <c r="A287" s="4" t="s">
        <v>773</v>
      </c>
      <c r="B287" s="5" t="s">
        <v>1029</v>
      </c>
      <c r="C287" s="5" t="s">
        <v>181</v>
      </c>
      <c r="D287" s="5" t="s">
        <v>249</v>
      </c>
      <c r="E287" s="5" t="s">
        <v>774</v>
      </c>
      <c r="F287" s="5" t="s">
        <v>0</v>
      </c>
      <c r="G287" s="5" t="s">
        <v>183</v>
      </c>
      <c r="H287" s="8">
        <v>32.090000000000003</v>
      </c>
      <c r="I287" s="7">
        <f>ROUND(2438.84,2)</f>
        <v>2438.84</v>
      </c>
    </row>
    <row r="288" spans="1:9" ht="52.8" x14ac:dyDescent="0.3">
      <c r="A288" s="4" t="s">
        <v>775</v>
      </c>
      <c r="B288" s="5"/>
      <c r="C288" s="5" t="s">
        <v>201</v>
      </c>
      <c r="D288" s="5" t="s">
        <v>428</v>
      </c>
      <c r="E288" s="5" t="s">
        <v>0</v>
      </c>
      <c r="F288" s="5" t="s">
        <v>0</v>
      </c>
      <c r="G288" s="5" t="s">
        <v>203</v>
      </c>
      <c r="H288" s="8">
        <f>ROUND(18,2)</f>
        <v>18</v>
      </c>
      <c r="I288" s="7">
        <f>ROUND(14879.25,2)</f>
        <v>14879.25</v>
      </c>
    </row>
    <row r="289" spans="1:9" ht="52.8" x14ac:dyDescent="0.3">
      <c r="A289" s="4" t="s">
        <v>776</v>
      </c>
      <c r="B289" s="5"/>
      <c r="C289" s="5" t="s">
        <v>223</v>
      </c>
      <c r="D289" s="5" t="s">
        <v>777</v>
      </c>
      <c r="E289" s="5" t="s">
        <v>778</v>
      </c>
      <c r="F289" s="5" t="s">
        <v>0</v>
      </c>
      <c r="G289" s="5" t="s">
        <v>226</v>
      </c>
      <c r="H289" s="8">
        <f>ROUND(17.23,2)</f>
        <v>17.23</v>
      </c>
      <c r="I289" s="7">
        <f>ROUND(19883.4799999999,2)</f>
        <v>19883.48</v>
      </c>
    </row>
    <row r="290" spans="1:9" ht="52.8" x14ac:dyDescent="0.3">
      <c r="A290" s="4" t="s">
        <v>779</v>
      </c>
      <c r="B290" s="5"/>
      <c r="C290" s="5" t="s">
        <v>285</v>
      </c>
      <c r="D290" s="5" t="s">
        <v>780</v>
      </c>
      <c r="E290" s="5" t="s">
        <v>0</v>
      </c>
      <c r="F290" s="5" t="s">
        <v>0</v>
      </c>
      <c r="G290" s="5" t="s">
        <v>781</v>
      </c>
      <c r="H290" s="8">
        <f>ROUND(1588.83,2)</f>
        <v>1588.83</v>
      </c>
      <c r="I290" s="7">
        <f>ROUND(90245.5,2)</f>
        <v>90245.5</v>
      </c>
    </row>
    <row r="291" spans="1:9" ht="39.6" x14ac:dyDescent="0.3">
      <c r="A291" s="4" t="s">
        <v>782</v>
      </c>
      <c r="B291" s="5" t="s">
        <v>1029</v>
      </c>
      <c r="C291" s="5" t="s">
        <v>181</v>
      </c>
      <c r="D291" s="5" t="s">
        <v>206</v>
      </c>
      <c r="E291" s="5" t="s">
        <v>0</v>
      </c>
      <c r="F291" s="5" t="s">
        <v>0</v>
      </c>
      <c r="G291" s="5" t="s">
        <v>183</v>
      </c>
      <c r="H291" s="8">
        <v>33.880000000000003</v>
      </c>
      <c r="I291" s="7">
        <f>ROUND(67875.87,2)</f>
        <v>67875.87</v>
      </c>
    </row>
    <row r="292" spans="1:9" ht="66" x14ac:dyDescent="0.3">
      <c r="A292" s="4" t="s">
        <v>783</v>
      </c>
      <c r="B292" s="5"/>
      <c r="C292" s="5" t="s">
        <v>244</v>
      </c>
      <c r="D292" s="5" t="s">
        <v>784</v>
      </c>
      <c r="E292" s="5" t="s">
        <v>785</v>
      </c>
      <c r="F292" s="5" t="s">
        <v>0</v>
      </c>
      <c r="G292" s="5" t="s">
        <v>247</v>
      </c>
      <c r="H292" s="8">
        <f>ROUND(18,2)</f>
        <v>18</v>
      </c>
      <c r="I292" s="7">
        <f>ROUND(10084.5,2)</f>
        <v>10084.5</v>
      </c>
    </row>
    <row r="293" spans="1:9" ht="39.6" x14ac:dyDescent="0.3">
      <c r="A293" s="4" t="s">
        <v>786</v>
      </c>
      <c r="B293" s="5" t="s">
        <v>1029</v>
      </c>
      <c r="C293" s="5" t="s">
        <v>181</v>
      </c>
      <c r="D293" s="5" t="s">
        <v>335</v>
      </c>
      <c r="E293" s="5" t="s">
        <v>0</v>
      </c>
      <c r="F293" s="5" t="s">
        <v>0</v>
      </c>
      <c r="G293" s="5" t="s">
        <v>183</v>
      </c>
      <c r="H293" s="6">
        <v>33.380000000000003</v>
      </c>
      <c r="I293" s="7">
        <f>ROUND(105511.619999999,2)</f>
        <v>105511.62</v>
      </c>
    </row>
    <row r="294" spans="1:9" ht="39.6" x14ac:dyDescent="0.3">
      <c r="A294" s="4" t="s">
        <v>787</v>
      </c>
      <c r="B294" s="5" t="s">
        <v>1029</v>
      </c>
      <c r="C294" s="5" t="s">
        <v>181</v>
      </c>
      <c r="D294" s="5" t="s">
        <v>261</v>
      </c>
      <c r="E294" s="5" t="s">
        <v>788</v>
      </c>
      <c r="F294" s="5" t="s">
        <v>0</v>
      </c>
      <c r="G294" s="5" t="s">
        <v>183</v>
      </c>
      <c r="H294" s="8">
        <v>33.380000000000003</v>
      </c>
      <c r="I294" s="7">
        <f>ROUND(49415.3299999999,2)</f>
        <v>49415.33</v>
      </c>
    </row>
    <row r="295" spans="1:9" ht="52.8" x14ac:dyDescent="0.3">
      <c r="A295" s="4" t="s">
        <v>789</v>
      </c>
      <c r="B295" s="5" t="s">
        <v>1029</v>
      </c>
      <c r="C295" s="5" t="s">
        <v>181</v>
      </c>
      <c r="D295" s="5" t="s">
        <v>278</v>
      </c>
      <c r="E295" s="5" t="s">
        <v>246</v>
      </c>
      <c r="F295" s="5" t="s">
        <v>0</v>
      </c>
      <c r="G295" s="5" t="s">
        <v>183</v>
      </c>
      <c r="H295" s="9">
        <v>17.5</v>
      </c>
      <c r="I295" s="7">
        <f>ROUND(3080,2)</f>
        <v>3080</v>
      </c>
    </row>
    <row r="296" spans="1:9" ht="39.6" x14ac:dyDescent="0.3">
      <c r="A296" s="4" t="s">
        <v>790</v>
      </c>
      <c r="B296" s="5" t="s">
        <v>1029</v>
      </c>
      <c r="C296" s="5" t="s">
        <v>181</v>
      </c>
      <c r="D296" s="5" t="s">
        <v>194</v>
      </c>
      <c r="E296" s="5" t="s">
        <v>0</v>
      </c>
      <c r="F296" s="5" t="s">
        <v>0</v>
      </c>
      <c r="G296" s="5" t="s">
        <v>183</v>
      </c>
      <c r="H296" s="8">
        <v>33.880000000000003</v>
      </c>
      <c r="I296" s="7">
        <f>ROUND(53139.0999999999,2)</f>
        <v>53139.1</v>
      </c>
    </row>
    <row r="297" spans="1:9" ht="39.6" x14ac:dyDescent="0.3">
      <c r="A297" s="4" t="s">
        <v>791</v>
      </c>
      <c r="B297" s="5" t="s">
        <v>1029</v>
      </c>
      <c r="C297" s="5" t="s">
        <v>181</v>
      </c>
      <c r="D297" s="5" t="s">
        <v>792</v>
      </c>
      <c r="E297" s="5" t="s">
        <v>0</v>
      </c>
      <c r="F297" s="5" t="s">
        <v>0</v>
      </c>
      <c r="G297" s="5" t="s">
        <v>183</v>
      </c>
      <c r="H297" s="8">
        <v>33.880000000000003</v>
      </c>
      <c r="I297" s="7">
        <f>ROUND(100202.83,2)</f>
        <v>100202.83</v>
      </c>
    </row>
    <row r="298" spans="1:9" ht="39.6" x14ac:dyDescent="0.3">
      <c r="A298" s="4" t="s">
        <v>793</v>
      </c>
      <c r="B298" s="5" t="s">
        <v>1029</v>
      </c>
      <c r="C298" s="5" t="s">
        <v>236</v>
      </c>
      <c r="D298" s="5" t="s">
        <v>794</v>
      </c>
      <c r="E298" s="5" t="s">
        <v>0</v>
      </c>
      <c r="F298" s="5" t="s">
        <v>0</v>
      </c>
      <c r="G298" s="5" t="s">
        <v>330</v>
      </c>
      <c r="H298" s="8">
        <v>28.28</v>
      </c>
      <c r="I298" s="7">
        <f>ROUND(71968.94,2)</f>
        <v>71968.94</v>
      </c>
    </row>
    <row r="299" spans="1:9" ht="39.6" x14ac:dyDescent="0.3">
      <c r="A299" s="4" t="s">
        <v>795</v>
      </c>
      <c r="B299" s="5" t="s">
        <v>1029</v>
      </c>
      <c r="C299" s="5" t="s">
        <v>236</v>
      </c>
      <c r="D299" s="5" t="s">
        <v>796</v>
      </c>
      <c r="E299" s="5" t="s">
        <v>0</v>
      </c>
      <c r="F299" s="5" t="s">
        <v>0</v>
      </c>
      <c r="G299" s="5" t="s">
        <v>330</v>
      </c>
      <c r="H299" s="8">
        <v>28.28</v>
      </c>
      <c r="I299" s="7">
        <f>ROUND(62420.36,2)</f>
        <v>62420.36</v>
      </c>
    </row>
    <row r="300" spans="1:9" ht="52.8" x14ac:dyDescent="0.3">
      <c r="A300" s="4" t="s">
        <v>797</v>
      </c>
      <c r="B300" s="5"/>
      <c r="C300" s="5" t="s">
        <v>281</v>
      </c>
      <c r="D300" s="5" t="s">
        <v>798</v>
      </c>
      <c r="E300" s="5" t="s">
        <v>0</v>
      </c>
      <c r="F300" s="5" t="s">
        <v>0</v>
      </c>
      <c r="G300" s="5" t="s">
        <v>340</v>
      </c>
      <c r="H300" s="8">
        <f>ROUND(1353,2)</f>
        <v>1353</v>
      </c>
      <c r="I300" s="7">
        <f>ROUND(74956.2,2)</f>
        <v>74956.2</v>
      </c>
    </row>
    <row r="301" spans="1:9" ht="52.8" x14ac:dyDescent="0.3">
      <c r="A301" s="4" t="s">
        <v>799</v>
      </c>
      <c r="B301" s="5"/>
      <c r="C301" s="5" t="s">
        <v>201</v>
      </c>
      <c r="D301" s="5" t="s">
        <v>800</v>
      </c>
      <c r="E301" s="5" t="s">
        <v>801</v>
      </c>
      <c r="F301" s="5" t="s">
        <v>0</v>
      </c>
      <c r="G301" s="5" t="s">
        <v>265</v>
      </c>
      <c r="H301" s="8">
        <f>ROUND(17,2)</f>
        <v>17</v>
      </c>
      <c r="I301" s="7">
        <f>ROUND(5044.75,2)</f>
        <v>5044.75</v>
      </c>
    </row>
    <row r="302" spans="1:9" ht="39.6" x14ac:dyDescent="0.3">
      <c r="A302" s="4" t="s">
        <v>802</v>
      </c>
      <c r="B302" s="5"/>
      <c r="C302" s="5" t="s">
        <v>360</v>
      </c>
      <c r="D302" s="5" t="s">
        <v>803</v>
      </c>
      <c r="E302" s="5" t="s">
        <v>804</v>
      </c>
      <c r="F302" s="5" t="s">
        <v>0</v>
      </c>
      <c r="G302" s="5" t="s">
        <v>805</v>
      </c>
      <c r="H302" s="8">
        <f>ROUND(1858.94,2)</f>
        <v>1858.94</v>
      </c>
      <c r="I302" s="7">
        <f>ROUND(67755.16,2)</f>
        <v>67755.16</v>
      </c>
    </row>
    <row r="303" spans="1:9" ht="39.6" x14ac:dyDescent="0.3">
      <c r="A303" s="4" t="s">
        <v>806</v>
      </c>
      <c r="B303" s="5" t="s">
        <v>1029</v>
      </c>
      <c r="C303" s="5" t="s">
        <v>181</v>
      </c>
      <c r="D303" s="5" t="s">
        <v>807</v>
      </c>
      <c r="E303" s="5" t="s">
        <v>0</v>
      </c>
      <c r="F303" s="5" t="s">
        <v>0</v>
      </c>
      <c r="G303" s="5" t="s">
        <v>183</v>
      </c>
      <c r="H303" s="8">
        <v>33.880000000000003</v>
      </c>
      <c r="I303" s="7">
        <f>ROUND(73217.85,2)</f>
        <v>73217.850000000006</v>
      </c>
    </row>
    <row r="304" spans="1:9" ht="66" x14ac:dyDescent="0.3">
      <c r="A304" s="4" t="s">
        <v>808</v>
      </c>
      <c r="B304" s="5"/>
      <c r="C304" s="5" t="s">
        <v>294</v>
      </c>
      <c r="D304" s="5" t="s">
        <v>770</v>
      </c>
      <c r="E304" s="5" t="s">
        <v>0</v>
      </c>
      <c r="F304" s="5" t="s">
        <v>0</v>
      </c>
      <c r="G304" s="5" t="s">
        <v>315</v>
      </c>
      <c r="H304" s="8">
        <f>ROUND(1366.74,2)</f>
        <v>1366.74</v>
      </c>
      <c r="I304" s="7">
        <f>ROUND(89217.4,2)</f>
        <v>89217.4</v>
      </c>
    </row>
    <row r="305" spans="1:9" ht="52.8" x14ac:dyDescent="0.3">
      <c r="A305" s="4" t="s">
        <v>809</v>
      </c>
      <c r="B305" s="5"/>
      <c r="C305" s="5" t="s">
        <v>311</v>
      </c>
      <c r="D305" s="5" t="s">
        <v>810</v>
      </c>
      <c r="E305" s="5" t="s">
        <v>0</v>
      </c>
      <c r="F305" s="5" t="s">
        <v>0</v>
      </c>
      <c r="G305" s="5" t="s">
        <v>811</v>
      </c>
      <c r="H305" s="8">
        <f>ROUND(24.7406,2)</f>
        <v>24.74</v>
      </c>
      <c r="I305" s="7">
        <f>ROUND(56210.37,2)</f>
        <v>56210.37</v>
      </c>
    </row>
    <row r="306" spans="1:9" ht="39.6" x14ac:dyDescent="0.3">
      <c r="A306" s="4" t="s">
        <v>812</v>
      </c>
      <c r="B306" s="5" t="s">
        <v>1029</v>
      </c>
      <c r="C306" s="5" t="s">
        <v>181</v>
      </c>
      <c r="D306" s="5" t="s">
        <v>289</v>
      </c>
      <c r="E306" s="5" t="s">
        <v>0</v>
      </c>
      <c r="F306" s="5" t="s">
        <v>0</v>
      </c>
      <c r="G306" s="5" t="s">
        <v>183</v>
      </c>
      <c r="H306" s="8">
        <v>33.380000000000003</v>
      </c>
      <c r="I306" s="7">
        <f>ROUND(96731.61,2)</f>
        <v>96731.61</v>
      </c>
    </row>
    <row r="307" spans="1:9" ht="66" x14ac:dyDescent="0.3">
      <c r="A307" s="4" t="s">
        <v>813</v>
      </c>
      <c r="B307" s="5"/>
      <c r="C307" s="5" t="s">
        <v>294</v>
      </c>
      <c r="D307" s="5" t="s">
        <v>461</v>
      </c>
      <c r="E307" s="5" t="s">
        <v>0</v>
      </c>
      <c r="F307" s="5" t="s">
        <v>0</v>
      </c>
      <c r="G307" s="5" t="s">
        <v>641</v>
      </c>
      <c r="H307" s="8">
        <f>ROUND(1468.94,2)</f>
        <v>1468.94</v>
      </c>
      <c r="I307" s="7">
        <f>ROUND(100129.28,2)</f>
        <v>100129.28</v>
      </c>
    </row>
    <row r="308" spans="1:9" ht="39.6" x14ac:dyDescent="0.3">
      <c r="A308" s="4" t="s">
        <v>814</v>
      </c>
      <c r="B308" s="5" t="s">
        <v>1029</v>
      </c>
      <c r="C308" s="5" t="s">
        <v>181</v>
      </c>
      <c r="D308" s="5" t="s">
        <v>499</v>
      </c>
      <c r="E308" s="5" t="s">
        <v>0</v>
      </c>
      <c r="F308" s="5" t="s">
        <v>0</v>
      </c>
      <c r="G308" s="5" t="s">
        <v>183</v>
      </c>
      <c r="H308" s="8">
        <f>ROUND(0,2)</f>
        <v>0</v>
      </c>
      <c r="I308" s="7">
        <f>ROUND(116516.25,2)</f>
        <v>116516.25</v>
      </c>
    </row>
    <row r="309" spans="1:9" ht="39.6" x14ac:dyDescent="0.3">
      <c r="A309" s="4" t="s">
        <v>815</v>
      </c>
      <c r="B309" s="5" t="s">
        <v>1029</v>
      </c>
      <c r="C309" s="5" t="s">
        <v>236</v>
      </c>
      <c r="D309" s="5" t="s">
        <v>816</v>
      </c>
      <c r="E309" s="5" t="s">
        <v>0</v>
      </c>
      <c r="F309" s="5" t="s">
        <v>0</v>
      </c>
      <c r="G309" s="5" t="s">
        <v>238</v>
      </c>
      <c r="H309" s="8">
        <v>37.75</v>
      </c>
      <c r="I309" s="7">
        <f>ROUND(80928.8199999999,2)</f>
        <v>80928.820000000007</v>
      </c>
    </row>
    <row r="310" spans="1:9" ht="66" x14ac:dyDescent="0.3">
      <c r="A310" s="4" t="s">
        <v>817</v>
      </c>
      <c r="B310" s="5"/>
      <c r="C310" s="5" t="s">
        <v>476</v>
      </c>
      <c r="D310" s="5" t="s">
        <v>818</v>
      </c>
      <c r="E310" s="5" t="s">
        <v>0</v>
      </c>
      <c r="F310" s="5" t="s">
        <v>0</v>
      </c>
      <c r="G310" s="5" t="s">
        <v>478</v>
      </c>
      <c r="H310" s="8">
        <f>ROUND(1403.85,2)</f>
        <v>1403.85</v>
      </c>
      <c r="I310" s="7">
        <f>ROUND(9841.5,2)</f>
        <v>9841.5</v>
      </c>
    </row>
    <row r="311" spans="1:9" ht="39.6" x14ac:dyDescent="0.3">
      <c r="A311" s="4" t="s">
        <v>819</v>
      </c>
      <c r="B311" s="5" t="s">
        <v>1029</v>
      </c>
      <c r="C311" s="5" t="s">
        <v>181</v>
      </c>
      <c r="D311" s="5" t="s">
        <v>301</v>
      </c>
      <c r="E311" s="5" t="s">
        <v>329</v>
      </c>
      <c r="F311" s="5" t="s">
        <v>0</v>
      </c>
      <c r="G311" s="5" t="s">
        <v>183</v>
      </c>
      <c r="H311" s="9">
        <v>17.5</v>
      </c>
      <c r="I311" s="7">
        <f>ROUND(1680,2)</f>
        <v>1680</v>
      </c>
    </row>
    <row r="312" spans="1:9" ht="79.2" x14ac:dyDescent="0.3">
      <c r="A312" s="4" t="s">
        <v>820</v>
      </c>
      <c r="B312" s="5"/>
      <c r="C312" s="5" t="s">
        <v>476</v>
      </c>
      <c r="D312" s="5" t="s">
        <v>821</v>
      </c>
      <c r="E312" s="5" t="s">
        <v>0</v>
      </c>
      <c r="F312" s="5" t="s">
        <v>0</v>
      </c>
      <c r="G312" s="5" t="s">
        <v>822</v>
      </c>
      <c r="H312" s="8">
        <f>ROUND(1397.44,2)</f>
        <v>1397.44</v>
      </c>
      <c r="I312" s="7">
        <f>ROUND(81168.18,2)</f>
        <v>81168.179999999993</v>
      </c>
    </row>
    <row r="313" spans="1:9" ht="39.6" x14ac:dyDescent="0.3">
      <c r="A313" s="4" t="s">
        <v>823</v>
      </c>
      <c r="B313" s="5" t="s">
        <v>1029</v>
      </c>
      <c r="C313" s="5" t="s">
        <v>181</v>
      </c>
      <c r="D313" s="5" t="s">
        <v>461</v>
      </c>
      <c r="E313" s="5" t="s">
        <v>0</v>
      </c>
      <c r="F313" s="5" t="s">
        <v>0</v>
      </c>
      <c r="G313" s="5" t="s">
        <v>183</v>
      </c>
      <c r="H313" s="8">
        <v>33.880000000000003</v>
      </c>
      <c r="I313" s="7">
        <f>ROUND(87346.8999999999,2)</f>
        <v>87346.9</v>
      </c>
    </row>
    <row r="314" spans="1:9" ht="39.6" x14ac:dyDescent="0.3">
      <c r="A314" s="4" t="s">
        <v>824</v>
      </c>
      <c r="B314" s="5" t="s">
        <v>1029</v>
      </c>
      <c r="C314" s="5" t="s">
        <v>181</v>
      </c>
      <c r="D314" s="5" t="s">
        <v>725</v>
      </c>
      <c r="E314" s="5" t="s">
        <v>0</v>
      </c>
      <c r="F314" s="5" t="s">
        <v>0</v>
      </c>
      <c r="G314" s="5" t="s">
        <v>183</v>
      </c>
      <c r="H314" s="8">
        <v>33.880000000000003</v>
      </c>
      <c r="I314" s="7">
        <f>ROUND(54792.9399999999,2)</f>
        <v>54792.94</v>
      </c>
    </row>
    <row r="315" spans="1:9" ht="66" x14ac:dyDescent="0.3">
      <c r="A315" s="4" t="s">
        <v>825</v>
      </c>
      <c r="B315" s="5"/>
      <c r="C315" s="5" t="s">
        <v>476</v>
      </c>
      <c r="D315" s="5" t="s">
        <v>826</v>
      </c>
      <c r="E315" s="5" t="s">
        <v>0</v>
      </c>
      <c r="F315" s="5" t="s">
        <v>0</v>
      </c>
      <c r="G315" s="5" t="s">
        <v>478</v>
      </c>
      <c r="H315" s="8">
        <f>ROUND(1445.97,2)</f>
        <v>1445.97</v>
      </c>
      <c r="I315" s="7">
        <f>ROUND(76607.09,2)</f>
        <v>76607.09</v>
      </c>
    </row>
    <row r="316" spans="1:9" ht="52.8" x14ac:dyDescent="0.3">
      <c r="A316" s="4" t="s">
        <v>827</v>
      </c>
      <c r="B316" s="5"/>
      <c r="C316" s="5" t="s">
        <v>311</v>
      </c>
      <c r="D316" s="5" t="s">
        <v>828</v>
      </c>
      <c r="E316" s="5" t="s">
        <v>829</v>
      </c>
      <c r="F316" s="5" t="s">
        <v>0</v>
      </c>
      <c r="G316" s="5" t="s">
        <v>318</v>
      </c>
      <c r="H316" s="8">
        <f>ROUND(31.4665,2)</f>
        <v>31.47</v>
      </c>
      <c r="I316" s="7">
        <f>ROUND(45854.0999999999,2)</f>
        <v>45854.1</v>
      </c>
    </row>
    <row r="317" spans="1:9" ht="39.6" x14ac:dyDescent="0.3">
      <c r="A317" s="4" t="s">
        <v>830</v>
      </c>
      <c r="B317" s="5" t="s">
        <v>1029</v>
      </c>
      <c r="C317" s="5" t="s">
        <v>181</v>
      </c>
      <c r="D317" s="5" t="s">
        <v>461</v>
      </c>
      <c r="E317" s="5" t="s">
        <v>831</v>
      </c>
      <c r="F317" s="5" t="s">
        <v>0</v>
      </c>
      <c r="G317" s="5" t="s">
        <v>183</v>
      </c>
      <c r="H317" s="8">
        <v>32.090000000000003</v>
      </c>
      <c r="I317" s="7">
        <f>ROUND(46241.1,2)</f>
        <v>46241.1</v>
      </c>
    </row>
    <row r="318" spans="1:9" ht="39.6" x14ac:dyDescent="0.3">
      <c r="A318" s="4" t="s">
        <v>832</v>
      </c>
      <c r="B318" s="5" t="s">
        <v>1029</v>
      </c>
      <c r="C318" s="5" t="s">
        <v>181</v>
      </c>
      <c r="D318" s="5" t="s">
        <v>734</v>
      </c>
      <c r="E318" s="5" t="s">
        <v>833</v>
      </c>
      <c r="F318" s="5" t="s">
        <v>0</v>
      </c>
      <c r="G318" s="5" t="s">
        <v>183</v>
      </c>
      <c r="H318" s="8">
        <v>33.380000000000003</v>
      </c>
      <c r="I318" s="7">
        <f>ROUND(57595.7599999999,2)</f>
        <v>57595.76</v>
      </c>
    </row>
    <row r="319" spans="1:9" ht="66" x14ac:dyDescent="0.3">
      <c r="A319" s="4" t="s">
        <v>834</v>
      </c>
      <c r="B319" s="5"/>
      <c r="C319" s="5" t="s">
        <v>294</v>
      </c>
      <c r="D319" s="5" t="s">
        <v>768</v>
      </c>
      <c r="E319" s="5" t="s">
        <v>0</v>
      </c>
      <c r="F319" s="5" t="s">
        <v>0</v>
      </c>
      <c r="G319" s="5" t="s">
        <v>474</v>
      </c>
      <c r="H319" s="8">
        <f>ROUND(1396.44,2)</f>
        <v>1396.44</v>
      </c>
      <c r="I319" s="7">
        <f>ROUND(90813.5,2)</f>
        <v>90813.5</v>
      </c>
    </row>
    <row r="320" spans="1:9" ht="39.6" x14ac:dyDescent="0.3">
      <c r="A320" s="4" t="s">
        <v>835</v>
      </c>
      <c r="B320" s="5" t="s">
        <v>1029</v>
      </c>
      <c r="C320" s="5" t="s">
        <v>181</v>
      </c>
      <c r="D320" s="5" t="s">
        <v>648</v>
      </c>
      <c r="E320" s="5" t="s">
        <v>0</v>
      </c>
      <c r="F320" s="5" t="s">
        <v>0</v>
      </c>
      <c r="G320" s="5" t="s">
        <v>183</v>
      </c>
      <c r="H320" s="8">
        <v>33.380000000000003</v>
      </c>
      <c r="I320" s="7">
        <f>ROUND(86263.6899999999,2)</f>
        <v>86263.69</v>
      </c>
    </row>
    <row r="321" spans="1:9" ht="39.6" x14ac:dyDescent="0.3">
      <c r="A321" s="4" t="s">
        <v>836</v>
      </c>
      <c r="B321" s="5" t="s">
        <v>1029</v>
      </c>
      <c r="C321" s="5" t="s">
        <v>181</v>
      </c>
      <c r="D321" s="5" t="s">
        <v>837</v>
      </c>
      <c r="E321" s="5" t="s">
        <v>0</v>
      </c>
      <c r="F321" s="5" t="s">
        <v>0</v>
      </c>
      <c r="G321" s="5" t="s">
        <v>183</v>
      </c>
      <c r="H321" s="6">
        <v>31.71</v>
      </c>
      <c r="I321" s="7">
        <f>ROUND(32824.34,2)</f>
        <v>32824.339999999997</v>
      </c>
    </row>
    <row r="322" spans="1:9" ht="39.6" x14ac:dyDescent="0.3">
      <c r="A322" s="4" t="s">
        <v>838</v>
      </c>
      <c r="B322" s="5" t="s">
        <v>1029</v>
      </c>
      <c r="C322" s="5" t="s">
        <v>236</v>
      </c>
      <c r="D322" s="5" t="s">
        <v>839</v>
      </c>
      <c r="E322" s="5" t="s">
        <v>0</v>
      </c>
      <c r="F322" s="5" t="s">
        <v>0</v>
      </c>
      <c r="G322" s="5" t="s">
        <v>238</v>
      </c>
      <c r="H322" s="8">
        <v>37.75</v>
      </c>
      <c r="I322" s="7">
        <f>ROUND(158709.33,2)</f>
        <v>158709.32999999999</v>
      </c>
    </row>
    <row r="323" spans="1:9" ht="39.6" x14ac:dyDescent="0.3">
      <c r="A323" s="4" t="s">
        <v>840</v>
      </c>
      <c r="B323" s="5" t="s">
        <v>1029</v>
      </c>
      <c r="C323" s="5" t="s">
        <v>181</v>
      </c>
      <c r="D323" s="5" t="s">
        <v>841</v>
      </c>
      <c r="E323" s="5" t="s">
        <v>0</v>
      </c>
      <c r="F323" s="5" t="s">
        <v>0</v>
      </c>
      <c r="G323" s="5" t="s">
        <v>183</v>
      </c>
      <c r="H323" s="8">
        <v>34.04</v>
      </c>
      <c r="I323" s="7">
        <f>ROUND(73879.1299999999,2)</f>
        <v>73879.13</v>
      </c>
    </row>
    <row r="324" spans="1:9" ht="39.6" x14ac:dyDescent="0.3">
      <c r="A324" s="4" t="s">
        <v>842</v>
      </c>
      <c r="B324" s="5" t="s">
        <v>1029</v>
      </c>
      <c r="C324" s="5" t="s">
        <v>181</v>
      </c>
      <c r="D324" s="5" t="s">
        <v>206</v>
      </c>
      <c r="E324" s="5" t="s">
        <v>0</v>
      </c>
      <c r="F324" s="5" t="s">
        <v>0</v>
      </c>
      <c r="G324" s="5" t="s">
        <v>183</v>
      </c>
      <c r="H324" s="8">
        <v>34.04</v>
      </c>
      <c r="I324" s="7">
        <f>ROUND(48844.69,2)</f>
        <v>48844.69</v>
      </c>
    </row>
    <row r="325" spans="1:9" ht="52.8" x14ac:dyDescent="0.3">
      <c r="A325" s="4" t="s">
        <v>843</v>
      </c>
      <c r="B325" s="5"/>
      <c r="C325" s="5" t="s">
        <v>201</v>
      </c>
      <c r="D325" s="5" t="s">
        <v>202</v>
      </c>
      <c r="E325" s="5" t="s">
        <v>0</v>
      </c>
      <c r="F325" s="5" t="s">
        <v>0</v>
      </c>
      <c r="G325" s="5" t="s">
        <v>203</v>
      </c>
      <c r="H325" s="8">
        <f>ROUND(18,2)</f>
        <v>18</v>
      </c>
      <c r="I325" s="7">
        <f>ROUND(7877.25,2)</f>
        <v>7877.25</v>
      </c>
    </row>
    <row r="326" spans="1:9" ht="39.6" x14ac:dyDescent="0.3">
      <c r="A326" s="4" t="s">
        <v>844</v>
      </c>
      <c r="B326" s="5" t="s">
        <v>1029</v>
      </c>
      <c r="C326" s="5" t="s">
        <v>181</v>
      </c>
      <c r="D326" s="5" t="s">
        <v>303</v>
      </c>
      <c r="E326" s="5" t="s">
        <v>0</v>
      </c>
      <c r="F326" s="5" t="s">
        <v>0</v>
      </c>
      <c r="G326" s="5" t="s">
        <v>183</v>
      </c>
      <c r="H326" s="6">
        <v>33.380000000000003</v>
      </c>
      <c r="I326" s="7">
        <f>ROUND(92472.6999999999,2)</f>
        <v>92472.7</v>
      </c>
    </row>
    <row r="327" spans="1:9" ht="39.6" x14ac:dyDescent="0.3">
      <c r="A327" s="4" t="s">
        <v>845</v>
      </c>
      <c r="B327" s="5" t="s">
        <v>1029</v>
      </c>
      <c r="C327" s="5" t="s">
        <v>181</v>
      </c>
      <c r="D327" s="5" t="s">
        <v>471</v>
      </c>
      <c r="E327" s="5" t="s">
        <v>0</v>
      </c>
      <c r="F327" s="5" t="s">
        <v>0</v>
      </c>
      <c r="G327" s="5" t="s">
        <v>183</v>
      </c>
      <c r="H327" s="6">
        <v>31.71</v>
      </c>
      <c r="I327" s="7">
        <f>ROUND(37833.8599999999,2)</f>
        <v>37833.86</v>
      </c>
    </row>
    <row r="328" spans="1:9" ht="39.6" x14ac:dyDescent="0.3">
      <c r="A328" s="4" t="s">
        <v>846</v>
      </c>
      <c r="B328" s="5" t="s">
        <v>1029</v>
      </c>
      <c r="C328" s="5" t="s">
        <v>181</v>
      </c>
      <c r="D328" s="5" t="s">
        <v>387</v>
      </c>
      <c r="E328" s="5" t="s">
        <v>0</v>
      </c>
      <c r="F328" s="5" t="s">
        <v>0</v>
      </c>
      <c r="G328" s="5" t="s">
        <v>183</v>
      </c>
      <c r="H328" s="8">
        <v>34.04</v>
      </c>
      <c r="I328" s="7">
        <f>ROUND(97888.0599999999,2)</f>
        <v>97888.06</v>
      </c>
    </row>
    <row r="329" spans="1:9" ht="52.8" x14ac:dyDescent="0.3">
      <c r="A329" s="4" t="s">
        <v>847</v>
      </c>
      <c r="B329" s="5"/>
      <c r="C329" s="5" t="s">
        <v>201</v>
      </c>
      <c r="D329" s="5" t="s">
        <v>609</v>
      </c>
      <c r="E329" s="5" t="s">
        <v>848</v>
      </c>
      <c r="F329" s="5" t="s">
        <v>0</v>
      </c>
      <c r="G329" s="5" t="s">
        <v>203</v>
      </c>
      <c r="H329" s="8">
        <f>ROUND(18,2)</f>
        <v>18</v>
      </c>
      <c r="I329" s="7">
        <f>ROUND(24736.5,2)</f>
        <v>24736.5</v>
      </c>
    </row>
    <row r="330" spans="1:9" ht="39.6" x14ac:dyDescent="0.3">
      <c r="A330" s="4" t="s">
        <v>849</v>
      </c>
      <c r="B330" s="5" t="s">
        <v>1029</v>
      </c>
      <c r="C330" s="5" t="s">
        <v>181</v>
      </c>
      <c r="D330" s="5" t="s">
        <v>215</v>
      </c>
      <c r="E330" s="5" t="s">
        <v>0</v>
      </c>
      <c r="F330" s="5" t="s">
        <v>0</v>
      </c>
      <c r="G330" s="5" t="s">
        <v>183</v>
      </c>
      <c r="H330" s="8">
        <v>33.880000000000003</v>
      </c>
      <c r="I330" s="7">
        <f>ROUND(85489.23,2)</f>
        <v>85489.23</v>
      </c>
    </row>
    <row r="331" spans="1:9" ht="39.6" x14ac:dyDescent="0.3">
      <c r="A331" s="4" t="s">
        <v>850</v>
      </c>
      <c r="B331" s="5" t="s">
        <v>1029</v>
      </c>
      <c r="C331" s="5" t="s">
        <v>181</v>
      </c>
      <c r="D331" s="5" t="s">
        <v>368</v>
      </c>
      <c r="E331" s="5" t="s">
        <v>0</v>
      </c>
      <c r="F331" s="5" t="s">
        <v>0</v>
      </c>
      <c r="G331" s="5" t="s">
        <v>183</v>
      </c>
      <c r="H331" s="8">
        <v>34.04</v>
      </c>
      <c r="I331" s="7">
        <f>ROUND(104735.81,2)</f>
        <v>104735.81</v>
      </c>
    </row>
    <row r="332" spans="1:9" ht="39.6" x14ac:dyDescent="0.3">
      <c r="A332" s="4" t="s">
        <v>851</v>
      </c>
      <c r="B332" s="5" t="s">
        <v>1029</v>
      </c>
      <c r="C332" s="5" t="s">
        <v>181</v>
      </c>
      <c r="D332" s="5" t="s">
        <v>196</v>
      </c>
      <c r="E332" s="5" t="s">
        <v>0</v>
      </c>
      <c r="F332" s="5" t="s">
        <v>0</v>
      </c>
      <c r="G332" s="5" t="s">
        <v>183</v>
      </c>
      <c r="H332" s="8">
        <v>33.380000000000003</v>
      </c>
      <c r="I332" s="7">
        <f>ROUND(44006.85,2)</f>
        <v>44006.85</v>
      </c>
    </row>
    <row r="333" spans="1:9" ht="39.6" x14ac:dyDescent="0.3">
      <c r="A333" s="4" t="s">
        <v>852</v>
      </c>
      <c r="B333" s="5" t="s">
        <v>1029</v>
      </c>
      <c r="C333" s="5" t="s">
        <v>181</v>
      </c>
      <c r="D333" s="5" t="s">
        <v>390</v>
      </c>
      <c r="E333" s="5" t="s">
        <v>0</v>
      </c>
      <c r="F333" s="5" t="s">
        <v>0</v>
      </c>
      <c r="G333" s="5" t="s">
        <v>183</v>
      </c>
      <c r="H333" s="9">
        <v>33.380000000000003</v>
      </c>
      <c r="I333" s="7">
        <f>ROUND(92050.22,2)</f>
        <v>92050.22</v>
      </c>
    </row>
    <row r="334" spans="1:9" ht="39.6" x14ac:dyDescent="0.3">
      <c r="A334" s="4" t="s">
        <v>853</v>
      </c>
      <c r="B334" s="5" t="s">
        <v>1029</v>
      </c>
      <c r="C334" s="5" t="s">
        <v>236</v>
      </c>
      <c r="D334" s="5" t="s">
        <v>854</v>
      </c>
      <c r="E334" s="5" t="s">
        <v>0</v>
      </c>
      <c r="F334" s="5" t="s">
        <v>0</v>
      </c>
      <c r="G334" s="5" t="s">
        <v>330</v>
      </c>
      <c r="H334" s="8">
        <v>28.28</v>
      </c>
      <c r="I334" s="7">
        <f>ROUND(77851.64,2)</f>
        <v>77851.64</v>
      </c>
    </row>
    <row r="335" spans="1:9" ht="105.6" x14ac:dyDescent="0.3">
      <c r="A335" s="4" t="s">
        <v>855</v>
      </c>
      <c r="B335" s="5"/>
      <c r="C335" s="5" t="s">
        <v>223</v>
      </c>
      <c r="D335" s="5" t="s">
        <v>856</v>
      </c>
      <c r="E335" s="5" t="s">
        <v>857</v>
      </c>
      <c r="F335" s="5" t="s">
        <v>856</v>
      </c>
      <c r="G335" s="5" t="s">
        <v>858</v>
      </c>
      <c r="H335" s="8">
        <f>ROUND(2997.05,2)</f>
        <v>2997.05</v>
      </c>
      <c r="I335" s="7">
        <f>ROUND(115595.93,2)</f>
        <v>115595.93</v>
      </c>
    </row>
    <row r="336" spans="1:9" ht="39.6" x14ac:dyDescent="0.3">
      <c r="A336" s="4" t="s">
        <v>859</v>
      </c>
      <c r="B336" s="5" t="s">
        <v>1029</v>
      </c>
      <c r="C336" s="5" t="s">
        <v>181</v>
      </c>
      <c r="D336" s="5" t="s">
        <v>249</v>
      </c>
      <c r="E336" s="5" t="s">
        <v>0</v>
      </c>
      <c r="F336" s="5" t="s">
        <v>0</v>
      </c>
      <c r="G336" s="5" t="s">
        <v>183</v>
      </c>
      <c r="H336" s="8">
        <v>33.380000000000003</v>
      </c>
      <c r="I336" s="7">
        <f>ROUND(46711.9799999999,2)</f>
        <v>46711.98</v>
      </c>
    </row>
    <row r="337" spans="1:9" ht="39.6" x14ac:dyDescent="0.3">
      <c r="A337" s="4" t="s">
        <v>860</v>
      </c>
      <c r="B337" s="5" t="s">
        <v>1029</v>
      </c>
      <c r="C337" s="5" t="s">
        <v>236</v>
      </c>
      <c r="D337" s="5" t="s">
        <v>861</v>
      </c>
      <c r="E337" s="5" t="s">
        <v>0</v>
      </c>
      <c r="F337" s="5" t="s">
        <v>0</v>
      </c>
      <c r="G337" s="5" t="s">
        <v>238</v>
      </c>
      <c r="H337" s="8">
        <v>37.75</v>
      </c>
      <c r="I337" s="7">
        <f>ROUND(120999.51,2)</f>
        <v>120999.51</v>
      </c>
    </row>
    <row r="338" spans="1:9" ht="66" x14ac:dyDescent="0.3">
      <c r="A338" s="4" t="s">
        <v>862</v>
      </c>
      <c r="B338" s="5"/>
      <c r="C338" s="5" t="s">
        <v>201</v>
      </c>
      <c r="D338" s="5" t="s">
        <v>863</v>
      </c>
      <c r="E338" s="5" t="s">
        <v>0</v>
      </c>
      <c r="F338" s="5" t="s">
        <v>0</v>
      </c>
      <c r="G338" s="5" t="s">
        <v>864</v>
      </c>
      <c r="H338" s="8">
        <f>ROUND(1465.2,2)</f>
        <v>1465.2</v>
      </c>
      <c r="I338" s="7">
        <f>ROUND(76684.4199999999,2)</f>
        <v>76684.42</v>
      </c>
    </row>
    <row r="339" spans="1:9" ht="52.8" x14ac:dyDescent="0.3">
      <c r="A339" s="4" t="s">
        <v>865</v>
      </c>
      <c r="B339" s="5"/>
      <c r="C339" s="5" t="s">
        <v>201</v>
      </c>
      <c r="D339" s="5" t="s">
        <v>866</v>
      </c>
      <c r="E339" s="5" t="s">
        <v>867</v>
      </c>
      <c r="F339" s="5" t="s">
        <v>0</v>
      </c>
      <c r="G339" s="5" t="s">
        <v>265</v>
      </c>
      <c r="H339" s="8">
        <f>ROUND(16.9744,2)</f>
        <v>16.97</v>
      </c>
      <c r="I339" s="7">
        <f>ROUND(271.6,2)</f>
        <v>271.60000000000002</v>
      </c>
    </row>
    <row r="340" spans="1:9" ht="39.6" x14ac:dyDescent="0.3">
      <c r="A340" s="4" t="s">
        <v>868</v>
      </c>
      <c r="B340" s="5" t="s">
        <v>1029</v>
      </c>
      <c r="C340" s="5" t="s">
        <v>181</v>
      </c>
      <c r="D340" s="5" t="s">
        <v>869</v>
      </c>
      <c r="E340" s="5" t="s">
        <v>0</v>
      </c>
      <c r="F340" s="5" t="s">
        <v>0</v>
      </c>
      <c r="G340" s="5" t="s">
        <v>183</v>
      </c>
      <c r="H340" s="8">
        <v>34.04</v>
      </c>
      <c r="I340" s="7">
        <f>ROUND(81598.5699999999,2)</f>
        <v>81598.570000000007</v>
      </c>
    </row>
    <row r="341" spans="1:9" ht="39.6" x14ac:dyDescent="0.3">
      <c r="A341" s="4" t="s">
        <v>870</v>
      </c>
      <c r="B341" s="5" t="s">
        <v>1029</v>
      </c>
      <c r="C341" s="5" t="s">
        <v>181</v>
      </c>
      <c r="D341" s="5" t="s">
        <v>185</v>
      </c>
      <c r="E341" s="5" t="s">
        <v>0</v>
      </c>
      <c r="F341" s="5" t="s">
        <v>0</v>
      </c>
      <c r="G341" s="5" t="s">
        <v>183</v>
      </c>
      <c r="H341" s="8">
        <v>34.04</v>
      </c>
      <c r="I341" s="7">
        <f>ROUND(90267.54,2)</f>
        <v>90267.54</v>
      </c>
    </row>
    <row r="342" spans="1:9" ht="39.6" x14ac:dyDescent="0.3">
      <c r="A342" s="4" t="s">
        <v>871</v>
      </c>
      <c r="B342" s="5" t="s">
        <v>1029</v>
      </c>
      <c r="C342" s="5" t="s">
        <v>181</v>
      </c>
      <c r="D342" s="5" t="s">
        <v>276</v>
      </c>
      <c r="E342" s="5" t="s">
        <v>0</v>
      </c>
      <c r="F342" s="5" t="s">
        <v>0</v>
      </c>
      <c r="G342" s="5" t="s">
        <v>183</v>
      </c>
      <c r="H342" s="8">
        <v>33.33</v>
      </c>
      <c r="I342" s="7">
        <f>ROUND(65092.6499999999,2)</f>
        <v>65092.65</v>
      </c>
    </row>
    <row r="343" spans="1:9" ht="39.6" x14ac:dyDescent="0.3">
      <c r="A343" s="4" t="s">
        <v>872</v>
      </c>
      <c r="B343" s="5" t="s">
        <v>1029</v>
      </c>
      <c r="C343" s="5" t="s">
        <v>181</v>
      </c>
      <c r="D343" s="5" t="s">
        <v>219</v>
      </c>
      <c r="E343" s="5" t="s">
        <v>0</v>
      </c>
      <c r="F343" s="5" t="s">
        <v>0</v>
      </c>
      <c r="G343" s="5" t="s">
        <v>183</v>
      </c>
      <c r="H343" s="8">
        <v>33.380000000000003</v>
      </c>
      <c r="I343" s="7">
        <f>ROUND(60831.62,2)</f>
        <v>60831.62</v>
      </c>
    </row>
    <row r="344" spans="1:9" ht="39.6" x14ac:dyDescent="0.3">
      <c r="A344" s="4" t="s">
        <v>873</v>
      </c>
      <c r="B344" s="5" t="s">
        <v>1029</v>
      </c>
      <c r="C344" s="5" t="s">
        <v>236</v>
      </c>
      <c r="D344" s="5" t="s">
        <v>837</v>
      </c>
      <c r="E344" s="5" t="s">
        <v>0</v>
      </c>
      <c r="F344" s="5" t="s">
        <v>0</v>
      </c>
      <c r="G344" s="5" t="s">
        <v>330</v>
      </c>
      <c r="H344" s="9">
        <v>24.03</v>
      </c>
      <c r="I344" s="7">
        <f>ROUND(43124.6599999999,2)</f>
        <v>43124.66</v>
      </c>
    </row>
    <row r="345" spans="1:9" ht="39.6" x14ac:dyDescent="0.3">
      <c r="A345" s="4" t="s">
        <v>874</v>
      </c>
      <c r="B345" s="5" t="s">
        <v>1029</v>
      </c>
      <c r="C345" s="5" t="s">
        <v>181</v>
      </c>
      <c r="D345" s="5" t="s">
        <v>461</v>
      </c>
      <c r="E345" s="5" t="s">
        <v>0</v>
      </c>
      <c r="F345" s="5" t="s">
        <v>0</v>
      </c>
      <c r="G345" s="5" t="s">
        <v>183</v>
      </c>
      <c r="H345" s="8">
        <v>33.880000000000003</v>
      </c>
      <c r="I345" s="7">
        <f>ROUND(50070.35,2)</f>
        <v>50070.35</v>
      </c>
    </row>
    <row r="346" spans="1:9" ht="39.6" x14ac:dyDescent="0.3">
      <c r="A346" s="4" t="s">
        <v>875</v>
      </c>
      <c r="B346" s="5" t="s">
        <v>1029</v>
      </c>
      <c r="C346" s="5" t="s">
        <v>181</v>
      </c>
      <c r="D346" s="5" t="s">
        <v>354</v>
      </c>
      <c r="E346" s="5" t="s">
        <v>0</v>
      </c>
      <c r="F346" s="5" t="s">
        <v>0</v>
      </c>
      <c r="G346" s="5" t="s">
        <v>183</v>
      </c>
      <c r="H346" s="6">
        <v>33.380000000000003</v>
      </c>
      <c r="I346" s="7">
        <f>ROUND(64258.4499999999,2)</f>
        <v>64258.45</v>
      </c>
    </row>
    <row r="347" spans="1:9" ht="39.6" x14ac:dyDescent="0.3">
      <c r="A347" s="4" t="s">
        <v>876</v>
      </c>
      <c r="B347" s="5" t="s">
        <v>1029</v>
      </c>
      <c r="C347" s="5" t="s">
        <v>181</v>
      </c>
      <c r="D347" s="5" t="s">
        <v>877</v>
      </c>
      <c r="E347" s="5" t="s">
        <v>0</v>
      </c>
      <c r="F347" s="5" t="s">
        <v>0</v>
      </c>
      <c r="G347" s="5" t="s">
        <v>183</v>
      </c>
      <c r="H347" s="8">
        <v>33.880000000000003</v>
      </c>
      <c r="I347" s="7">
        <f>ROUND(93805.24,2)</f>
        <v>93805.24</v>
      </c>
    </row>
    <row r="348" spans="1:9" ht="39.6" x14ac:dyDescent="0.3">
      <c r="A348" s="4" t="s">
        <v>878</v>
      </c>
      <c r="B348" s="5" t="s">
        <v>1029</v>
      </c>
      <c r="C348" s="5" t="s">
        <v>236</v>
      </c>
      <c r="D348" s="5" t="s">
        <v>879</v>
      </c>
      <c r="E348" s="5" t="s">
        <v>0</v>
      </c>
      <c r="F348" s="5" t="s">
        <v>0</v>
      </c>
      <c r="G348" s="5" t="s">
        <v>238</v>
      </c>
      <c r="H348" s="8">
        <v>37.75</v>
      </c>
      <c r="I348" s="7">
        <f>ROUND(126070.129999999,2)</f>
        <v>126070.13</v>
      </c>
    </row>
    <row r="349" spans="1:9" ht="39.6" x14ac:dyDescent="0.3">
      <c r="A349" s="4" t="s">
        <v>880</v>
      </c>
      <c r="B349" s="5" t="s">
        <v>1029</v>
      </c>
      <c r="C349" s="5" t="s">
        <v>181</v>
      </c>
      <c r="D349" s="5" t="s">
        <v>209</v>
      </c>
      <c r="E349" s="5" t="s">
        <v>0</v>
      </c>
      <c r="F349" s="5" t="s">
        <v>0</v>
      </c>
      <c r="G349" s="5" t="s">
        <v>183</v>
      </c>
      <c r="H349" s="8">
        <v>33.380000000000003</v>
      </c>
      <c r="I349" s="7">
        <f>ROUND(100387.63,2)</f>
        <v>100387.63</v>
      </c>
    </row>
    <row r="350" spans="1:9" ht="39.6" x14ac:dyDescent="0.3">
      <c r="A350" s="4" t="s">
        <v>881</v>
      </c>
      <c r="B350" s="5" t="s">
        <v>1029</v>
      </c>
      <c r="C350" s="5" t="s">
        <v>181</v>
      </c>
      <c r="D350" s="5" t="s">
        <v>194</v>
      </c>
      <c r="E350" s="5" t="s">
        <v>882</v>
      </c>
      <c r="F350" s="5" t="s">
        <v>0</v>
      </c>
      <c r="G350" s="5" t="s">
        <v>183</v>
      </c>
      <c r="H350" s="8">
        <v>33.380000000000003</v>
      </c>
      <c r="I350" s="7">
        <f>ROUND(87679.6599999999,2)</f>
        <v>87679.66</v>
      </c>
    </row>
    <row r="351" spans="1:9" ht="39.6" x14ac:dyDescent="0.3">
      <c r="A351" s="4" t="s">
        <v>883</v>
      </c>
      <c r="B351" s="5" t="s">
        <v>1029</v>
      </c>
      <c r="C351" s="5" t="s">
        <v>181</v>
      </c>
      <c r="D351" s="5" t="s">
        <v>884</v>
      </c>
      <c r="E351" s="5" t="s">
        <v>0</v>
      </c>
      <c r="F351" s="5" t="s">
        <v>0</v>
      </c>
      <c r="G351" s="5" t="s">
        <v>183</v>
      </c>
      <c r="H351" s="8">
        <v>33.880000000000003</v>
      </c>
      <c r="I351" s="7">
        <f>ROUND(77176.2799999999,2)</f>
        <v>77176.28</v>
      </c>
    </row>
    <row r="352" spans="1:9" ht="39.6" x14ac:dyDescent="0.3">
      <c r="A352" s="4" t="s">
        <v>885</v>
      </c>
      <c r="B352" s="5" t="s">
        <v>1029</v>
      </c>
      <c r="C352" s="5" t="s">
        <v>181</v>
      </c>
      <c r="D352" s="5" t="s">
        <v>886</v>
      </c>
      <c r="E352" s="5" t="s">
        <v>0</v>
      </c>
      <c r="F352" s="5" t="s">
        <v>0</v>
      </c>
      <c r="G352" s="5" t="s">
        <v>183</v>
      </c>
      <c r="H352" s="8">
        <v>33.880000000000003</v>
      </c>
      <c r="I352" s="7">
        <f>ROUND(103251.4,2)</f>
        <v>103251.4</v>
      </c>
    </row>
    <row r="353" spans="1:9" ht="39.6" x14ac:dyDescent="0.3">
      <c r="A353" s="4" t="s">
        <v>887</v>
      </c>
      <c r="B353" s="5" t="s">
        <v>1029</v>
      </c>
      <c r="C353" s="5" t="s">
        <v>181</v>
      </c>
      <c r="D353" s="5" t="s">
        <v>590</v>
      </c>
      <c r="E353" s="5" t="s">
        <v>0</v>
      </c>
      <c r="F353" s="5" t="s">
        <v>0</v>
      </c>
      <c r="G353" s="5" t="s">
        <v>183</v>
      </c>
      <c r="H353" s="8">
        <v>33.880000000000003</v>
      </c>
      <c r="I353" s="7">
        <f>ROUND(109998.559999999,2)</f>
        <v>109998.56</v>
      </c>
    </row>
    <row r="354" spans="1:9" ht="39.6" x14ac:dyDescent="0.3">
      <c r="A354" s="4" t="s">
        <v>888</v>
      </c>
      <c r="B354" s="5" t="s">
        <v>1029</v>
      </c>
      <c r="C354" s="5" t="s">
        <v>181</v>
      </c>
      <c r="D354" s="5" t="s">
        <v>889</v>
      </c>
      <c r="E354" s="5" t="s">
        <v>0</v>
      </c>
      <c r="F354" s="5" t="s">
        <v>0</v>
      </c>
      <c r="G354" s="5" t="s">
        <v>183</v>
      </c>
      <c r="H354" s="8">
        <v>34.04</v>
      </c>
      <c r="I354" s="7">
        <f>ROUND(130711.3,2)</f>
        <v>130711.3</v>
      </c>
    </row>
    <row r="355" spans="1:9" ht="39.6" x14ac:dyDescent="0.3">
      <c r="A355" s="4" t="s">
        <v>890</v>
      </c>
      <c r="B355" s="5" t="s">
        <v>1029</v>
      </c>
      <c r="C355" s="5" t="s">
        <v>181</v>
      </c>
      <c r="D355" s="5" t="s">
        <v>232</v>
      </c>
      <c r="E355" s="5" t="s">
        <v>0</v>
      </c>
      <c r="F355" s="5" t="s">
        <v>0</v>
      </c>
      <c r="G355" s="5" t="s">
        <v>183</v>
      </c>
      <c r="H355" s="8">
        <v>34.04</v>
      </c>
      <c r="I355" s="7">
        <f>ROUND(80912.3299999999,2)</f>
        <v>80912.33</v>
      </c>
    </row>
    <row r="356" spans="1:9" ht="39.6" x14ac:dyDescent="0.3">
      <c r="A356" s="4" t="s">
        <v>891</v>
      </c>
      <c r="B356" s="5" t="s">
        <v>1029</v>
      </c>
      <c r="C356" s="5" t="s">
        <v>181</v>
      </c>
      <c r="D356" s="5" t="s">
        <v>892</v>
      </c>
      <c r="E356" s="5" t="s">
        <v>0</v>
      </c>
      <c r="F356" s="5" t="s">
        <v>0</v>
      </c>
      <c r="G356" s="5" t="s">
        <v>183</v>
      </c>
      <c r="H356" s="9">
        <v>33.380000000000003</v>
      </c>
      <c r="I356" s="7">
        <f>ROUND(71750.52,2)</f>
        <v>71750.52</v>
      </c>
    </row>
    <row r="357" spans="1:9" ht="39.6" x14ac:dyDescent="0.3">
      <c r="A357" s="4" t="s">
        <v>893</v>
      </c>
      <c r="B357" s="5" t="s">
        <v>1029</v>
      </c>
      <c r="C357" s="5" t="s">
        <v>181</v>
      </c>
      <c r="D357" s="5" t="s">
        <v>424</v>
      </c>
      <c r="E357" s="5" t="s">
        <v>0</v>
      </c>
      <c r="F357" s="5" t="s">
        <v>0</v>
      </c>
      <c r="G357" s="5" t="s">
        <v>183</v>
      </c>
      <c r="H357" s="9">
        <v>33.380000000000003</v>
      </c>
      <c r="I357" s="7">
        <f>ROUND(80712.38,2)</f>
        <v>80712.38</v>
      </c>
    </row>
    <row r="358" spans="1:9" ht="39.6" x14ac:dyDescent="0.3">
      <c r="A358" s="4" t="s">
        <v>894</v>
      </c>
      <c r="B358" s="5" t="s">
        <v>1029</v>
      </c>
      <c r="C358" s="5" t="s">
        <v>181</v>
      </c>
      <c r="D358" s="5" t="s">
        <v>446</v>
      </c>
      <c r="E358" s="5" t="s">
        <v>0</v>
      </c>
      <c r="F358" s="5" t="s">
        <v>0</v>
      </c>
      <c r="G358" s="5" t="s">
        <v>183</v>
      </c>
      <c r="H358" s="8">
        <v>34.04</v>
      </c>
      <c r="I358" s="7">
        <f>ROUND(119689.06,2)</f>
        <v>119689.06</v>
      </c>
    </row>
    <row r="359" spans="1:9" ht="52.8" x14ac:dyDescent="0.3">
      <c r="A359" s="4" t="s">
        <v>895</v>
      </c>
      <c r="B359" s="5"/>
      <c r="C359" s="5" t="s">
        <v>244</v>
      </c>
      <c r="D359" s="5" t="s">
        <v>896</v>
      </c>
      <c r="E359" s="5" t="s">
        <v>0</v>
      </c>
      <c r="F359" s="5" t="s">
        <v>0</v>
      </c>
      <c r="G359" s="5" t="s">
        <v>742</v>
      </c>
      <c r="H359" s="8">
        <f>ROUND(24.64,2)</f>
        <v>24.64</v>
      </c>
      <c r="I359" s="7">
        <f>ROUND(70473.48,2)</f>
        <v>70473.48</v>
      </c>
    </row>
    <row r="360" spans="1:9" ht="39.6" x14ac:dyDescent="0.3">
      <c r="A360" s="4" t="s">
        <v>897</v>
      </c>
      <c r="B360" s="5" t="s">
        <v>1029</v>
      </c>
      <c r="C360" s="5" t="s">
        <v>181</v>
      </c>
      <c r="D360" s="5" t="s">
        <v>499</v>
      </c>
      <c r="E360" s="5" t="s">
        <v>898</v>
      </c>
      <c r="F360" s="5" t="s">
        <v>0</v>
      </c>
      <c r="G360" s="5" t="s">
        <v>183</v>
      </c>
      <c r="H360" s="8">
        <v>33.880000000000003</v>
      </c>
      <c r="I360" s="7">
        <f>ROUND(97332.97,2)</f>
        <v>97332.97</v>
      </c>
    </row>
    <row r="361" spans="1:9" ht="39.6" x14ac:dyDescent="0.3">
      <c r="A361" s="4" t="s">
        <v>899</v>
      </c>
      <c r="B361" s="5" t="s">
        <v>1029</v>
      </c>
      <c r="C361" s="5" t="s">
        <v>181</v>
      </c>
      <c r="D361" s="5" t="s">
        <v>219</v>
      </c>
      <c r="E361" s="5" t="s">
        <v>0</v>
      </c>
      <c r="F361" s="5" t="s">
        <v>0</v>
      </c>
      <c r="G361" s="5" t="s">
        <v>183</v>
      </c>
      <c r="H361" s="8">
        <v>33.380000000000003</v>
      </c>
      <c r="I361" s="7">
        <f>ROUND(88030.58,2)</f>
        <v>88030.58</v>
      </c>
    </row>
    <row r="362" spans="1:9" ht="39.6" x14ac:dyDescent="0.3">
      <c r="A362" s="4" t="s">
        <v>900</v>
      </c>
      <c r="B362" s="5" t="s">
        <v>1029</v>
      </c>
      <c r="C362" s="5" t="s">
        <v>181</v>
      </c>
      <c r="D362" s="5" t="s">
        <v>901</v>
      </c>
      <c r="E362" s="5" t="s">
        <v>0</v>
      </c>
      <c r="F362" s="5" t="s">
        <v>0</v>
      </c>
      <c r="G362" s="5" t="s">
        <v>183</v>
      </c>
      <c r="H362" s="8">
        <v>32.090000000000003</v>
      </c>
      <c r="I362" s="7">
        <f>ROUND(67597.51,2)</f>
        <v>67597.509999999995</v>
      </c>
    </row>
    <row r="363" spans="1:9" ht="39.6" x14ac:dyDescent="0.3">
      <c r="A363" s="4" t="s">
        <v>902</v>
      </c>
      <c r="B363" s="5" t="s">
        <v>1029</v>
      </c>
      <c r="C363" s="5" t="s">
        <v>236</v>
      </c>
      <c r="D363" s="5" t="s">
        <v>903</v>
      </c>
      <c r="E363" s="5" t="s">
        <v>0</v>
      </c>
      <c r="F363" s="5" t="s">
        <v>0</v>
      </c>
      <c r="G363" s="5" t="s">
        <v>330</v>
      </c>
      <c r="H363" s="9">
        <v>25.45</v>
      </c>
      <c r="I363" s="7">
        <f>ROUND(50760.48,2)</f>
        <v>50760.480000000003</v>
      </c>
    </row>
    <row r="364" spans="1:9" ht="39.6" x14ac:dyDescent="0.3">
      <c r="A364" s="4" t="s">
        <v>904</v>
      </c>
      <c r="B364" s="5" t="s">
        <v>1029</v>
      </c>
      <c r="C364" s="5" t="s">
        <v>181</v>
      </c>
      <c r="D364" s="5" t="s">
        <v>398</v>
      </c>
      <c r="E364" s="5" t="s">
        <v>905</v>
      </c>
      <c r="F364" s="5" t="s">
        <v>0</v>
      </c>
      <c r="G364" s="5" t="s">
        <v>183</v>
      </c>
      <c r="H364" s="8">
        <v>32.090000000000003</v>
      </c>
      <c r="I364" s="7">
        <f>ROUND(9065.43,2)</f>
        <v>9065.43</v>
      </c>
    </row>
    <row r="365" spans="1:9" ht="66" x14ac:dyDescent="0.3">
      <c r="A365" s="4" t="s">
        <v>906</v>
      </c>
      <c r="B365" s="5"/>
      <c r="C365" s="5" t="s">
        <v>244</v>
      </c>
      <c r="D365" s="5" t="s">
        <v>907</v>
      </c>
      <c r="E365" s="5" t="s">
        <v>0</v>
      </c>
      <c r="F365" s="5" t="s">
        <v>0</v>
      </c>
      <c r="G365" s="5" t="s">
        <v>247</v>
      </c>
      <c r="H365" s="8">
        <f>ROUND(20.2601,2)</f>
        <v>20.260000000000002</v>
      </c>
      <c r="I365" s="7">
        <f>ROUND(28222.18,2)</f>
        <v>28222.18</v>
      </c>
    </row>
    <row r="366" spans="1:9" ht="66" x14ac:dyDescent="0.3">
      <c r="A366" s="4" t="s">
        <v>908</v>
      </c>
      <c r="B366" s="5"/>
      <c r="C366" s="5" t="s">
        <v>244</v>
      </c>
      <c r="D366" s="5" t="s">
        <v>909</v>
      </c>
      <c r="E366" s="5" t="s">
        <v>0</v>
      </c>
      <c r="F366" s="5" t="s">
        <v>0</v>
      </c>
      <c r="G366" s="5" t="s">
        <v>247</v>
      </c>
      <c r="H366" s="8">
        <f>ROUND(19.57,2)</f>
        <v>19.57</v>
      </c>
      <c r="I366" s="7">
        <f>ROUND(49040.5,2)</f>
        <v>49040.5</v>
      </c>
    </row>
    <row r="367" spans="1:9" ht="39.6" x14ac:dyDescent="0.3">
      <c r="A367" s="4" t="s">
        <v>910</v>
      </c>
      <c r="B367" s="5" t="s">
        <v>1029</v>
      </c>
      <c r="C367" s="5" t="s">
        <v>181</v>
      </c>
      <c r="D367" s="5" t="s">
        <v>911</v>
      </c>
      <c r="E367" s="5" t="s">
        <v>912</v>
      </c>
      <c r="F367" s="5" t="s">
        <v>0</v>
      </c>
      <c r="G367" s="5" t="s">
        <v>183</v>
      </c>
      <c r="H367" s="8">
        <v>32.090000000000003</v>
      </c>
      <c r="I367" s="6"/>
    </row>
    <row r="368" spans="1:9" ht="39.6" x14ac:dyDescent="0.3">
      <c r="A368" s="4" t="s">
        <v>913</v>
      </c>
      <c r="B368" s="5" t="s">
        <v>1029</v>
      </c>
      <c r="C368" s="5" t="s">
        <v>181</v>
      </c>
      <c r="D368" s="5" t="s">
        <v>303</v>
      </c>
      <c r="E368" s="5" t="s">
        <v>914</v>
      </c>
      <c r="F368" s="5" t="s">
        <v>0</v>
      </c>
      <c r="G368" s="5" t="s">
        <v>183</v>
      </c>
      <c r="H368" s="9">
        <v>31.71</v>
      </c>
      <c r="I368" s="7">
        <f>ROUND(60228.45,2)</f>
        <v>60228.45</v>
      </c>
    </row>
    <row r="369" spans="1:9" ht="52.8" x14ac:dyDescent="0.3">
      <c r="A369" s="4" t="s">
        <v>915</v>
      </c>
      <c r="B369" s="5"/>
      <c r="C369" s="5" t="s">
        <v>223</v>
      </c>
      <c r="D369" s="5" t="s">
        <v>916</v>
      </c>
      <c r="E369" s="5" t="s">
        <v>0</v>
      </c>
      <c r="F369" s="5" t="s">
        <v>0</v>
      </c>
      <c r="G369" s="5" t="s">
        <v>917</v>
      </c>
      <c r="H369" s="8">
        <f>ROUND(1122.32,2)</f>
        <v>1122.32</v>
      </c>
      <c r="I369" s="7">
        <f>ROUND(62676.5299999999,2)</f>
        <v>62676.53</v>
      </c>
    </row>
    <row r="370" spans="1:9" ht="39.6" x14ac:dyDescent="0.3">
      <c r="A370" s="4" t="s">
        <v>918</v>
      </c>
      <c r="B370" s="5" t="s">
        <v>1029</v>
      </c>
      <c r="C370" s="5" t="s">
        <v>181</v>
      </c>
      <c r="D370" s="5" t="s">
        <v>249</v>
      </c>
      <c r="E370" s="5" t="s">
        <v>0</v>
      </c>
      <c r="F370" s="5" t="s">
        <v>0</v>
      </c>
      <c r="G370" s="5" t="s">
        <v>183</v>
      </c>
      <c r="H370" s="8">
        <v>33.880000000000003</v>
      </c>
      <c r="I370" s="7">
        <f>ROUND(116552.299999999,2)</f>
        <v>116552.3</v>
      </c>
    </row>
    <row r="371" spans="1:9" ht="39.6" x14ac:dyDescent="0.3">
      <c r="A371" s="4" t="s">
        <v>919</v>
      </c>
      <c r="B371" s="5" t="s">
        <v>1029</v>
      </c>
      <c r="C371" s="5" t="s">
        <v>181</v>
      </c>
      <c r="D371" s="5" t="s">
        <v>920</v>
      </c>
      <c r="E371" s="5" t="s">
        <v>0</v>
      </c>
      <c r="F371" s="5" t="s">
        <v>0</v>
      </c>
      <c r="G371" s="5" t="s">
        <v>183</v>
      </c>
      <c r="H371" s="8">
        <v>34.04</v>
      </c>
      <c r="I371" s="7">
        <f>ROUND(102992.449999999,2)</f>
        <v>102992.45</v>
      </c>
    </row>
    <row r="372" spans="1:9" ht="39.6" x14ac:dyDescent="0.3">
      <c r="A372" s="4" t="s">
        <v>921</v>
      </c>
      <c r="B372" s="5" t="s">
        <v>1029</v>
      </c>
      <c r="C372" s="5" t="s">
        <v>181</v>
      </c>
      <c r="D372" s="5" t="s">
        <v>390</v>
      </c>
      <c r="E372" s="5" t="s">
        <v>0</v>
      </c>
      <c r="F372" s="5" t="s">
        <v>0</v>
      </c>
      <c r="G372" s="5" t="s">
        <v>183</v>
      </c>
      <c r="H372" s="9">
        <v>33.380000000000003</v>
      </c>
      <c r="I372" s="7">
        <f>ROUND(103911.399999999,2)</f>
        <v>103911.4</v>
      </c>
    </row>
    <row r="373" spans="1:9" ht="39.6" x14ac:dyDescent="0.3">
      <c r="A373" s="4" t="s">
        <v>922</v>
      </c>
      <c r="B373" s="5" t="s">
        <v>1029</v>
      </c>
      <c r="C373" s="5" t="s">
        <v>181</v>
      </c>
      <c r="D373" s="5" t="s">
        <v>196</v>
      </c>
      <c r="E373" s="5" t="s">
        <v>0</v>
      </c>
      <c r="F373" s="5" t="s">
        <v>0</v>
      </c>
      <c r="G373" s="5" t="s">
        <v>183</v>
      </c>
      <c r="H373" s="8">
        <v>33.380000000000003</v>
      </c>
      <c r="I373" s="7">
        <f>ROUND(101720.229999999,2)</f>
        <v>101720.23</v>
      </c>
    </row>
    <row r="374" spans="1:9" ht="39.6" x14ac:dyDescent="0.3">
      <c r="A374" s="4" t="s">
        <v>923</v>
      </c>
      <c r="B374" s="5" t="s">
        <v>1029</v>
      </c>
      <c r="C374" s="5" t="s">
        <v>181</v>
      </c>
      <c r="D374" s="5" t="s">
        <v>400</v>
      </c>
      <c r="E374" s="5" t="s">
        <v>0</v>
      </c>
      <c r="F374" s="5" t="s">
        <v>0</v>
      </c>
      <c r="G374" s="5" t="s">
        <v>183</v>
      </c>
      <c r="H374" s="8">
        <v>33.880000000000003</v>
      </c>
      <c r="I374" s="7">
        <f>ROUND(93356.33,2)</f>
        <v>93356.33</v>
      </c>
    </row>
    <row r="375" spans="1:9" ht="39.6" x14ac:dyDescent="0.3">
      <c r="A375" s="4" t="s">
        <v>924</v>
      </c>
      <c r="B375" s="5" t="s">
        <v>1029</v>
      </c>
      <c r="C375" s="5" t="s">
        <v>181</v>
      </c>
      <c r="D375" s="5" t="s">
        <v>925</v>
      </c>
      <c r="E375" s="5" t="s">
        <v>926</v>
      </c>
      <c r="F375" s="5" t="s">
        <v>0</v>
      </c>
      <c r="G375" s="5" t="s">
        <v>183</v>
      </c>
      <c r="H375" s="8">
        <v>32.090000000000003</v>
      </c>
      <c r="I375" s="7">
        <f>ROUND(18633.74,2)</f>
        <v>18633.740000000002</v>
      </c>
    </row>
    <row r="376" spans="1:9" ht="79.2" x14ac:dyDescent="0.3">
      <c r="A376" s="4" t="s">
        <v>927</v>
      </c>
      <c r="B376" s="5"/>
      <c r="C376" s="5" t="s">
        <v>320</v>
      </c>
      <c r="D376" s="5" t="s">
        <v>928</v>
      </c>
      <c r="E376" s="5" t="s">
        <v>929</v>
      </c>
      <c r="F376" s="5" t="s">
        <v>0</v>
      </c>
      <c r="G376" s="5" t="s">
        <v>864</v>
      </c>
      <c r="H376" s="8">
        <f>ROUND(1786.2,2)</f>
        <v>1786.2</v>
      </c>
      <c r="I376" s="7">
        <f>ROUND(79188.2099999999,2)</f>
        <v>79188.210000000006</v>
      </c>
    </row>
    <row r="377" spans="1:9" ht="39.6" x14ac:dyDescent="0.3">
      <c r="A377" s="4" t="s">
        <v>930</v>
      </c>
      <c r="B377" s="5" t="s">
        <v>1029</v>
      </c>
      <c r="C377" s="5" t="s">
        <v>181</v>
      </c>
      <c r="D377" s="5" t="s">
        <v>931</v>
      </c>
      <c r="E377" s="5" t="s">
        <v>932</v>
      </c>
      <c r="F377" s="5" t="s">
        <v>0</v>
      </c>
      <c r="G377" s="5" t="s">
        <v>183</v>
      </c>
      <c r="H377" s="8">
        <v>32.090000000000003</v>
      </c>
      <c r="I377" s="7">
        <f>ROUND(33567.5099999999,2)</f>
        <v>33567.51</v>
      </c>
    </row>
    <row r="378" spans="1:9" ht="39.6" x14ac:dyDescent="0.3">
      <c r="A378" s="4" t="s">
        <v>933</v>
      </c>
      <c r="B378" s="5" t="s">
        <v>1029</v>
      </c>
      <c r="C378" s="5" t="s">
        <v>181</v>
      </c>
      <c r="D378" s="5" t="s">
        <v>934</v>
      </c>
      <c r="E378" s="5" t="s">
        <v>0</v>
      </c>
      <c r="F378" s="5" t="s">
        <v>0</v>
      </c>
      <c r="G378" s="5" t="s">
        <v>183</v>
      </c>
      <c r="H378" s="8">
        <v>33.880000000000003</v>
      </c>
      <c r="I378" s="7">
        <f>ROUND(95504.17,2)</f>
        <v>95504.17</v>
      </c>
    </row>
    <row r="379" spans="1:9" ht="39.6" x14ac:dyDescent="0.3">
      <c r="A379" s="4" t="s">
        <v>935</v>
      </c>
      <c r="B379" s="5" t="s">
        <v>1029</v>
      </c>
      <c r="C379" s="5" t="s">
        <v>181</v>
      </c>
      <c r="D379" s="5" t="s">
        <v>190</v>
      </c>
      <c r="E379" s="5" t="s">
        <v>0</v>
      </c>
      <c r="F379" s="5" t="s">
        <v>0</v>
      </c>
      <c r="G379" s="5" t="s">
        <v>183</v>
      </c>
      <c r="H379" s="8">
        <v>34.04</v>
      </c>
      <c r="I379" s="7">
        <f>ROUND(102701.459999999,2)</f>
        <v>102701.46</v>
      </c>
    </row>
    <row r="380" spans="1:9" ht="39.6" x14ac:dyDescent="0.3">
      <c r="A380" s="4" t="s">
        <v>936</v>
      </c>
      <c r="B380" s="5" t="s">
        <v>1029</v>
      </c>
      <c r="C380" s="5" t="s">
        <v>181</v>
      </c>
      <c r="D380" s="5" t="s">
        <v>937</v>
      </c>
      <c r="E380" s="5" t="s">
        <v>0</v>
      </c>
      <c r="F380" s="5" t="s">
        <v>0</v>
      </c>
      <c r="G380" s="5" t="s">
        <v>183</v>
      </c>
      <c r="H380" s="8">
        <v>34.04</v>
      </c>
      <c r="I380" s="7">
        <f>ROUND(76064.6599999999,2)</f>
        <v>76064.66</v>
      </c>
    </row>
    <row r="381" spans="1:9" ht="39.6" x14ac:dyDescent="0.3">
      <c r="A381" s="4" t="s">
        <v>938</v>
      </c>
      <c r="B381" s="5" t="s">
        <v>1029</v>
      </c>
      <c r="C381" s="5" t="s">
        <v>181</v>
      </c>
      <c r="D381" s="5" t="s">
        <v>939</v>
      </c>
      <c r="E381" s="5" t="s">
        <v>0</v>
      </c>
      <c r="F381" s="5" t="s">
        <v>0</v>
      </c>
      <c r="G381" s="5" t="s">
        <v>183</v>
      </c>
      <c r="H381" s="8">
        <v>33.380000000000003</v>
      </c>
      <c r="I381" s="7">
        <f>ROUND(41809.22,2)</f>
        <v>41809.22</v>
      </c>
    </row>
    <row r="382" spans="1:9" ht="39.6" x14ac:dyDescent="0.3">
      <c r="A382" s="4" t="s">
        <v>940</v>
      </c>
      <c r="B382" s="5" t="s">
        <v>1029</v>
      </c>
      <c r="C382" s="5" t="s">
        <v>181</v>
      </c>
      <c r="D382" s="5" t="s">
        <v>309</v>
      </c>
      <c r="E382" s="5" t="s">
        <v>0</v>
      </c>
      <c r="F382" s="5" t="s">
        <v>0</v>
      </c>
      <c r="G382" s="5" t="s">
        <v>183</v>
      </c>
      <c r="H382" s="8">
        <v>33.380000000000003</v>
      </c>
      <c r="I382" s="7">
        <f>ROUND(113956.239999999,2)</f>
        <v>113956.24</v>
      </c>
    </row>
    <row r="383" spans="1:9" ht="39.6" x14ac:dyDescent="0.3">
      <c r="A383" s="4" t="s">
        <v>941</v>
      </c>
      <c r="B383" s="5" t="s">
        <v>1029</v>
      </c>
      <c r="C383" s="5" t="s">
        <v>181</v>
      </c>
      <c r="D383" s="5" t="s">
        <v>196</v>
      </c>
      <c r="E383" s="5" t="s">
        <v>0</v>
      </c>
      <c r="F383" s="5" t="s">
        <v>0</v>
      </c>
      <c r="G383" s="5" t="s">
        <v>183</v>
      </c>
      <c r="H383" s="8">
        <v>33.380000000000003</v>
      </c>
      <c r="I383" s="7">
        <f>ROUND(86873.46,2)</f>
        <v>86873.46</v>
      </c>
    </row>
    <row r="384" spans="1:9" ht="66" x14ac:dyDescent="0.3">
      <c r="A384" s="4" t="s">
        <v>942</v>
      </c>
      <c r="B384" s="5"/>
      <c r="C384" s="5" t="s">
        <v>244</v>
      </c>
      <c r="D384" s="5" t="s">
        <v>943</v>
      </c>
      <c r="E384" s="5" t="s">
        <v>944</v>
      </c>
      <c r="F384" s="5" t="s">
        <v>0</v>
      </c>
      <c r="G384" s="5" t="s">
        <v>247</v>
      </c>
      <c r="H384" s="8">
        <f>ROUND(21.115,2)</f>
        <v>21.12</v>
      </c>
      <c r="I384" s="7">
        <f>ROUND(46899.5299999999,2)</f>
        <v>46899.53</v>
      </c>
    </row>
    <row r="385" spans="1:9" ht="39.6" x14ac:dyDescent="0.3">
      <c r="A385" s="4" t="s">
        <v>945</v>
      </c>
      <c r="B385" s="5" t="s">
        <v>1029</v>
      </c>
      <c r="C385" s="5" t="s">
        <v>181</v>
      </c>
      <c r="D385" s="5" t="s">
        <v>545</v>
      </c>
      <c r="E385" s="5" t="s">
        <v>0</v>
      </c>
      <c r="F385" s="5" t="s">
        <v>0</v>
      </c>
      <c r="G385" s="5" t="s">
        <v>183</v>
      </c>
      <c r="H385" s="8">
        <v>33.380000000000003</v>
      </c>
      <c r="I385" s="7">
        <f>ROUND(92237.2699999999,2)</f>
        <v>92237.27</v>
      </c>
    </row>
    <row r="386" spans="1:9" ht="39.6" x14ac:dyDescent="0.3">
      <c r="A386" s="4" t="s">
        <v>946</v>
      </c>
      <c r="B386" s="5" t="s">
        <v>1029</v>
      </c>
      <c r="C386" s="5" t="s">
        <v>181</v>
      </c>
      <c r="D386" s="5" t="s">
        <v>471</v>
      </c>
      <c r="E386" s="5" t="s">
        <v>947</v>
      </c>
      <c r="F386" s="5" t="s">
        <v>0</v>
      </c>
      <c r="G386" s="5" t="s">
        <v>183</v>
      </c>
      <c r="H386" s="9">
        <v>17.5</v>
      </c>
      <c r="I386" s="7">
        <f>ROUND(1723.75,2)</f>
        <v>1723.75</v>
      </c>
    </row>
    <row r="387" spans="1:9" ht="39.6" x14ac:dyDescent="0.3">
      <c r="A387" s="4" t="s">
        <v>948</v>
      </c>
      <c r="B387" s="5" t="s">
        <v>1029</v>
      </c>
      <c r="C387" s="5" t="s">
        <v>181</v>
      </c>
      <c r="D387" s="5" t="s">
        <v>196</v>
      </c>
      <c r="E387" s="5" t="s">
        <v>0</v>
      </c>
      <c r="F387" s="5" t="s">
        <v>0</v>
      </c>
      <c r="G387" s="5" t="s">
        <v>183</v>
      </c>
      <c r="H387" s="8">
        <v>33.380000000000003</v>
      </c>
      <c r="I387" s="7">
        <f>ROUND(96487.96,2)</f>
        <v>96487.96</v>
      </c>
    </row>
    <row r="388" spans="1:9" ht="39.6" x14ac:dyDescent="0.3">
      <c r="A388" s="4" t="s">
        <v>949</v>
      </c>
      <c r="B388" s="5" t="s">
        <v>1029</v>
      </c>
      <c r="C388" s="5" t="s">
        <v>181</v>
      </c>
      <c r="D388" s="5" t="s">
        <v>950</v>
      </c>
      <c r="E388" s="5" t="s">
        <v>0</v>
      </c>
      <c r="F388" s="5" t="s">
        <v>0</v>
      </c>
      <c r="G388" s="5" t="s">
        <v>183</v>
      </c>
      <c r="H388" s="8">
        <v>33.71</v>
      </c>
      <c r="I388" s="7">
        <f>ROUND(58238.7399999999,2)</f>
        <v>58238.74</v>
      </c>
    </row>
    <row r="389" spans="1:9" ht="39.6" x14ac:dyDescent="0.3">
      <c r="A389" s="4" t="s">
        <v>951</v>
      </c>
      <c r="B389" s="5" t="s">
        <v>1029</v>
      </c>
      <c r="C389" s="5" t="s">
        <v>181</v>
      </c>
      <c r="D389" s="5" t="s">
        <v>332</v>
      </c>
      <c r="E389" s="5" t="s">
        <v>0</v>
      </c>
      <c r="F389" s="5" t="s">
        <v>0</v>
      </c>
      <c r="G389" s="5" t="s">
        <v>183</v>
      </c>
      <c r="H389" s="8">
        <v>33.380000000000003</v>
      </c>
      <c r="I389" s="7">
        <f>ROUND(67771.65,2)</f>
        <v>67771.649999999994</v>
      </c>
    </row>
    <row r="390" spans="1:9" ht="39.6" x14ac:dyDescent="0.3">
      <c r="A390" s="4" t="s">
        <v>952</v>
      </c>
      <c r="B390" s="5" t="s">
        <v>1029</v>
      </c>
      <c r="C390" s="5" t="s">
        <v>181</v>
      </c>
      <c r="D390" s="5" t="s">
        <v>953</v>
      </c>
      <c r="E390" s="5" t="s">
        <v>0</v>
      </c>
      <c r="F390" s="5" t="s">
        <v>0</v>
      </c>
      <c r="G390" s="5" t="s">
        <v>183</v>
      </c>
      <c r="H390" s="9">
        <v>31.71</v>
      </c>
      <c r="I390" s="7">
        <f>ROUND(67633.79,2)</f>
        <v>67633.789999999994</v>
      </c>
    </row>
    <row r="391" spans="1:9" ht="39.6" x14ac:dyDescent="0.3">
      <c r="A391" s="4" t="s">
        <v>954</v>
      </c>
      <c r="B391" s="5" t="s">
        <v>1029</v>
      </c>
      <c r="C391" s="5" t="s">
        <v>181</v>
      </c>
      <c r="D391" s="5" t="s">
        <v>955</v>
      </c>
      <c r="E391" s="5" t="s">
        <v>0</v>
      </c>
      <c r="F391" s="5" t="s">
        <v>0</v>
      </c>
      <c r="G391" s="5" t="s">
        <v>183</v>
      </c>
      <c r="H391" s="8">
        <v>33.880000000000003</v>
      </c>
      <c r="I391" s="7">
        <f>ROUND(83947.74,2)</f>
        <v>83947.74</v>
      </c>
    </row>
    <row r="392" spans="1:9" ht="79.2" x14ac:dyDescent="0.3">
      <c r="A392" s="4" t="s">
        <v>956</v>
      </c>
      <c r="B392" s="5"/>
      <c r="C392" s="5" t="s">
        <v>476</v>
      </c>
      <c r="D392" s="5" t="s">
        <v>957</v>
      </c>
      <c r="E392" s="5" t="s">
        <v>0</v>
      </c>
      <c r="F392" s="5" t="s">
        <v>0</v>
      </c>
      <c r="G392" s="5" t="s">
        <v>543</v>
      </c>
      <c r="H392" s="8">
        <f>ROUND(1318.21,2)</f>
        <v>1318.21</v>
      </c>
      <c r="I392" s="7">
        <f>ROUND(71142.56,2)</f>
        <v>71142.559999999998</v>
      </c>
    </row>
    <row r="393" spans="1:9" ht="39.6" x14ac:dyDescent="0.3">
      <c r="A393" s="4" t="s">
        <v>958</v>
      </c>
      <c r="B393" s="5" t="s">
        <v>1029</v>
      </c>
      <c r="C393" s="5" t="s">
        <v>181</v>
      </c>
      <c r="D393" s="5" t="s">
        <v>471</v>
      </c>
      <c r="E393" s="5" t="s">
        <v>959</v>
      </c>
      <c r="F393" s="5" t="s">
        <v>0</v>
      </c>
      <c r="G393" s="5" t="s">
        <v>183</v>
      </c>
      <c r="H393" s="9">
        <v>17.5</v>
      </c>
      <c r="I393" s="7">
        <f>ROUND(420,2)</f>
        <v>420</v>
      </c>
    </row>
    <row r="394" spans="1:9" ht="39.6" x14ac:dyDescent="0.3">
      <c r="A394" s="4" t="s">
        <v>960</v>
      </c>
      <c r="B394" s="5" t="s">
        <v>1029</v>
      </c>
      <c r="C394" s="5" t="s">
        <v>181</v>
      </c>
      <c r="D394" s="5" t="s">
        <v>289</v>
      </c>
      <c r="E394" s="5" t="s">
        <v>0</v>
      </c>
      <c r="F394" s="5" t="s">
        <v>0</v>
      </c>
      <c r="G394" s="5" t="s">
        <v>183</v>
      </c>
      <c r="H394" s="8">
        <v>33.380000000000003</v>
      </c>
      <c r="I394" s="7">
        <f>ROUND(87191.21,2)</f>
        <v>87191.21</v>
      </c>
    </row>
    <row r="395" spans="1:9" ht="39.6" x14ac:dyDescent="0.3">
      <c r="A395" s="4" t="s">
        <v>961</v>
      </c>
      <c r="B395" s="5" t="s">
        <v>1029</v>
      </c>
      <c r="C395" s="5" t="s">
        <v>181</v>
      </c>
      <c r="D395" s="5" t="s">
        <v>950</v>
      </c>
      <c r="E395" s="5" t="s">
        <v>0</v>
      </c>
      <c r="F395" s="5" t="s">
        <v>0</v>
      </c>
      <c r="G395" s="5" t="s">
        <v>183</v>
      </c>
      <c r="H395" s="8">
        <v>33.380000000000003</v>
      </c>
      <c r="I395" s="7">
        <f>ROUND(49509.9899999999,2)</f>
        <v>49509.99</v>
      </c>
    </row>
    <row r="396" spans="1:9" ht="39.6" x14ac:dyDescent="0.3">
      <c r="A396" s="4" t="s">
        <v>962</v>
      </c>
      <c r="B396" s="5" t="s">
        <v>1029</v>
      </c>
      <c r="C396" s="5" t="s">
        <v>181</v>
      </c>
      <c r="D396" s="5" t="s">
        <v>792</v>
      </c>
      <c r="E396" s="5" t="s">
        <v>0</v>
      </c>
      <c r="F396" s="5" t="s">
        <v>0</v>
      </c>
      <c r="G396" s="5" t="s">
        <v>183</v>
      </c>
      <c r="H396" s="8">
        <v>33.380000000000003</v>
      </c>
      <c r="I396" s="7">
        <f>ROUND(75952.95,2)</f>
        <v>75952.95</v>
      </c>
    </row>
    <row r="397" spans="1:9" ht="39.6" x14ac:dyDescent="0.3">
      <c r="A397" s="4" t="s">
        <v>963</v>
      </c>
      <c r="B397" s="5" t="s">
        <v>1029</v>
      </c>
      <c r="C397" s="5" t="s">
        <v>181</v>
      </c>
      <c r="D397" s="5" t="s">
        <v>268</v>
      </c>
      <c r="E397" s="5" t="s">
        <v>0</v>
      </c>
      <c r="F397" s="5" t="s">
        <v>0</v>
      </c>
      <c r="G397" s="5" t="s">
        <v>183</v>
      </c>
      <c r="H397" s="9">
        <v>28.37</v>
      </c>
      <c r="I397" s="7">
        <f>ROUND(24401.09,2)</f>
        <v>24401.09</v>
      </c>
    </row>
    <row r="398" spans="1:9" ht="39.6" x14ac:dyDescent="0.3">
      <c r="A398" s="4" t="s">
        <v>964</v>
      </c>
      <c r="B398" s="5" t="s">
        <v>1029</v>
      </c>
      <c r="C398" s="5" t="s">
        <v>181</v>
      </c>
      <c r="D398" s="5" t="s">
        <v>194</v>
      </c>
      <c r="E398" s="5" t="s">
        <v>0</v>
      </c>
      <c r="F398" s="5" t="s">
        <v>0</v>
      </c>
      <c r="G398" s="5" t="s">
        <v>183</v>
      </c>
      <c r="H398" s="8">
        <v>33.380000000000003</v>
      </c>
      <c r="I398" s="7">
        <f>ROUND(88228.48,2)</f>
        <v>88228.479999999996</v>
      </c>
    </row>
    <row r="399" spans="1:9" ht="39.6" x14ac:dyDescent="0.3">
      <c r="A399" s="4" t="s">
        <v>965</v>
      </c>
      <c r="B399" s="5" t="s">
        <v>1029</v>
      </c>
      <c r="C399" s="5" t="s">
        <v>181</v>
      </c>
      <c r="D399" s="5" t="s">
        <v>725</v>
      </c>
      <c r="E399" s="5" t="s">
        <v>801</v>
      </c>
      <c r="F399" s="5" t="s">
        <v>0</v>
      </c>
      <c r="G399" s="5" t="s">
        <v>183</v>
      </c>
      <c r="H399" s="8">
        <v>33.049999999999997</v>
      </c>
      <c r="I399" s="7">
        <f>ROUND(33540.4799999999,2)</f>
        <v>33540.480000000003</v>
      </c>
    </row>
    <row r="400" spans="1:9" ht="52.8" x14ac:dyDescent="0.3">
      <c r="A400" s="4" t="s">
        <v>966</v>
      </c>
      <c r="B400" s="5"/>
      <c r="C400" s="5" t="s">
        <v>311</v>
      </c>
      <c r="D400" s="5" t="s">
        <v>967</v>
      </c>
      <c r="E400" s="5" t="s">
        <v>0</v>
      </c>
      <c r="F400" s="5" t="s">
        <v>0</v>
      </c>
      <c r="G400" s="5" t="s">
        <v>968</v>
      </c>
      <c r="H400" s="8">
        <f>ROUND(1699.63,2)</f>
        <v>1699.63</v>
      </c>
      <c r="I400" s="7">
        <f>ROUND(97558.72,2)</f>
        <v>97558.720000000001</v>
      </c>
    </row>
    <row r="401" spans="1:9" ht="39.6" x14ac:dyDescent="0.3">
      <c r="A401" s="4" t="s">
        <v>969</v>
      </c>
      <c r="B401" s="5" t="s">
        <v>1029</v>
      </c>
      <c r="C401" s="5" t="s">
        <v>181</v>
      </c>
      <c r="D401" s="5" t="s">
        <v>196</v>
      </c>
      <c r="E401" s="5" t="s">
        <v>0</v>
      </c>
      <c r="F401" s="5" t="s">
        <v>0</v>
      </c>
      <c r="G401" s="5" t="s">
        <v>183</v>
      </c>
      <c r="H401" s="8">
        <v>33.380000000000003</v>
      </c>
      <c r="I401" s="7">
        <f>ROUND(88541.5699999999,2)</f>
        <v>88541.57</v>
      </c>
    </row>
    <row r="402" spans="1:9" ht="39.6" x14ac:dyDescent="0.3">
      <c r="A402" s="4" t="s">
        <v>970</v>
      </c>
      <c r="B402" s="5" t="s">
        <v>1029</v>
      </c>
      <c r="C402" s="5" t="s">
        <v>236</v>
      </c>
      <c r="D402" s="5" t="s">
        <v>435</v>
      </c>
      <c r="E402" s="5" t="s">
        <v>0</v>
      </c>
      <c r="F402" s="5" t="s">
        <v>0</v>
      </c>
      <c r="G402" s="5" t="s">
        <v>330</v>
      </c>
      <c r="H402" s="8">
        <v>28.28</v>
      </c>
      <c r="I402" s="7">
        <f>ROUND(64932.88,2)</f>
        <v>64932.88</v>
      </c>
    </row>
    <row r="403" spans="1:9" ht="79.2" x14ac:dyDescent="0.3">
      <c r="A403" s="4" t="s">
        <v>971</v>
      </c>
      <c r="B403" s="5"/>
      <c r="C403" s="5" t="s">
        <v>311</v>
      </c>
      <c r="D403" s="5" t="s">
        <v>972</v>
      </c>
      <c r="E403" s="5" t="s">
        <v>0</v>
      </c>
      <c r="F403" s="5" t="s">
        <v>0</v>
      </c>
      <c r="G403" s="5" t="s">
        <v>312</v>
      </c>
      <c r="H403" s="8">
        <f>ROUND(20,2)</f>
        <v>20</v>
      </c>
      <c r="I403" s="7">
        <f>ROUND(47515,2)</f>
        <v>47515</v>
      </c>
    </row>
    <row r="404" spans="1:9" ht="39.6" x14ac:dyDescent="0.3">
      <c r="A404" s="4" t="s">
        <v>973</v>
      </c>
      <c r="B404" s="5" t="s">
        <v>1029</v>
      </c>
      <c r="C404" s="5" t="s">
        <v>181</v>
      </c>
      <c r="D404" s="5" t="s">
        <v>249</v>
      </c>
      <c r="E404" s="5" t="s">
        <v>974</v>
      </c>
      <c r="F404" s="5" t="s">
        <v>0</v>
      </c>
      <c r="G404" s="5" t="s">
        <v>183</v>
      </c>
      <c r="H404" s="8">
        <v>33.380000000000003</v>
      </c>
      <c r="I404" s="7">
        <f>ROUND(5817.31,2)</f>
        <v>5817.31</v>
      </c>
    </row>
    <row r="405" spans="1:9" ht="39.6" x14ac:dyDescent="0.3">
      <c r="A405" s="4" t="s">
        <v>975</v>
      </c>
      <c r="B405" s="5" t="s">
        <v>1029</v>
      </c>
      <c r="C405" s="5" t="s">
        <v>181</v>
      </c>
      <c r="D405" s="5" t="s">
        <v>309</v>
      </c>
      <c r="E405" s="5" t="s">
        <v>0</v>
      </c>
      <c r="F405" s="5" t="s">
        <v>0</v>
      </c>
      <c r="G405" s="5" t="s">
        <v>183</v>
      </c>
      <c r="H405" s="8">
        <v>33.380000000000003</v>
      </c>
      <c r="I405" s="7">
        <f>ROUND(105360.85,2)</f>
        <v>105360.85</v>
      </c>
    </row>
    <row r="406" spans="1:9" ht="52.8" x14ac:dyDescent="0.3">
      <c r="A406" s="4" t="s">
        <v>976</v>
      </c>
      <c r="B406" s="5" t="s">
        <v>1029</v>
      </c>
      <c r="C406" s="5" t="s">
        <v>181</v>
      </c>
      <c r="D406" s="5" t="s">
        <v>267</v>
      </c>
      <c r="E406" s="5" t="s">
        <v>0</v>
      </c>
      <c r="F406" s="5" t="s">
        <v>0</v>
      </c>
      <c r="G406" s="5" t="s">
        <v>183</v>
      </c>
      <c r="H406" s="9">
        <v>31.71</v>
      </c>
      <c r="I406" s="7">
        <f>ROUND(82000.3,2)</f>
        <v>82000.3</v>
      </c>
    </row>
    <row r="407" spans="1:9" ht="39.6" x14ac:dyDescent="0.3">
      <c r="A407" s="4" t="s">
        <v>977</v>
      </c>
      <c r="B407" s="5" t="s">
        <v>1029</v>
      </c>
      <c r="C407" s="5" t="s">
        <v>181</v>
      </c>
      <c r="D407" s="5" t="s">
        <v>554</v>
      </c>
      <c r="E407" s="5" t="s">
        <v>0</v>
      </c>
      <c r="F407" s="5" t="s">
        <v>0</v>
      </c>
      <c r="G407" s="5" t="s">
        <v>183</v>
      </c>
      <c r="H407" s="9">
        <v>30.04</v>
      </c>
      <c r="I407" s="7">
        <f>ROUND(42910.1899999999,2)</f>
        <v>42910.19</v>
      </c>
    </row>
    <row r="408" spans="1:9" ht="39.6" x14ac:dyDescent="0.3">
      <c r="A408" s="4" t="s">
        <v>978</v>
      </c>
      <c r="B408" s="5" t="s">
        <v>1029</v>
      </c>
      <c r="C408" s="5" t="s">
        <v>181</v>
      </c>
      <c r="D408" s="5" t="s">
        <v>344</v>
      </c>
      <c r="E408" s="5" t="s">
        <v>0</v>
      </c>
      <c r="F408" s="5" t="s">
        <v>0</v>
      </c>
      <c r="G408" s="5" t="s">
        <v>183</v>
      </c>
      <c r="H408" s="8">
        <v>33.380000000000003</v>
      </c>
      <c r="I408" s="7">
        <f>ROUND(65283.06,2)</f>
        <v>65283.06</v>
      </c>
    </row>
    <row r="409" spans="1:9" ht="39.6" x14ac:dyDescent="0.3">
      <c r="A409" s="4" t="s">
        <v>979</v>
      </c>
      <c r="B409" s="5" t="s">
        <v>1029</v>
      </c>
      <c r="C409" s="5" t="s">
        <v>181</v>
      </c>
      <c r="D409" s="5" t="s">
        <v>527</v>
      </c>
      <c r="E409" s="5" t="s">
        <v>0</v>
      </c>
      <c r="F409" s="5" t="s">
        <v>0</v>
      </c>
      <c r="G409" s="5" t="s">
        <v>183</v>
      </c>
      <c r="H409" s="8">
        <v>33.71</v>
      </c>
      <c r="I409" s="7">
        <f>ROUND(92890.6299999999,2)</f>
        <v>92890.63</v>
      </c>
    </row>
    <row r="410" spans="1:9" ht="39.6" x14ac:dyDescent="0.3">
      <c r="A410" s="4" t="s">
        <v>980</v>
      </c>
      <c r="B410" s="5" t="s">
        <v>1029</v>
      </c>
      <c r="C410" s="5" t="s">
        <v>181</v>
      </c>
      <c r="D410" s="5" t="s">
        <v>194</v>
      </c>
      <c r="E410" s="5" t="s">
        <v>0</v>
      </c>
      <c r="F410" s="5" t="s">
        <v>0</v>
      </c>
      <c r="G410" s="5" t="s">
        <v>183</v>
      </c>
      <c r="H410" s="8">
        <v>33.380000000000003</v>
      </c>
      <c r="I410" s="7">
        <f>ROUND(88037.9399999999,2)</f>
        <v>88037.94</v>
      </c>
    </row>
    <row r="411" spans="1:9" ht="39.6" x14ac:dyDescent="0.3">
      <c r="A411" s="4" t="s">
        <v>981</v>
      </c>
      <c r="B411" s="5" t="s">
        <v>1029</v>
      </c>
      <c r="C411" s="5" t="s">
        <v>181</v>
      </c>
      <c r="D411" s="5" t="s">
        <v>390</v>
      </c>
      <c r="E411" s="5" t="s">
        <v>982</v>
      </c>
      <c r="F411" s="5" t="s">
        <v>0</v>
      </c>
      <c r="G411" s="5" t="s">
        <v>183</v>
      </c>
      <c r="H411" s="9">
        <v>33.380000000000003</v>
      </c>
      <c r="I411" s="7">
        <f>ROUND(67023.4099999999,2)</f>
        <v>67023.41</v>
      </c>
    </row>
    <row r="412" spans="1:9" ht="39.6" x14ac:dyDescent="0.3">
      <c r="A412" s="4" t="s">
        <v>983</v>
      </c>
      <c r="B412" s="5" t="s">
        <v>1029</v>
      </c>
      <c r="C412" s="5" t="s">
        <v>181</v>
      </c>
      <c r="D412" s="5" t="s">
        <v>554</v>
      </c>
      <c r="E412" s="5" t="s">
        <v>0</v>
      </c>
      <c r="F412" s="5" t="s">
        <v>0</v>
      </c>
      <c r="G412" s="5" t="s">
        <v>183</v>
      </c>
      <c r="H412" s="9">
        <v>30.04</v>
      </c>
      <c r="I412" s="7">
        <f>ROUND(45050.5599999999,2)</f>
        <v>45050.559999999998</v>
      </c>
    </row>
    <row r="413" spans="1:9" ht="39.6" x14ac:dyDescent="0.3">
      <c r="A413" s="4" t="s">
        <v>984</v>
      </c>
      <c r="B413" s="5" t="s">
        <v>1029</v>
      </c>
      <c r="C413" s="5" t="s">
        <v>181</v>
      </c>
      <c r="D413" s="5" t="s">
        <v>257</v>
      </c>
      <c r="E413" s="5" t="s">
        <v>0</v>
      </c>
      <c r="F413" s="5" t="s">
        <v>0</v>
      </c>
      <c r="G413" s="5" t="s">
        <v>183</v>
      </c>
      <c r="H413" s="8">
        <v>33.880000000000003</v>
      </c>
      <c r="I413" s="7">
        <f>ROUND(131377.95,2)</f>
        <v>131377.95000000001</v>
      </c>
    </row>
    <row r="414" spans="1:9" ht="39.6" x14ac:dyDescent="0.3">
      <c r="A414" s="4" t="s">
        <v>985</v>
      </c>
      <c r="B414" s="5" t="s">
        <v>1029</v>
      </c>
      <c r="C414" s="5" t="s">
        <v>236</v>
      </c>
      <c r="D414" s="5" t="s">
        <v>986</v>
      </c>
      <c r="E414" s="5" t="s">
        <v>0</v>
      </c>
      <c r="F414" s="5" t="s">
        <v>0</v>
      </c>
      <c r="G414" s="5" t="s">
        <v>238</v>
      </c>
      <c r="H414" s="8">
        <v>37.75</v>
      </c>
      <c r="I414" s="7">
        <f>ROUND(110725.419999999,2)</f>
        <v>110725.42</v>
      </c>
    </row>
    <row r="415" spans="1:9" ht="39.6" x14ac:dyDescent="0.3">
      <c r="A415" s="4" t="s">
        <v>987</v>
      </c>
      <c r="B415" s="5" t="s">
        <v>1029</v>
      </c>
      <c r="C415" s="5" t="s">
        <v>236</v>
      </c>
      <c r="D415" s="5" t="s">
        <v>988</v>
      </c>
      <c r="E415" s="5" t="s">
        <v>989</v>
      </c>
      <c r="F415" s="5" t="s">
        <v>990</v>
      </c>
      <c r="G415" s="5" t="s">
        <v>508</v>
      </c>
      <c r="H415" s="8">
        <v>42.5</v>
      </c>
      <c r="I415" s="7">
        <f>ROUND(88767.38,2)</f>
        <v>88767.38</v>
      </c>
    </row>
    <row r="416" spans="1:9" ht="66" x14ac:dyDescent="0.3">
      <c r="A416" s="4" t="s">
        <v>991</v>
      </c>
      <c r="B416" s="5"/>
      <c r="C416" s="5" t="s">
        <v>294</v>
      </c>
      <c r="D416" s="5" t="s">
        <v>992</v>
      </c>
      <c r="E416" s="5" t="s">
        <v>0</v>
      </c>
      <c r="F416" s="5" t="s">
        <v>0</v>
      </c>
      <c r="G416" s="5" t="s">
        <v>315</v>
      </c>
      <c r="H416" s="8">
        <f>ROUND(1326.92,2)</f>
        <v>1326.92</v>
      </c>
      <c r="I416" s="7">
        <f>ROUND(61355.6399999999,2)</f>
        <v>61355.64</v>
      </c>
    </row>
    <row r="417" spans="1:9" ht="39.6" x14ac:dyDescent="0.3">
      <c r="A417" s="4" t="s">
        <v>993</v>
      </c>
      <c r="B417" s="5" t="s">
        <v>1029</v>
      </c>
      <c r="C417" s="5" t="s">
        <v>181</v>
      </c>
      <c r="D417" s="5" t="s">
        <v>471</v>
      </c>
      <c r="E417" s="5" t="s">
        <v>0</v>
      </c>
      <c r="F417" s="5" t="s">
        <v>0</v>
      </c>
      <c r="G417" s="5" t="s">
        <v>183</v>
      </c>
      <c r="H417" s="9">
        <v>28.37</v>
      </c>
      <c r="I417" s="7">
        <f>ROUND(37792.9399999999,2)</f>
        <v>37792.94</v>
      </c>
    </row>
    <row r="418" spans="1:9" ht="39.6" x14ac:dyDescent="0.3">
      <c r="A418" s="4" t="s">
        <v>994</v>
      </c>
      <c r="B418" s="5" t="s">
        <v>1029</v>
      </c>
      <c r="C418" s="5" t="s">
        <v>181</v>
      </c>
      <c r="D418" s="5" t="s">
        <v>344</v>
      </c>
      <c r="E418" s="5" t="s">
        <v>0</v>
      </c>
      <c r="F418" s="5" t="s">
        <v>0</v>
      </c>
      <c r="G418" s="5" t="s">
        <v>183</v>
      </c>
      <c r="H418" s="8">
        <v>33.380000000000003</v>
      </c>
      <c r="I418" s="7">
        <f>ROUND(110740.88,2)</f>
        <v>110740.88</v>
      </c>
    </row>
    <row r="419" spans="1:9" ht="39.6" x14ac:dyDescent="0.3">
      <c r="A419" s="4" t="s">
        <v>995</v>
      </c>
      <c r="B419" s="5" t="s">
        <v>1029</v>
      </c>
      <c r="C419" s="5" t="s">
        <v>181</v>
      </c>
      <c r="D419" s="5" t="s">
        <v>934</v>
      </c>
      <c r="E419" s="5" t="s">
        <v>0</v>
      </c>
      <c r="F419" s="5" t="s">
        <v>0</v>
      </c>
      <c r="G419" s="5" t="s">
        <v>183</v>
      </c>
      <c r="H419" s="8">
        <v>33.380000000000003</v>
      </c>
      <c r="I419" s="7">
        <f>ROUND(96799.1099999999,2)</f>
        <v>96799.11</v>
      </c>
    </row>
    <row r="420" spans="1:9" ht="39.6" x14ac:dyDescent="0.3">
      <c r="A420" s="4" t="s">
        <v>996</v>
      </c>
      <c r="B420" s="5" t="s">
        <v>1029</v>
      </c>
      <c r="C420" s="5" t="s">
        <v>181</v>
      </c>
      <c r="D420" s="5" t="s">
        <v>807</v>
      </c>
      <c r="E420" s="5" t="s">
        <v>0</v>
      </c>
      <c r="F420" s="5" t="s">
        <v>0</v>
      </c>
      <c r="G420" s="5" t="s">
        <v>183</v>
      </c>
      <c r="H420" s="8">
        <v>33.71</v>
      </c>
      <c r="I420" s="7">
        <f>ROUND(73438.53,2)</f>
        <v>73438.53</v>
      </c>
    </row>
    <row r="421" spans="1:9" ht="39.6" x14ac:dyDescent="0.3">
      <c r="A421" s="4" t="s">
        <v>997</v>
      </c>
      <c r="B421" s="5" t="s">
        <v>1029</v>
      </c>
      <c r="C421" s="5" t="s">
        <v>181</v>
      </c>
      <c r="D421" s="5" t="s">
        <v>289</v>
      </c>
      <c r="E421" s="5" t="s">
        <v>0</v>
      </c>
      <c r="F421" s="5" t="s">
        <v>0</v>
      </c>
      <c r="G421" s="5" t="s">
        <v>183</v>
      </c>
      <c r="H421" s="8">
        <v>33.380000000000003</v>
      </c>
      <c r="I421" s="7">
        <f>ROUND(60536.3999999999,2)</f>
        <v>60536.4</v>
      </c>
    </row>
    <row r="422" spans="1:9" ht="39.6" x14ac:dyDescent="0.3">
      <c r="A422" s="4" t="s">
        <v>998</v>
      </c>
      <c r="B422" s="5" t="s">
        <v>1029</v>
      </c>
      <c r="C422" s="5" t="s">
        <v>181</v>
      </c>
      <c r="D422" s="5" t="s">
        <v>298</v>
      </c>
      <c r="E422" s="5" t="s">
        <v>0</v>
      </c>
      <c r="F422" s="5" t="s">
        <v>0</v>
      </c>
      <c r="G422" s="5" t="s">
        <v>183</v>
      </c>
      <c r="H422" s="8">
        <v>33.71</v>
      </c>
      <c r="I422" s="7">
        <f>ROUND(97797.0999999999,2)</f>
        <v>97797.1</v>
      </c>
    </row>
    <row r="423" spans="1:9" ht="39.6" x14ac:dyDescent="0.3">
      <c r="A423" s="4" t="s">
        <v>999</v>
      </c>
      <c r="B423" s="5" t="s">
        <v>1029</v>
      </c>
      <c r="C423" s="5" t="s">
        <v>181</v>
      </c>
      <c r="D423" s="5" t="s">
        <v>335</v>
      </c>
      <c r="E423" s="5" t="s">
        <v>0</v>
      </c>
      <c r="F423" s="5" t="s">
        <v>0</v>
      </c>
      <c r="G423" s="5" t="s">
        <v>183</v>
      </c>
      <c r="H423" s="8">
        <v>33.380000000000003</v>
      </c>
      <c r="I423" s="7">
        <f>ROUND(83112.97,2)</f>
        <v>83112.97</v>
      </c>
    </row>
    <row r="424" spans="1:9" ht="39.6" x14ac:dyDescent="0.3">
      <c r="A424" s="4" t="s">
        <v>1000</v>
      </c>
      <c r="B424" s="5" t="s">
        <v>1029</v>
      </c>
      <c r="C424" s="5" t="s">
        <v>181</v>
      </c>
      <c r="D424" s="5" t="s">
        <v>303</v>
      </c>
      <c r="E424" s="5" t="s">
        <v>0</v>
      </c>
      <c r="F424" s="5" t="s">
        <v>0</v>
      </c>
      <c r="G424" s="5" t="s">
        <v>183</v>
      </c>
      <c r="H424" s="9">
        <v>33.380000000000003</v>
      </c>
      <c r="I424" s="7">
        <f>ROUND(80443.3199999999,2)</f>
        <v>80443.320000000007</v>
      </c>
    </row>
    <row r="425" spans="1:9" ht="66" x14ac:dyDescent="0.3">
      <c r="A425" s="4" t="s">
        <v>1001</v>
      </c>
      <c r="B425" s="5"/>
      <c r="C425" s="5" t="s">
        <v>244</v>
      </c>
      <c r="D425" s="5" t="s">
        <v>1002</v>
      </c>
      <c r="E425" s="5" t="s">
        <v>0</v>
      </c>
      <c r="F425" s="5" t="s">
        <v>1003</v>
      </c>
      <c r="G425" s="5" t="s">
        <v>247</v>
      </c>
      <c r="H425" s="8">
        <f>ROUND(18,2)</f>
        <v>18</v>
      </c>
      <c r="I425" s="7">
        <f>ROUND(26154,2)</f>
        <v>26154</v>
      </c>
    </row>
    <row r="426" spans="1:9" ht="39.6" x14ac:dyDescent="0.3">
      <c r="A426" s="4" t="s">
        <v>1004</v>
      </c>
      <c r="B426" s="5" t="s">
        <v>1029</v>
      </c>
      <c r="C426" s="5" t="s">
        <v>181</v>
      </c>
      <c r="D426" s="5" t="s">
        <v>344</v>
      </c>
      <c r="E426" s="5" t="s">
        <v>0</v>
      </c>
      <c r="F426" s="5" t="s">
        <v>0</v>
      </c>
      <c r="G426" s="5" t="s">
        <v>183</v>
      </c>
      <c r="H426" s="8">
        <v>33.380000000000003</v>
      </c>
      <c r="I426" s="7">
        <f>ROUND(72399.8,2)</f>
        <v>72399.8</v>
      </c>
    </row>
    <row r="427" spans="1:9" ht="66" x14ac:dyDescent="0.3">
      <c r="A427" s="4" t="s">
        <v>1005</v>
      </c>
      <c r="B427" s="5"/>
      <c r="C427" s="5" t="s">
        <v>270</v>
      </c>
      <c r="D427" s="5" t="s">
        <v>1006</v>
      </c>
      <c r="E427" s="5" t="s">
        <v>0</v>
      </c>
      <c r="F427" s="5" t="s">
        <v>1006</v>
      </c>
      <c r="G427" s="5" t="s">
        <v>1007</v>
      </c>
      <c r="H427" s="8">
        <f>ROUND(1774.84,2)</f>
        <v>1774.84</v>
      </c>
      <c r="I427" s="7">
        <f>ROUND(101875.739999999,2)</f>
        <v>101875.74</v>
      </c>
    </row>
    <row r="428" spans="1:9" ht="39.6" x14ac:dyDescent="0.3">
      <c r="A428" s="4" t="s">
        <v>1008</v>
      </c>
      <c r="B428" s="5" t="s">
        <v>1029</v>
      </c>
      <c r="C428" s="5" t="s">
        <v>181</v>
      </c>
      <c r="D428" s="5" t="s">
        <v>309</v>
      </c>
      <c r="E428" s="5" t="s">
        <v>0</v>
      </c>
      <c r="F428" s="5" t="s">
        <v>0</v>
      </c>
      <c r="G428" s="5" t="s">
        <v>183</v>
      </c>
      <c r="H428" s="8">
        <v>33.380000000000003</v>
      </c>
      <c r="I428" s="7">
        <f>ROUND(114072.34,2)</f>
        <v>114072.34</v>
      </c>
    </row>
    <row r="429" spans="1:9" ht="39.6" x14ac:dyDescent="0.3">
      <c r="A429" s="4" t="s">
        <v>1009</v>
      </c>
      <c r="B429" s="5" t="s">
        <v>1029</v>
      </c>
      <c r="C429" s="5" t="s">
        <v>181</v>
      </c>
      <c r="D429" s="5" t="s">
        <v>194</v>
      </c>
      <c r="E429" s="5" t="s">
        <v>0</v>
      </c>
      <c r="F429" s="5" t="s">
        <v>309</v>
      </c>
      <c r="G429" s="5" t="s">
        <v>183</v>
      </c>
      <c r="H429" s="8">
        <v>33.380000000000003</v>
      </c>
      <c r="I429" s="7">
        <f>ROUND(96333.5499999999,2)</f>
        <v>96333.55</v>
      </c>
    </row>
    <row r="430" spans="1:9" ht="39.6" x14ac:dyDescent="0.3">
      <c r="A430" s="4" t="s">
        <v>1010</v>
      </c>
      <c r="B430" s="5" t="s">
        <v>1029</v>
      </c>
      <c r="C430" s="5" t="s">
        <v>181</v>
      </c>
      <c r="D430" s="5" t="s">
        <v>196</v>
      </c>
      <c r="E430" s="5" t="s">
        <v>0</v>
      </c>
      <c r="F430" s="5" t="s">
        <v>0</v>
      </c>
      <c r="G430" s="5" t="s">
        <v>183</v>
      </c>
      <c r="H430" s="8">
        <v>33.380000000000003</v>
      </c>
      <c r="I430" s="7">
        <f>ROUND(77812.6,2)</f>
        <v>77812.600000000006</v>
      </c>
    </row>
    <row r="431" spans="1:9" ht="39.6" x14ac:dyDescent="0.3">
      <c r="A431" s="4" t="s">
        <v>1011</v>
      </c>
      <c r="B431" s="5" t="s">
        <v>1029</v>
      </c>
      <c r="C431" s="5" t="s">
        <v>236</v>
      </c>
      <c r="D431" s="5" t="s">
        <v>1012</v>
      </c>
      <c r="E431" s="5" t="s">
        <v>0</v>
      </c>
      <c r="F431" s="5" t="s">
        <v>0</v>
      </c>
      <c r="G431" s="5" t="s">
        <v>330</v>
      </c>
      <c r="H431" s="8">
        <v>28.56</v>
      </c>
      <c r="I431" s="7">
        <f>ROUND(63251.12,2)</f>
        <v>63251.12</v>
      </c>
    </row>
    <row r="432" spans="1:9" ht="79.2" x14ac:dyDescent="0.3">
      <c r="A432" s="4" t="s">
        <v>1013</v>
      </c>
      <c r="B432" s="5"/>
      <c r="C432" s="5" t="s">
        <v>311</v>
      </c>
      <c r="D432" s="5" t="s">
        <v>1014</v>
      </c>
      <c r="E432" s="5" t="s">
        <v>0</v>
      </c>
      <c r="F432" s="5" t="s">
        <v>0</v>
      </c>
      <c r="G432" s="5" t="s">
        <v>312</v>
      </c>
      <c r="H432" s="8">
        <f>ROUND(21.0002,2)</f>
        <v>21</v>
      </c>
      <c r="I432" s="7">
        <f>ROUND(46536.49,2)</f>
        <v>46536.49</v>
      </c>
    </row>
    <row r="433" spans="1:9" ht="39.6" x14ac:dyDescent="0.3">
      <c r="A433" s="4" t="s">
        <v>1015</v>
      </c>
      <c r="B433" s="5" t="s">
        <v>1029</v>
      </c>
      <c r="C433" s="5" t="s">
        <v>181</v>
      </c>
      <c r="D433" s="5" t="s">
        <v>254</v>
      </c>
      <c r="E433" s="5" t="s">
        <v>0</v>
      </c>
      <c r="F433" s="5" t="s">
        <v>0</v>
      </c>
      <c r="G433" s="5" t="s">
        <v>183</v>
      </c>
      <c r="H433" s="9">
        <v>30.04</v>
      </c>
      <c r="I433" s="7">
        <f>ROUND(56353.8899999999,2)</f>
        <v>56353.89</v>
      </c>
    </row>
    <row r="434" spans="1:9" ht="39.6" x14ac:dyDescent="0.3">
      <c r="A434" s="4" t="s">
        <v>1016</v>
      </c>
      <c r="B434" s="5" t="s">
        <v>1029</v>
      </c>
      <c r="C434" s="5" t="s">
        <v>181</v>
      </c>
      <c r="D434" s="5" t="s">
        <v>234</v>
      </c>
      <c r="E434" s="5" t="s">
        <v>0</v>
      </c>
      <c r="F434" s="5" t="s">
        <v>0</v>
      </c>
      <c r="G434" s="5" t="s">
        <v>183</v>
      </c>
      <c r="H434" s="8">
        <v>33.380000000000003</v>
      </c>
      <c r="I434" s="7">
        <f>ROUND(131350.499999999,2)</f>
        <v>131350.5</v>
      </c>
    </row>
    <row r="435" spans="1:9" ht="52.8" x14ac:dyDescent="0.3">
      <c r="A435" s="4" t="s">
        <v>1017</v>
      </c>
      <c r="B435" s="5"/>
      <c r="C435" s="5" t="s">
        <v>201</v>
      </c>
      <c r="D435" s="5" t="s">
        <v>1018</v>
      </c>
      <c r="E435" s="5" t="s">
        <v>0</v>
      </c>
      <c r="F435" s="5" t="s">
        <v>0</v>
      </c>
      <c r="G435" s="5" t="s">
        <v>203</v>
      </c>
      <c r="H435" s="8">
        <f>ROUND(19.673,2)</f>
        <v>19.670000000000002</v>
      </c>
      <c r="I435" s="7">
        <f>ROUND(48761.6699999999,2)</f>
        <v>48761.67</v>
      </c>
    </row>
    <row r="436" spans="1:9" ht="39.6" x14ac:dyDescent="0.3">
      <c r="A436" s="4" t="s">
        <v>1019</v>
      </c>
      <c r="B436" s="5" t="s">
        <v>1029</v>
      </c>
      <c r="C436" s="5" t="s">
        <v>181</v>
      </c>
      <c r="D436" s="5" t="s">
        <v>527</v>
      </c>
      <c r="E436" s="5" t="s">
        <v>0</v>
      </c>
      <c r="F436" s="5" t="s">
        <v>1020</v>
      </c>
      <c r="G436" s="5" t="s">
        <v>183</v>
      </c>
      <c r="H436" s="8">
        <v>28.37</v>
      </c>
      <c r="I436" s="7">
        <f>ROUND(35907.99,2)</f>
        <v>35907.99</v>
      </c>
    </row>
    <row r="437" spans="1:9" ht="39.6" x14ac:dyDescent="0.3">
      <c r="A437" s="4" t="s">
        <v>1021</v>
      </c>
      <c r="B437" s="5" t="s">
        <v>1029</v>
      </c>
      <c r="C437" s="5" t="s">
        <v>181</v>
      </c>
      <c r="D437" s="5" t="s">
        <v>196</v>
      </c>
      <c r="E437" s="5" t="s">
        <v>0</v>
      </c>
      <c r="F437" s="5" t="s">
        <v>0</v>
      </c>
      <c r="G437" s="5" t="s">
        <v>183</v>
      </c>
      <c r="H437" s="8">
        <v>33.049999999999997</v>
      </c>
      <c r="I437" s="7">
        <f>ROUND(86239.13,2)</f>
        <v>86239.13</v>
      </c>
    </row>
    <row r="438" spans="1:9" ht="39.6" x14ac:dyDescent="0.3">
      <c r="A438" s="4" t="s">
        <v>1022</v>
      </c>
      <c r="B438" s="5" t="s">
        <v>1029</v>
      </c>
      <c r="C438" s="5" t="s">
        <v>181</v>
      </c>
      <c r="D438" s="5" t="s">
        <v>901</v>
      </c>
      <c r="E438" s="5" t="s">
        <v>0</v>
      </c>
      <c r="F438" s="5" t="s">
        <v>0</v>
      </c>
      <c r="G438" s="5" t="s">
        <v>183</v>
      </c>
      <c r="H438" s="8">
        <v>33.380000000000003</v>
      </c>
      <c r="I438" s="7">
        <f>ROUND(83186.4099999999,2)</f>
        <v>83186.41</v>
      </c>
    </row>
    <row r="439" spans="1:9" ht="52.8" x14ac:dyDescent="0.3">
      <c r="A439" s="4" t="s">
        <v>1023</v>
      </c>
      <c r="B439" s="5"/>
      <c r="C439" s="5" t="s">
        <v>223</v>
      </c>
      <c r="D439" s="5" t="s">
        <v>621</v>
      </c>
      <c r="E439" s="5" t="s">
        <v>0</v>
      </c>
      <c r="F439" s="5" t="s">
        <v>0</v>
      </c>
      <c r="G439" s="5" t="s">
        <v>1024</v>
      </c>
      <c r="H439" s="8">
        <f>ROUND(1875.49,2)</f>
        <v>1875.49</v>
      </c>
      <c r="I439" s="7">
        <f>ROUND(101812.16,2)</f>
        <v>101812.16</v>
      </c>
    </row>
    <row r="440" spans="1:9" ht="39.6" x14ac:dyDescent="0.3">
      <c r="A440" s="4" t="s">
        <v>1025</v>
      </c>
      <c r="B440" s="5" t="s">
        <v>1029</v>
      </c>
      <c r="C440" s="5" t="s">
        <v>181</v>
      </c>
      <c r="D440" s="5" t="s">
        <v>370</v>
      </c>
      <c r="E440" s="5" t="s">
        <v>0</v>
      </c>
      <c r="F440" s="5" t="s">
        <v>0</v>
      </c>
      <c r="G440" s="5" t="s">
        <v>183</v>
      </c>
      <c r="H440" s="8">
        <v>33.380000000000003</v>
      </c>
      <c r="I440" s="7">
        <f>ROUND(97862.52,2)</f>
        <v>97862.52</v>
      </c>
    </row>
    <row r="441" spans="1:9" ht="39.6" x14ac:dyDescent="0.3">
      <c r="A441" s="4" t="s">
        <v>1026</v>
      </c>
      <c r="B441" s="5" t="s">
        <v>1029</v>
      </c>
      <c r="C441" s="5" t="s">
        <v>181</v>
      </c>
      <c r="D441" s="5" t="s">
        <v>1027</v>
      </c>
      <c r="E441" s="5" t="s">
        <v>378</v>
      </c>
      <c r="F441" s="5" t="s">
        <v>0</v>
      </c>
      <c r="G441" s="5" t="s">
        <v>183</v>
      </c>
      <c r="H441" s="9">
        <v>29.75</v>
      </c>
      <c r="I441" s="7">
        <f>ROUND(47746.54,2)</f>
        <v>47746.54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17CF-7CA7-4EEB-B48F-BA4164E7F612}">
  <dimension ref="A1:FY441"/>
  <sheetViews>
    <sheetView workbookViewId="0">
      <selection activeCell="FZ1" sqref="FZ1:FZ1048576"/>
    </sheetView>
  </sheetViews>
  <sheetFormatPr defaultColWidth="9.109375" defaultRowHeight="14.4" x14ac:dyDescent="0.3"/>
  <cols>
    <col min="1" max="1" width="27.44140625" customWidth="1"/>
    <col min="2" max="2" width="20.5546875" customWidth="1"/>
    <col min="3" max="3" width="27.44140625" customWidth="1"/>
    <col min="4" max="6" width="20.5546875" customWidth="1"/>
    <col min="7" max="8" width="27.44140625" customWidth="1"/>
    <col min="9" max="9" width="20.5546875" customWidth="1"/>
    <col min="10" max="173" width="13.6640625" customWidth="1"/>
    <col min="174" max="174" width="11.44140625" bestFit="1" customWidth="1"/>
    <col min="175" max="175" width="13" bestFit="1" customWidth="1"/>
    <col min="176" max="176" width="11.44140625" bestFit="1" customWidth="1"/>
    <col min="177" max="177" width="11.33203125" bestFit="1" customWidth="1"/>
    <col min="178" max="178" width="13.5546875" bestFit="1" customWidth="1"/>
    <col min="179" max="179" width="12.6640625" bestFit="1" customWidth="1"/>
    <col min="180" max="180" width="11.33203125" bestFit="1" customWidth="1"/>
    <col min="181" max="181" width="13.6640625" customWidth="1"/>
  </cols>
  <sheetData>
    <row r="1" spans="1:181" ht="52.8" x14ac:dyDescent="0.3">
      <c r="A1" s="1" t="s">
        <v>1</v>
      </c>
      <c r="B1" s="2" t="s">
        <v>1028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1030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</row>
    <row r="2" spans="1:181" ht="26.4" x14ac:dyDescent="0.3">
      <c r="A2" s="4" t="s">
        <v>200</v>
      </c>
      <c r="B2" s="5"/>
      <c r="C2" s="5" t="s">
        <v>201</v>
      </c>
      <c r="D2" s="5" t="s">
        <v>202</v>
      </c>
      <c r="E2" s="5" t="s">
        <v>0</v>
      </c>
      <c r="F2" s="5" t="s">
        <v>0</v>
      </c>
      <c r="G2" s="5" t="s">
        <v>203</v>
      </c>
      <c r="H2" s="8">
        <f>ROUND(18,2)</f>
        <v>18</v>
      </c>
      <c r="I2" s="7">
        <f>ROUND(9204.75,2)</f>
        <v>9204.75</v>
      </c>
      <c r="J2" s="7">
        <f>ROUND(479.5,2)</f>
        <v>479.5</v>
      </c>
      <c r="K2" s="7">
        <f>ROUND(0.25,2)</f>
        <v>0.25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7">
        <f>ROUND(14,2)</f>
        <v>14</v>
      </c>
      <c r="CH2" s="7">
        <f>ROUND(5,2)</f>
        <v>5</v>
      </c>
      <c r="CI2" s="6"/>
      <c r="CJ2" s="6"/>
      <c r="CK2" s="6"/>
      <c r="CL2" s="6"/>
      <c r="CM2" s="6"/>
      <c r="CN2" s="6"/>
      <c r="CO2" s="6"/>
      <c r="CP2" s="6"/>
      <c r="CQ2" s="7">
        <f>ROUND(498.75,2)</f>
        <v>498.75</v>
      </c>
      <c r="CR2" s="7">
        <f>ROUND(8631,2)</f>
        <v>8631</v>
      </c>
      <c r="CS2" s="7">
        <f>ROUND(6.75,2)</f>
        <v>6.75</v>
      </c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7">
        <f>ROUND(225,2)</f>
        <v>225</v>
      </c>
      <c r="FK2" s="6"/>
      <c r="FL2" s="6"/>
      <c r="FM2" s="7">
        <f>ROUND(252,2)</f>
        <v>252</v>
      </c>
      <c r="FN2" s="7">
        <f>ROUND(90,2)</f>
        <v>90</v>
      </c>
      <c r="FO2" s="6"/>
      <c r="FP2" s="6"/>
      <c r="FQ2" s="6"/>
      <c r="FR2" s="6"/>
      <c r="FS2" s="6"/>
      <c r="FT2" s="6"/>
      <c r="FU2" s="6"/>
      <c r="FV2" s="6"/>
      <c r="FW2" s="6"/>
      <c r="FX2" s="6"/>
      <c r="FY2" s="7">
        <f>ROUND(9204.75,2)</f>
        <v>9204.75</v>
      </c>
    </row>
    <row r="3" spans="1:181" x14ac:dyDescent="0.3">
      <c r="A3" s="4" t="s">
        <v>262</v>
      </c>
      <c r="B3" s="5"/>
      <c r="C3" s="5" t="s">
        <v>201</v>
      </c>
      <c r="D3" s="5" t="s">
        <v>263</v>
      </c>
      <c r="E3" s="5" t="s">
        <v>264</v>
      </c>
      <c r="F3" s="5" t="s">
        <v>0</v>
      </c>
      <c r="G3" s="5" t="s">
        <v>265</v>
      </c>
      <c r="H3" s="8">
        <f>ROUND(18.54,2)</f>
        <v>18.54</v>
      </c>
      <c r="I3" s="7">
        <f>ROUND(2303.6,2)</f>
        <v>2303.6</v>
      </c>
      <c r="J3" s="7">
        <f>ROUND(29.25,2)</f>
        <v>29.25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7">
        <f>ROUND(10,2)</f>
        <v>10</v>
      </c>
      <c r="CI3" s="6"/>
      <c r="CJ3" s="6"/>
      <c r="CK3" s="6"/>
      <c r="CL3" s="6"/>
      <c r="CM3" s="6"/>
      <c r="CN3" s="7">
        <f>ROUND(55,2)</f>
        <v>55</v>
      </c>
      <c r="CO3" s="6"/>
      <c r="CP3" s="7">
        <f>ROUND(30,2)</f>
        <v>30</v>
      </c>
      <c r="CQ3" s="7">
        <f>ROUND(124.25,2)</f>
        <v>124.25</v>
      </c>
      <c r="CR3" s="7">
        <f>ROUND(542.3,2)</f>
        <v>542.29999999999995</v>
      </c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7">
        <f>ROUND(185.4,2)</f>
        <v>185.4</v>
      </c>
      <c r="FO3" s="6"/>
      <c r="FP3" s="6"/>
      <c r="FQ3" s="6"/>
      <c r="FR3" s="6"/>
      <c r="FS3" s="6"/>
      <c r="FT3" s="6"/>
      <c r="FU3" s="6"/>
      <c r="FV3" s="7">
        <f>ROUND(1019.7,2)</f>
        <v>1019.7</v>
      </c>
      <c r="FW3" s="6"/>
      <c r="FX3" s="7">
        <f>ROUND(556.2,2)</f>
        <v>556.20000000000005</v>
      </c>
      <c r="FY3" s="7">
        <f>ROUND(2303.6,2)</f>
        <v>2303.6</v>
      </c>
    </row>
    <row r="4" spans="1:181" ht="26.4" x14ac:dyDescent="0.3">
      <c r="A4" s="4" t="s">
        <v>290</v>
      </c>
      <c r="B4" s="5"/>
      <c r="C4" s="5" t="s">
        <v>201</v>
      </c>
      <c r="D4" s="5" t="s">
        <v>291</v>
      </c>
      <c r="E4" s="5" t="s">
        <v>292</v>
      </c>
      <c r="F4" s="5" t="s">
        <v>0</v>
      </c>
      <c r="G4" s="5" t="s">
        <v>203</v>
      </c>
      <c r="H4" s="8">
        <f>ROUND(18,2)</f>
        <v>18</v>
      </c>
      <c r="I4" s="7">
        <f>ROUND(13788,2)</f>
        <v>13788</v>
      </c>
      <c r="J4" s="7">
        <f>ROUND(688.25,2)</f>
        <v>688.25</v>
      </c>
      <c r="K4" s="7">
        <f>ROUND(18.5,2)</f>
        <v>18.5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7">
        <f>ROUND(10,2)</f>
        <v>10</v>
      </c>
      <c r="BX4" s="6"/>
      <c r="BY4" s="6"/>
      <c r="BZ4" s="6"/>
      <c r="CA4" s="6"/>
      <c r="CB4" s="6"/>
      <c r="CC4" s="6"/>
      <c r="CD4" s="6"/>
      <c r="CE4" s="6"/>
      <c r="CF4" s="6"/>
      <c r="CG4" s="7">
        <f>ROUND(10,2)</f>
        <v>10</v>
      </c>
      <c r="CH4" s="6"/>
      <c r="CI4" s="6"/>
      <c r="CJ4" s="6"/>
      <c r="CK4" s="6"/>
      <c r="CL4" s="6"/>
      <c r="CM4" s="6"/>
      <c r="CN4" s="7">
        <f>ROUND(30,2)</f>
        <v>30</v>
      </c>
      <c r="CO4" s="6"/>
      <c r="CP4" s="6"/>
      <c r="CQ4" s="7">
        <f>ROUND(756.75,2)</f>
        <v>756.75</v>
      </c>
      <c r="CR4" s="7">
        <f>ROUND(12388.5,2)</f>
        <v>12388.5</v>
      </c>
      <c r="CS4" s="7">
        <f>ROUND(499.5,2)</f>
        <v>499.5</v>
      </c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7">
        <f>ROUND(180,2)</f>
        <v>180</v>
      </c>
      <c r="FH4" s="6"/>
      <c r="FI4" s="6"/>
      <c r="FJ4" s="6"/>
      <c r="FK4" s="6"/>
      <c r="FL4" s="6"/>
      <c r="FM4" s="7">
        <f>ROUND(180,2)</f>
        <v>180</v>
      </c>
      <c r="FN4" s="6"/>
      <c r="FO4" s="6"/>
      <c r="FP4" s="6"/>
      <c r="FQ4" s="6"/>
      <c r="FR4" s="6"/>
      <c r="FS4" s="6"/>
      <c r="FT4" s="6"/>
      <c r="FU4" s="6"/>
      <c r="FV4" s="7">
        <f>ROUND(540,2)</f>
        <v>540</v>
      </c>
      <c r="FW4" s="6"/>
      <c r="FX4" s="6"/>
      <c r="FY4" s="7">
        <f>ROUND(13788,2)</f>
        <v>13788</v>
      </c>
    </row>
    <row r="5" spans="1:181" ht="26.4" x14ac:dyDescent="0.3">
      <c r="A5" s="4" t="s">
        <v>380</v>
      </c>
      <c r="B5" s="5"/>
      <c r="C5" s="5" t="s">
        <v>201</v>
      </c>
      <c r="D5" s="5" t="s">
        <v>381</v>
      </c>
      <c r="E5" s="5" t="s">
        <v>382</v>
      </c>
      <c r="F5" s="5" t="s">
        <v>0</v>
      </c>
      <c r="G5" s="5" t="s">
        <v>203</v>
      </c>
      <c r="H5" s="8">
        <f>ROUND(20.2601,2)</f>
        <v>20.260000000000002</v>
      </c>
      <c r="I5" s="7">
        <f>ROUND(11269.63,2)</f>
        <v>11269.63</v>
      </c>
      <c r="J5" s="7">
        <f>ROUND(313.5,2)</f>
        <v>313.5</v>
      </c>
      <c r="K5" s="7">
        <f>ROUND(36.5,2)</f>
        <v>36.5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7">
        <f>ROUND(16,2)</f>
        <v>16</v>
      </c>
      <c r="CI5" s="7">
        <f>ROUND(64,2)</f>
        <v>64</v>
      </c>
      <c r="CJ5" s="6"/>
      <c r="CK5" s="6"/>
      <c r="CL5" s="7">
        <f>ROUND(28,2)</f>
        <v>28</v>
      </c>
      <c r="CM5" s="6"/>
      <c r="CN5" s="7">
        <f>ROUND(32,2)</f>
        <v>32</v>
      </c>
      <c r="CO5" s="6"/>
      <c r="CP5" s="7">
        <f>ROUND(48,2)</f>
        <v>48</v>
      </c>
      <c r="CQ5" s="7">
        <f>ROUND(538,2)</f>
        <v>538</v>
      </c>
      <c r="CR5" s="7">
        <f>ROUND(6351.50999999999,2)</f>
        <v>6351.51</v>
      </c>
      <c r="CS5" s="7">
        <f>ROUND(1109.24,2)</f>
        <v>1109.24</v>
      </c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7">
        <f>ROUND(324.16,2)</f>
        <v>324.16000000000003</v>
      </c>
      <c r="FO5" s="7">
        <f>ROUND(1296.64,2)</f>
        <v>1296.6400000000001</v>
      </c>
      <c r="FP5" s="6"/>
      <c r="FQ5" s="6"/>
      <c r="FR5" s="6"/>
      <c r="FS5" s="7">
        <f>ROUND(567.28,2)</f>
        <v>567.28</v>
      </c>
      <c r="FT5" s="6"/>
      <c r="FU5" s="6"/>
      <c r="FV5" s="7">
        <f>ROUND(648.32,2)</f>
        <v>648.32000000000005</v>
      </c>
      <c r="FW5" s="6"/>
      <c r="FX5" s="7">
        <f>ROUND(972.48,2)</f>
        <v>972.48</v>
      </c>
      <c r="FY5" s="7">
        <f>ROUND(11269.63,2)</f>
        <v>11269.63</v>
      </c>
    </row>
    <row r="6" spans="1:181" ht="26.4" x14ac:dyDescent="0.3">
      <c r="A6" s="4" t="s">
        <v>427</v>
      </c>
      <c r="B6" s="5"/>
      <c r="C6" s="5" t="s">
        <v>201</v>
      </c>
      <c r="D6" s="5" t="s">
        <v>428</v>
      </c>
      <c r="E6" s="5" t="s">
        <v>429</v>
      </c>
      <c r="F6" s="5" t="s">
        <v>0</v>
      </c>
      <c r="G6" s="5" t="s">
        <v>203</v>
      </c>
      <c r="H6" s="8">
        <f>ROUND(18,2)</f>
        <v>18</v>
      </c>
      <c r="I6" s="7">
        <f>ROUND(7546.5,2)</f>
        <v>7546.5</v>
      </c>
      <c r="J6" s="7">
        <f>ROUND(412,2)</f>
        <v>412</v>
      </c>
      <c r="K6" s="7">
        <f>ROUND(1.5,2)</f>
        <v>1.5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7">
        <f>ROUND(5,2)</f>
        <v>5</v>
      </c>
      <c r="CI6" s="6"/>
      <c r="CJ6" s="6"/>
      <c r="CK6" s="6"/>
      <c r="CL6" s="6"/>
      <c r="CM6" s="6"/>
      <c r="CN6" s="6"/>
      <c r="CO6" s="6"/>
      <c r="CP6" s="6"/>
      <c r="CQ6" s="7">
        <f>ROUND(418.5,2)</f>
        <v>418.5</v>
      </c>
      <c r="CR6" s="7">
        <f>ROUND(7416,2)</f>
        <v>7416</v>
      </c>
      <c r="CS6" s="7">
        <f>ROUND(40.5,2)</f>
        <v>40.5</v>
      </c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7">
        <f>ROUND(90,2)</f>
        <v>90</v>
      </c>
      <c r="FO6" s="6"/>
      <c r="FP6" s="6"/>
      <c r="FQ6" s="6"/>
      <c r="FR6" s="6"/>
      <c r="FS6" s="6"/>
      <c r="FT6" s="6"/>
      <c r="FU6" s="6"/>
      <c r="FV6" s="6"/>
      <c r="FW6" s="6"/>
      <c r="FX6" s="6"/>
      <c r="FY6" s="7">
        <f>ROUND(7546.5,2)</f>
        <v>7546.5</v>
      </c>
    </row>
    <row r="7" spans="1:181" ht="26.4" x14ac:dyDescent="0.3">
      <c r="A7" s="4" t="s">
        <v>492</v>
      </c>
      <c r="B7" s="5"/>
      <c r="C7" s="5" t="s">
        <v>201</v>
      </c>
      <c r="D7" s="5" t="s">
        <v>428</v>
      </c>
      <c r="E7" s="5" t="s">
        <v>0</v>
      </c>
      <c r="F7" s="5" t="s">
        <v>0</v>
      </c>
      <c r="G7" s="5" t="s">
        <v>203</v>
      </c>
      <c r="H7" s="8">
        <f>ROUND(18,2)</f>
        <v>18</v>
      </c>
      <c r="I7" s="7">
        <f>ROUND(16353,2)</f>
        <v>16353</v>
      </c>
      <c r="J7" s="7">
        <f>ROUND(864.5,2)</f>
        <v>864.5</v>
      </c>
      <c r="K7" s="7">
        <f>ROUND(11,2)</f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7">
        <f>ROUND(15,2)</f>
        <v>15</v>
      </c>
      <c r="CI7" s="6"/>
      <c r="CJ7" s="6"/>
      <c r="CK7" s="6"/>
      <c r="CL7" s="6"/>
      <c r="CM7" s="6"/>
      <c r="CN7" s="6"/>
      <c r="CO7" s="6"/>
      <c r="CP7" s="6"/>
      <c r="CQ7" s="7">
        <f>ROUND(890.5,2)</f>
        <v>890.5</v>
      </c>
      <c r="CR7" s="7">
        <f>ROUND(15561,2)</f>
        <v>15561</v>
      </c>
      <c r="CS7" s="7">
        <f>ROUND(297,2)</f>
        <v>297</v>
      </c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7">
        <f>ROUND(225,2)</f>
        <v>225</v>
      </c>
      <c r="FK7" s="6"/>
      <c r="FL7" s="6"/>
      <c r="FM7" s="6"/>
      <c r="FN7" s="7">
        <f>ROUND(270,2)</f>
        <v>270</v>
      </c>
      <c r="FO7" s="6"/>
      <c r="FP7" s="6"/>
      <c r="FQ7" s="6"/>
      <c r="FR7" s="6"/>
      <c r="FS7" s="6"/>
      <c r="FT7" s="6"/>
      <c r="FU7" s="6"/>
      <c r="FV7" s="6"/>
      <c r="FW7" s="6"/>
      <c r="FX7" s="6"/>
      <c r="FY7" s="7">
        <f>ROUND(16353,2)</f>
        <v>16353</v>
      </c>
    </row>
    <row r="8" spans="1:181" ht="26.4" x14ac:dyDescent="0.3">
      <c r="A8" s="4" t="s">
        <v>533</v>
      </c>
      <c r="B8" s="5"/>
      <c r="C8" s="5" t="s">
        <v>201</v>
      </c>
      <c r="D8" s="5" t="s">
        <v>534</v>
      </c>
      <c r="E8" s="5" t="s">
        <v>0</v>
      </c>
      <c r="F8" s="5" t="s">
        <v>535</v>
      </c>
      <c r="G8" s="5" t="s">
        <v>203</v>
      </c>
      <c r="H8" s="8">
        <f>ROUND(18,2)</f>
        <v>18</v>
      </c>
      <c r="I8" s="7">
        <f>ROUND(23294.25,2)</f>
        <v>23294.25</v>
      </c>
      <c r="J8" s="7">
        <f>ROUND(1179,2)</f>
        <v>1179</v>
      </c>
      <c r="K8" s="7">
        <f>ROUND(22.75,2)</f>
        <v>22.75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7">
        <f>ROUND(36,2)</f>
        <v>36</v>
      </c>
      <c r="CH8" s="7">
        <f>ROUND(20,2)</f>
        <v>20</v>
      </c>
      <c r="CI8" s="6"/>
      <c r="CJ8" s="6"/>
      <c r="CK8" s="6"/>
      <c r="CL8" s="6"/>
      <c r="CM8" s="6"/>
      <c r="CN8" s="7">
        <f>ROUND(25,2)</f>
        <v>25</v>
      </c>
      <c r="CO8" s="6"/>
      <c r="CP8" s="6"/>
      <c r="CQ8" s="7">
        <f>ROUND(1282.75,2)</f>
        <v>1282.75</v>
      </c>
      <c r="CR8" s="7">
        <f>ROUND(21222,2)</f>
        <v>21222</v>
      </c>
      <c r="CS8" s="7">
        <f>ROUND(614.25,2)</f>
        <v>614.25</v>
      </c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7">
        <f>ROUND(648,2)</f>
        <v>648</v>
      </c>
      <c r="FN8" s="7">
        <f>ROUND(360,2)</f>
        <v>360</v>
      </c>
      <c r="FO8" s="6"/>
      <c r="FP8" s="6"/>
      <c r="FQ8" s="6"/>
      <c r="FR8" s="6"/>
      <c r="FS8" s="6"/>
      <c r="FT8" s="6"/>
      <c r="FU8" s="6"/>
      <c r="FV8" s="7">
        <f>ROUND(450,2)</f>
        <v>450</v>
      </c>
      <c r="FW8" s="6"/>
      <c r="FX8" s="6"/>
      <c r="FY8" s="7">
        <f>ROUND(23294.25,2)</f>
        <v>23294.25</v>
      </c>
    </row>
    <row r="9" spans="1:181" ht="26.4" x14ac:dyDescent="0.3">
      <c r="A9" s="4" t="s">
        <v>591</v>
      </c>
      <c r="B9" s="5"/>
      <c r="C9" s="5" t="s">
        <v>201</v>
      </c>
      <c r="D9" s="5" t="s">
        <v>202</v>
      </c>
      <c r="E9" s="5" t="s">
        <v>0</v>
      </c>
      <c r="F9" s="5" t="s">
        <v>0</v>
      </c>
      <c r="G9" s="5" t="s">
        <v>203</v>
      </c>
      <c r="H9" s="8">
        <f>ROUND(18,2)</f>
        <v>18</v>
      </c>
      <c r="I9" s="7">
        <f>ROUND(10379.25,2)</f>
        <v>10379.25</v>
      </c>
      <c r="J9" s="7">
        <f>ROUND(543.75,2)</f>
        <v>543.75</v>
      </c>
      <c r="K9" s="7">
        <f>ROUND(10.25,2)</f>
        <v>10.25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7">
        <f>ROUND(5,2)</f>
        <v>5</v>
      </c>
      <c r="CI9" s="6"/>
      <c r="CJ9" s="6"/>
      <c r="CK9" s="6"/>
      <c r="CL9" s="6"/>
      <c r="CM9" s="6"/>
      <c r="CN9" s="6"/>
      <c r="CO9" s="6"/>
      <c r="CP9" s="6"/>
      <c r="CQ9" s="7">
        <f>ROUND(559,2)</f>
        <v>559</v>
      </c>
      <c r="CR9" s="7">
        <f>ROUND(9787.5,2)</f>
        <v>9787.5</v>
      </c>
      <c r="CS9" s="7">
        <f>ROUND(276.75,2)</f>
        <v>276.75</v>
      </c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7">
        <f>ROUND(225,2)</f>
        <v>225</v>
      </c>
      <c r="FK9" s="6"/>
      <c r="FL9" s="6"/>
      <c r="FM9" s="6"/>
      <c r="FN9" s="7">
        <f>ROUND(90,2)</f>
        <v>90</v>
      </c>
      <c r="FO9" s="6"/>
      <c r="FP9" s="6"/>
      <c r="FQ9" s="6"/>
      <c r="FR9" s="6"/>
      <c r="FS9" s="6"/>
      <c r="FT9" s="6"/>
      <c r="FU9" s="6"/>
      <c r="FV9" s="6"/>
      <c r="FW9" s="6"/>
      <c r="FX9" s="6"/>
      <c r="FY9" s="7">
        <f>ROUND(10379.25,2)</f>
        <v>10379.25</v>
      </c>
    </row>
    <row r="10" spans="1:181" ht="26.4" x14ac:dyDescent="0.3">
      <c r="A10" s="4" t="s">
        <v>596</v>
      </c>
      <c r="B10" s="5"/>
      <c r="C10" s="5" t="s">
        <v>201</v>
      </c>
      <c r="D10" s="5" t="s">
        <v>597</v>
      </c>
      <c r="E10" s="5" t="s">
        <v>598</v>
      </c>
      <c r="F10" s="5" t="s">
        <v>0</v>
      </c>
      <c r="G10" s="5" t="s">
        <v>203</v>
      </c>
      <c r="H10" s="8">
        <f>ROUND(18,2)</f>
        <v>18</v>
      </c>
      <c r="I10" s="7">
        <f>ROUND(20787.75,2)</f>
        <v>20787.75</v>
      </c>
      <c r="J10" s="7">
        <f>ROUND(962.5,2)</f>
        <v>962.5</v>
      </c>
      <c r="K10" s="7">
        <f>ROUND(69.5,2)</f>
        <v>69.5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7">
        <f>ROUND(-8.25,2)</f>
        <v>-8.25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7">
        <f>ROUND(16,2)</f>
        <v>16</v>
      </c>
      <c r="CI10" s="7">
        <f>ROUND(16,2)</f>
        <v>16</v>
      </c>
      <c r="CJ10" s="7">
        <f>ROUND(8.25,2)</f>
        <v>8.25</v>
      </c>
      <c r="CK10" s="6"/>
      <c r="CL10" s="7">
        <f>ROUND(12,2)</f>
        <v>12</v>
      </c>
      <c r="CM10" s="6"/>
      <c r="CN10" s="7">
        <f>ROUND(40,2)</f>
        <v>40</v>
      </c>
      <c r="CO10" s="6"/>
      <c r="CP10" s="6"/>
      <c r="CQ10" s="7">
        <f>ROUND(1116,2)</f>
        <v>1116</v>
      </c>
      <c r="CR10" s="7">
        <f>ROUND(17325,2)</f>
        <v>17325</v>
      </c>
      <c r="CS10" s="7">
        <f>ROUND(1876.5,2)</f>
        <v>1876.5</v>
      </c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7">
        <f>ROUND(-148.5,2)</f>
        <v>-148.5</v>
      </c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7">
        <f>ROUND(288,2)</f>
        <v>288</v>
      </c>
      <c r="FO10" s="7">
        <f>ROUND(288,2)</f>
        <v>288</v>
      </c>
      <c r="FP10" s="7">
        <f>ROUND(222.75,2)</f>
        <v>222.75</v>
      </c>
      <c r="FQ10" s="6"/>
      <c r="FR10" s="6"/>
      <c r="FS10" s="7">
        <f>ROUND(216,2)</f>
        <v>216</v>
      </c>
      <c r="FT10" s="6"/>
      <c r="FU10" s="6"/>
      <c r="FV10" s="7">
        <f>ROUND(720,2)</f>
        <v>720</v>
      </c>
      <c r="FW10" s="6"/>
      <c r="FX10" s="6"/>
      <c r="FY10" s="7">
        <f>ROUND(20787.75,2)</f>
        <v>20787.75</v>
      </c>
    </row>
    <row r="11" spans="1:181" x14ac:dyDescent="0.3">
      <c r="A11" s="4" t="s">
        <v>608</v>
      </c>
      <c r="B11" s="5"/>
      <c r="C11" s="5" t="s">
        <v>201</v>
      </c>
      <c r="D11" s="5" t="s">
        <v>609</v>
      </c>
      <c r="E11" s="5" t="s">
        <v>610</v>
      </c>
      <c r="F11" s="5" t="s">
        <v>0</v>
      </c>
      <c r="G11" s="5" t="s">
        <v>265</v>
      </c>
      <c r="H11" s="8">
        <f>ROUND(17,2)</f>
        <v>17</v>
      </c>
      <c r="I11" s="7">
        <f>ROUND(442,2)</f>
        <v>442</v>
      </c>
      <c r="J11" s="7">
        <f>ROUND(26,2)</f>
        <v>26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7">
        <f>ROUND(26,2)</f>
        <v>26</v>
      </c>
      <c r="CR11" s="7">
        <f>ROUND(442,2)</f>
        <v>442</v>
      </c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7">
        <f>ROUND(442,2)</f>
        <v>442</v>
      </c>
    </row>
    <row r="12" spans="1:181" ht="26.4" x14ac:dyDescent="0.3">
      <c r="A12" s="4" t="s">
        <v>613</v>
      </c>
      <c r="B12" s="5"/>
      <c r="C12" s="5" t="s">
        <v>201</v>
      </c>
      <c r="D12" s="5" t="s">
        <v>202</v>
      </c>
      <c r="E12" s="5" t="s">
        <v>614</v>
      </c>
      <c r="F12" s="5" t="s">
        <v>0</v>
      </c>
      <c r="G12" s="5" t="s">
        <v>203</v>
      </c>
      <c r="H12" s="8">
        <f>ROUND(18,2)</f>
        <v>18</v>
      </c>
      <c r="I12" s="7">
        <f>ROUND(8732.25,2)</f>
        <v>8732.25</v>
      </c>
      <c r="J12" s="7">
        <f>ROUND(467.25,2)</f>
        <v>467.25</v>
      </c>
      <c r="K12" s="7">
        <f>ROUND(0.25,2)</f>
        <v>0.25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7">
        <f>ROUND(5,2)</f>
        <v>5</v>
      </c>
      <c r="CI12" s="6"/>
      <c r="CJ12" s="6"/>
      <c r="CK12" s="6"/>
      <c r="CL12" s="6"/>
      <c r="CM12" s="6"/>
      <c r="CN12" s="6"/>
      <c r="CO12" s="6"/>
      <c r="CP12" s="6"/>
      <c r="CQ12" s="7">
        <f>ROUND(472.5,2)</f>
        <v>472.5</v>
      </c>
      <c r="CR12" s="7">
        <f>ROUND(8410.5,2)</f>
        <v>8410.5</v>
      </c>
      <c r="CS12" s="7">
        <f>ROUND(6.75,2)</f>
        <v>6.75</v>
      </c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7">
        <f>ROUND(225,2)</f>
        <v>225</v>
      </c>
      <c r="FK12" s="6"/>
      <c r="FL12" s="6"/>
      <c r="FM12" s="6"/>
      <c r="FN12" s="7">
        <f>ROUND(90,2)</f>
        <v>90</v>
      </c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7">
        <f>ROUND(8732.25,2)</f>
        <v>8732.25</v>
      </c>
    </row>
    <row r="13" spans="1:181" ht="26.4" x14ac:dyDescent="0.3">
      <c r="A13" s="4" t="s">
        <v>636</v>
      </c>
      <c r="B13" s="5" t="s">
        <v>1029</v>
      </c>
      <c r="C13" s="5" t="s">
        <v>201</v>
      </c>
      <c r="D13" s="5" t="s">
        <v>202</v>
      </c>
      <c r="E13" s="5" t="s">
        <v>637</v>
      </c>
      <c r="F13" s="5" t="s">
        <v>0</v>
      </c>
      <c r="G13" s="5" t="s">
        <v>203</v>
      </c>
      <c r="H13" s="8">
        <f>ROUND(18,2)</f>
        <v>18</v>
      </c>
      <c r="I13" s="7">
        <f>ROUND(9245.25,2)</f>
        <v>9245.25</v>
      </c>
      <c r="J13" s="7">
        <f>ROUND(481.5,2)</f>
        <v>481.5</v>
      </c>
      <c r="K13" s="7">
        <f>ROUND(9.75,2)</f>
        <v>9.75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7">
        <f>ROUND(5,2)</f>
        <v>5</v>
      </c>
      <c r="CI13" s="6"/>
      <c r="CJ13" s="6"/>
      <c r="CK13" s="6"/>
      <c r="CL13" s="6"/>
      <c r="CM13" s="6"/>
      <c r="CN13" s="6"/>
      <c r="CO13" s="6"/>
      <c r="CP13" s="6"/>
      <c r="CQ13" s="7">
        <f>ROUND(496.25,2)</f>
        <v>496.25</v>
      </c>
      <c r="CR13" s="7">
        <f>ROUND(8667,2)</f>
        <v>8667</v>
      </c>
      <c r="CS13" s="7">
        <f>ROUND(263.25,2)</f>
        <v>263.25</v>
      </c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7">
        <f>ROUND(225,2)</f>
        <v>225</v>
      </c>
      <c r="FK13" s="6"/>
      <c r="FL13" s="6"/>
      <c r="FM13" s="6"/>
      <c r="FN13" s="7">
        <f>ROUND(90,2)</f>
        <v>90</v>
      </c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7">
        <f>ROUND(9245.25,2)</f>
        <v>9245.25</v>
      </c>
    </row>
    <row r="14" spans="1:181" ht="26.4" x14ac:dyDescent="0.3">
      <c r="A14" s="4" t="s">
        <v>662</v>
      </c>
      <c r="B14" s="5"/>
      <c r="C14" s="5" t="s">
        <v>201</v>
      </c>
      <c r="D14" s="5" t="s">
        <v>663</v>
      </c>
      <c r="E14" s="5" t="s">
        <v>664</v>
      </c>
      <c r="F14" s="5" t="s">
        <v>0</v>
      </c>
      <c r="G14" s="5" t="s">
        <v>203</v>
      </c>
      <c r="H14" s="8">
        <f>ROUND(18,2)</f>
        <v>18</v>
      </c>
      <c r="I14" s="7">
        <f>ROUND(19284.75,2)</f>
        <v>19284.75</v>
      </c>
      <c r="J14" s="7">
        <f>ROUND(976,2)</f>
        <v>976</v>
      </c>
      <c r="K14" s="7">
        <f>ROUND(2.25,2)</f>
        <v>2.25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7">
        <f>ROUND(31,2)</f>
        <v>31</v>
      </c>
      <c r="CH14" s="7">
        <f>ROUND(20,2)</f>
        <v>20</v>
      </c>
      <c r="CI14" s="6"/>
      <c r="CJ14" s="6"/>
      <c r="CK14" s="6"/>
      <c r="CL14" s="6"/>
      <c r="CM14" s="6"/>
      <c r="CN14" s="7">
        <f>ROUND(25,2)</f>
        <v>25</v>
      </c>
      <c r="CO14" s="6"/>
      <c r="CP14" s="6"/>
      <c r="CQ14" s="7">
        <f>ROUND(1054.25,2)</f>
        <v>1054.25</v>
      </c>
      <c r="CR14" s="7">
        <f>ROUND(17568,2)</f>
        <v>17568</v>
      </c>
      <c r="CS14" s="7">
        <f>ROUND(60.75,2)</f>
        <v>60.75</v>
      </c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7">
        <f>ROUND(288,2)</f>
        <v>288</v>
      </c>
      <c r="FK14" s="6"/>
      <c r="FL14" s="6"/>
      <c r="FM14" s="7">
        <f>ROUND(558,2)</f>
        <v>558</v>
      </c>
      <c r="FN14" s="7">
        <f>ROUND(360,2)</f>
        <v>360</v>
      </c>
      <c r="FO14" s="6"/>
      <c r="FP14" s="6"/>
      <c r="FQ14" s="6"/>
      <c r="FR14" s="6"/>
      <c r="FS14" s="6"/>
      <c r="FT14" s="6"/>
      <c r="FU14" s="6"/>
      <c r="FV14" s="7">
        <f>ROUND(450,2)</f>
        <v>450</v>
      </c>
      <c r="FW14" s="6"/>
      <c r="FX14" s="6"/>
      <c r="FY14" s="7">
        <f>ROUND(19284.75,2)</f>
        <v>19284.75</v>
      </c>
    </row>
    <row r="15" spans="1:181" ht="26.4" x14ac:dyDescent="0.3">
      <c r="A15" s="4" t="s">
        <v>687</v>
      </c>
      <c r="B15" s="5"/>
      <c r="C15" s="5" t="s">
        <v>201</v>
      </c>
      <c r="D15" s="5" t="s">
        <v>291</v>
      </c>
      <c r="E15" s="5" t="s">
        <v>688</v>
      </c>
      <c r="F15" s="5" t="s">
        <v>0</v>
      </c>
      <c r="G15" s="5" t="s">
        <v>203</v>
      </c>
      <c r="H15" s="8">
        <f>ROUND(18,2)</f>
        <v>18</v>
      </c>
      <c r="I15" s="7">
        <f>ROUND(39421.25,2)</f>
        <v>39421.25</v>
      </c>
      <c r="J15" s="7">
        <f>ROUND(1807.75,2)</f>
        <v>1807.75</v>
      </c>
      <c r="K15" s="7">
        <f>ROUND(40.25,2)</f>
        <v>40.25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7">
        <f>ROUND(40,2)</f>
        <v>40</v>
      </c>
      <c r="BX15" s="6"/>
      <c r="BY15" s="6"/>
      <c r="BZ15" s="6"/>
      <c r="CA15" s="6"/>
      <c r="CB15" s="6"/>
      <c r="CC15" s="6"/>
      <c r="CD15" s="6"/>
      <c r="CE15" s="6"/>
      <c r="CF15" s="6"/>
      <c r="CG15" s="7">
        <f>ROUND(50,2)</f>
        <v>50</v>
      </c>
      <c r="CH15" s="7">
        <f>ROUND(32,2)</f>
        <v>32</v>
      </c>
      <c r="CI15" s="7">
        <f>ROUND(32,2)</f>
        <v>32</v>
      </c>
      <c r="CJ15" s="7">
        <f>ROUND(22,2)</f>
        <v>22</v>
      </c>
      <c r="CK15" s="6"/>
      <c r="CL15" s="7">
        <f>ROUND(8,2)</f>
        <v>8</v>
      </c>
      <c r="CM15" s="6"/>
      <c r="CN15" s="7">
        <f>ROUND(40,2)</f>
        <v>40</v>
      </c>
      <c r="CO15" s="6"/>
      <c r="CP15" s="6"/>
      <c r="CQ15" s="7">
        <f>ROUND(2072,2)</f>
        <v>2072</v>
      </c>
      <c r="CR15" s="7">
        <f>ROUND(32539.5,2)</f>
        <v>32539.5</v>
      </c>
      <c r="CS15" s="7">
        <f>ROUND(1086.75,2)</f>
        <v>1086.75</v>
      </c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7">
        <f>ROUND(125,2)</f>
        <v>125</v>
      </c>
      <c r="EX15" s="6"/>
      <c r="EY15" s="6"/>
      <c r="EZ15" s="6"/>
      <c r="FA15" s="6"/>
      <c r="FB15" s="6"/>
      <c r="FC15" s="6"/>
      <c r="FD15" s="6"/>
      <c r="FE15" s="6"/>
      <c r="FF15" s="6"/>
      <c r="FG15" s="7">
        <f>ROUND(720,2)</f>
        <v>720</v>
      </c>
      <c r="FH15" s="6"/>
      <c r="FI15" s="6"/>
      <c r="FJ15" s="7">
        <f>ROUND(1440,2)</f>
        <v>1440</v>
      </c>
      <c r="FK15" s="6"/>
      <c r="FL15" s="6"/>
      <c r="FM15" s="7">
        <f>ROUND(900,2)</f>
        <v>900</v>
      </c>
      <c r="FN15" s="7">
        <f>ROUND(576,2)</f>
        <v>576</v>
      </c>
      <c r="FO15" s="7">
        <f>ROUND(576,2)</f>
        <v>576</v>
      </c>
      <c r="FP15" s="7">
        <f>ROUND(594,2)</f>
        <v>594</v>
      </c>
      <c r="FQ15" s="6"/>
      <c r="FR15" s="6"/>
      <c r="FS15" s="7">
        <f>ROUND(144,2)</f>
        <v>144</v>
      </c>
      <c r="FT15" s="6"/>
      <c r="FU15" s="6"/>
      <c r="FV15" s="7">
        <f>ROUND(720,2)</f>
        <v>720</v>
      </c>
      <c r="FW15" s="6"/>
      <c r="FX15" s="6"/>
      <c r="FY15" s="7">
        <f>ROUND(39421.25,2)</f>
        <v>39421.25</v>
      </c>
    </row>
    <row r="16" spans="1:181" ht="26.4" x14ac:dyDescent="0.3">
      <c r="A16" s="4" t="s">
        <v>694</v>
      </c>
      <c r="B16" s="5"/>
      <c r="C16" s="5" t="s">
        <v>201</v>
      </c>
      <c r="D16" s="5" t="s">
        <v>609</v>
      </c>
      <c r="E16" s="5" t="s">
        <v>225</v>
      </c>
      <c r="F16" s="5" t="s">
        <v>0</v>
      </c>
      <c r="G16" s="5" t="s">
        <v>203</v>
      </c>
      <c r="H16" s="8">
        <f>ROUND(18,2)</f>
        <v>18</v>
      </c>
      <c r="I16" s="7">
        <f>ROUND(28161,2)</f>
        <v>28161</v>
      </c>
      <c r="J16" s="7">
        <f>ROUND(1294.25,2)</f>
        <v>1294.25</v>
      </c>
      <c r="K16" s="7">
        <f>ROUND(70.5,2)</f>
        <v>70.5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7">
        <f>ROUND(24,2)</f>
        <v>24</v>
      </c>
      <c r="CG16" s="7">
        <f>ROUND(6,2)</f>
        <v>6</v>
      </c>
      <c r="CH16" s="7">
        <f>ROUND(24,2)</f>
        <v>24</v>
      </c>
      <c r="CI16" s="7">
        <f>ROUND(48,2)</f>
        <v>48</v>
      </c>
      <c r="CJ16" s="7">
        <f>ROUND(7,2)</f>
        <v>7</v>
      </c>
      <c r="CK16" s="6"/>
      <c r="CL16" s="7">
        <f>ROUND(12,2)</f>
        <v>12</v>
      </c>
      <c r="CM16" s="6"/>
      <c r="CN16" s="7">
        <f>ROUND(36,2)</f>
        <v>36</v>
      </c>
      <c r="CO16" s="6"/>
      <c r="CP16" s="7">
        <f>ROUND(4,2)</f>
        <v>4</v>
      </c>
      <c r="CQ16" s="7">
        <f>ROUND(1525.75,2)</f>
        <v>1525.75</v>
      </c>
      <c r="CR16" s="7">
        <f>ROUND(23296.5,2)</f>
        <v>23296.5</v>
      </c>
      <c r="CS16" s="7">
        <f>ROUND(1903.5,2)</f>
        <v>1903.5</v>
      </c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7">
        <f>ROUND(432,2)</f>
        <v>432</v>
      </c>
      <c r="FM16" s="7">
        <f>ROUND(108,2)</f>
        <v>108</v>
      </c>
      <c r="FN16" s="7">
        <f>ROUND(432,2)</f>
        <v>432</v>
      </c>
      <c r="FO16" s="7">
        <f>ROUND(864,2)</f>
        <v>864</v>
      </c>
      <c r="FP16" s="7">
        <f>ROUND(189,2)</f>
        <v>189</v>
      </c>
      <c r="FQ16" s="6"/>
      <c r="FR16" s="6"/>
      <c r="FS16" s="7">
        <f>ROUND(216,2)</f>
        <v>216</v>
      </c>
      <c r="FT16" s="6"/>
      <c r="FU16" s="6"/>
      <c r="FV16" s="7">
        <f>ROUND(648,2)</f>
        <v>648</v>
      </c>
      <c r="FW16" s="6"/>
      <c r="FX16" s="7">
        <f>ROUND(72,2)</f>
        <v>72</v>
      </c>
      <c r="FY16" s="7">
        <f>ROUND(28161,2)</f>
        <v>28161</v>
      </c>
    </row>
    <row r="17" spans="1:181" ht="26.4" x14ac:dyDescent="0.3">
      <c r="A17" s="4" t="s">
        <v>769</v>
      </c>
      <c r="B17" s="5"/>
      <c r="C17" s="5" t="s">
        <v>201</v>
      </c>
      <c r="D17" s="5" t="s">
        <v>770</v>
      </c>
      <c r="E17" s="5" t="s">
        <v>0</v>
      </c>
      <c r="F17" s="5" t="s">
        <v>0</v>
      </c>
      <c r="G17" s="5" t="s">
        <v>203</v>
      </c>
      <c r="H17" s="8">
        <f>ROUND(18.54,2)</f>
        <v>18.54</v>
      </c>
      <c r="I17" s="7">
        <f>ROUND(45985.94,2)</f>
        <v>45985.94</v>
      </c>
      <c r="J17" s="7">
        <f>ROUND(1939.5,2)</f>
        <v>1939.5</v>
      </c>
      <c r="K17" s="7">
        <f>ROUND(144.25,2)</f>
        <v>144.25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7">
        <f>ROUND(8,2)</f>
        <v>8</v>
      </c>
      <c r="BX17" s="6"/>
      <c r="BY17" s="6"/>
      <c r="BZ17" s="6"/>
      <c r="CA17" s="6"/>
      <c r="CB17" s="6"/>
      <c r="CC17" s="6"/>
      <c r="CD17" s="6"/>
      <c r="CE17" s="6"/>
      <c r="CF17" s="6"/>
      <c r="CG17" s="7">
        <f>ROUND(47,2)</f>
        <v>47</v>
      </c>
      <c r="CH17" s="7">
        <f>ROUND(56,2)</f>
        <v>56</v>
      </c>
      <c r="CI17" s="7">
        <f>ROUND(32,2)</f>
        <v>32</v>
      </c>
      <c r="CJ17" s="6"/>
      <c r="CK17" s="6"/>
      <c r="CL17" s="7">
        <f>ROUND(32,2)</f>
        <v>32</v>
      </c>
      <c r="CM17" s="6"/>
      <c r="CN17" s="7">
        <f>ROUND(40,2)</f>
        <v>40</v>
      </c>
      <c r="CO17" s="6"/>
      <c r="CP17" s="6"/>
      <c r="CQ17" s="7">
        <f>ROUND(2298.75,2)</f>
        <v>2298.75</v>
      </c>
      <c r="CR17" s="7">
        <f>ROUND(35958.3699999999,2)</f>
        <v>35958.370000000003</v>
      </c>
      <c r="CS17" s="7">
        <f>ROUND(4011.62999999999,2)</f>
        <v>4011.63</v>
      </c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7">
        <f>ROUND(148.32,2)</f>
        <v>148.32</v>
      </c>
      <c r="FH17" s="6"/>
      <c r="FI17" s="6"/>
      <c r="FJ17" s="7">
        <f>ROUND(2029.84,2)</f>
        <v>2029.84</v>
      </c>
      <c r="FK17" s="6"/>
      <c r="FL17" s="6"/>
      <c r="FM17" s="7">
        <f>ROUND(871.379999999999,2)</f>
        <v>871.38</v>
      </c>
      <c r="FN17" s="7">
        <f>ROUND(1038.23999999999,2)</f>
        <v>1038.24</v>
      </c>
      <c r="FO17" s="7">
        <f>ROUND(593.28,2)</f>
        <v>593.28</v>
      </c>
      <c r="FP17" s="6"/>
      <c r="FQ17" s="6"/>
      <c r="FR17" s="6"/>
      <c r="FS17" s="7">
        <f>ROUND(593.28,2)</f>
        <v>593.28</v>
      </c>
      <c r="FT17" s="6"/>
      <c r="FU17" s="6"/>
      <c r="FV17" s="7">
        <f>ROUND(741.599999999999,2)</f>
        <v>741.6</v>
      </c>
      <c r="FW17" s="6"/>
      <c r="FX17" s="6"/>
      <c r="FY17" s="7">
        <f>ROUND(45985.94,2)</f>
        <v>45985.94</v>
      </c>
    </row>
    <row r="18" spans="1:181" ht="26.4" x14ac:dyDescent="0.3">
      <c r="A18" s="4" t="s">
        <v>771</v>
      </c>
      <c r="B18" s="5"/>
      <c r="C18" s="5" t="s">
        <v>201</v>
      </c>
      <c r="D18" s="5" t="s">
        <v>772</v>
      </c>
      <c r="E18" s="5" t="s">
        <v>0</v>
      </c>
      <c r="F18" s="5" t="s">
        <v>0</v>
      </c>
      <c r="G18" s="5" t="s">
        <v>203</v>
      </c>
      <c r="H18" s="8">
        <f>ROUND(18.18,2)</f>
        <v>18.18</v>
      </c>
      <c r="I18" s="7">
        <f>ROUND(32605.18,2)</f>
        <v>32605.18</v>
      </c>
      <c r="J18" s="7">
        <f>ROUND(1465.75,2)</f>
        <v>1465.75</v>
      </c>
      <c r="K18" s="7">
        <f>ROUND(37,2)</f>
        <v>37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7">
        <f>ROUND(8,2)</f>
        <v>8</v>
      </c>
      <c r="BX18" s="6"/>
      <c r="BY18" s="6"/>
      <c r="BZ18" s="6"/>
      <c r="CA18" s="6"/>
      <c r="CB18" s="6"/>
      <c r="CC18" s="6"/>
      <c r="CD18" s="6"/>
      <c r="CE18" s="6"/>
      <c r="CF18" s="6"/>
      <c r="CG18" s="7">
        <f>ROUND(47,2)</f>
        <v>47</v>
      </c>
      <c r="CH18" s="7">
        <f>ROUND(40,2)</f>
        <v>40</v>
      </c>
      <c r="CI18" s="7">
        <f>ROUND(32,2)</f>
        <v>32</v>
      </c>
      <c r="CJ18" s="6"/>
      <c r="CK18" s="6"/>
      <c r="CL18" s="7">
        <f>ROUND(16,2)</f>
        <v>16</v>
      </c>
      <c r="CM18" s="6"/>
      <c r="CN18" s="7">
        <f>ROUND(40,2)</f>
        <v>40</v>
      </c>
      <c r="CO18" s="6"/>
      <c r="CP18" s="6"/>
      <c r="CQ18" s="7">
        <f>ROUND(1685.75,2)</f>
        <v>1685.75</v>
      </c>
      <c r="CR18" s="7">
        <f>ROUND(26647.38,2)</f>
        <v>26647.38</v>
      </c>
      <c r="CS18" s="7">
        <f>ROUND(1009,2)</f>
        <v>1009</v>
      </c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7">
        <f>ROUND(458.33,2)</f>
        <v>458.33</v>
      </c>
      <c r="EX18" s="6"/>
      <c r="EY18" s="6"/>
      <c r="EZ18" s="6"/>
      <c r="FA18" s="6"/>
      <c r="FB18" s="6"/>
      <c r="FC18" s="6"/>
      <c r="FD18" s="6"/>
      <c r="FE18" s="6"/>
      <c r="FF18" s="6"/>
      <c r="FG18" s="7">
        <f>ROUND(145.44,2)</f>
        <v>145.44</v>
      </c>
      <c r="FH18" s="6"/>
      <c r="FI18" s="6"/>
      <c r="FJ18" s="7">
        <f>ROUND(1163.52,2)</f>
        <v>1163.52</v>
      </c>
      <c r="FK18" s="6"/>
      <c r="FL18" s="6"/>
      <c r="FM18" s="7">
        <f>ROUND(854.469999999999,2)</f>
        <v>854.47</v>
      </c>
      <c r="FN18" s="7">
        <f>ROUND(727.2,2)</f>
        <v>727.2</v>
      </c>
      <c r="FO18" s="7">
        <f>ROUND(581.76,2)</f>
        <v>581.76</v>
      </c>
      <c r="FP18" s="6"/>
      <c r="FQ18" s="6"/>
      <c r="FR18" s="6"/>
      <c r="FS18" s="7">
        <f>ROUND(290.88,2)</f>
        <v>290.88</v>
      </c>
      <c r="FT18" s="6"/>
      <c r="FU18" s="6"/>
      <c r="FV18" s="7">
        <f>ROUND(727.2,2)</f>
        <v>727.2</v>
      </c>
      <c r="FW18" s="6"/>
      <c r="FX18" s="6"/>
      <c r="FY18" s="7">
        <f>ROUND(32605.18,2)</f>
        <v>32605.18</v>
      </c>
    </row>
    <row r="19" spans="1:181" ht="26.4" x14ac:dyDescent="0.3">
      <c r="A19" s="4" t="s">
        <v>775</v>
      </c>
      <c r="B19" s="5"/>
      <c r="C19" s="5" t="s">
        <v>201</v>
      </c>
      <c r="D19" s="5" t="s">
        <v>428</v>
      </c>
      <c r="E19" s="5" t="s">
        <v>0</v>
      </c>
      <c r="F19" s="5" t="s">
        <v>0</v>
      </c>
      <c r="G19" s="5" t="s">
        <v>203</v>
      </c>
      <c r="H19" s="8">
        <f>ROUND(18,2)</f>
        <v>18</v>
      </c>
      <c r="I19" s="7">
        <f>ROUND(14879.25,2)</f>
        <v>14879.25</v>
      </c>
      <c r="J19" s="7">
        <f>ROUND(777,2)</f>
        <v>777</v>
      </c>
      <c r="K19" s="7">
        <f>ROUND(14.75,2)</f>
        <v>14.75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7">
        <f>ROUND(15,2)</f>
        <v>15</v>
      </c>
      <c r="CI19" s="6"/>
      <c r="CJ19" s="6"/>
      <c r="CK19" s="6"/>
      <c r="CL19" s="6"/>
      <c r="CM19" s="6"/>
      <c r="CN19" s="6"/>
      <c r="CO19" s="6"/>
      <c r="CP19" s="6"/>
      <c r="CQ19" s="7">
        <f>ROUND(806.75,2)</f>
        <v>806.75</v>
      </c>
      <c r="CR19" s="7">
        <f>ROUND(13986,2)</f>
        <v>13986</v>
      </c>
      <c r="CS19" s="7">
        <f>ROUND(398.25,2)</f>
        <v>398.25</v>
      </c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7">
        <f>ROUND(225,2)</f>
        <v>225</v>
      </c>
      <c r="FK19" s="6"/>
      <c r="FL19" s="6"/>
      <c r="FM19" s="6"/>
      <c r="FN19" s="7">
        <f>ROUND(270,2)</f>
        <v>270</v>
      </c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7">
        <f>ROUND(14879.25,2)</f>
        <v>14879.25</v>
      </c>
    </row>
    <row r="20" spans="1:181" x14ac:dyDescent="0.3">
      <c r="A20" s="4" t="s">
        <v>799</v>
      </c>
      <c r="B20" s="5"/>
      <c r="C20" s="5" t="s">
        <v>201</v>
      </c>
      <c r="D20" s="5" t="s">
        <v>800</v>
      </c>
      <c r="E20" s="5" t="s">
        <v>801</v>
      </c>
      <c r="F20" s="5" t="s">
        <v>0</v>
      </c>
      <c r="G20" s="5" t="s">
        <v>265</v>
      </c>
      <c r="H20" s="8">
        <f>ROUND(17,2)</f>
        <v>17</v>
      </c>
      <c r="I20" s="7">
        <f>ROUND(5044.75,2)</f>
        <v>5044.75</v>
      </c>
      <c r="J20" s="7">
        <f>ROUND(256.75,2)</f>
        <v>256.75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7">
        <f>ROUND(10,2)</f>
        <v>10</v>
      </c>
      <c r="CI20" s="7">
        <f>ROUND(5,2)</f>
        <v>5</v>
      </c>
      <c r="CJ20" s="6"/>
      <c r="CK20" s="6"/>
      <c r="CL20" s="6"/>
      <c r="CM20" s="6"/>
      <c r="CN20" s="6"/>
      <c r="CO20" s="6"/>
      <c r="CP20" s="7">
        <f>ROUND(25,2)</f>
        <v>25</v>
      </c>
      <c r="CQ20" s="7">
        <f>ROUND(296.75,2)</f>
        <v>296.75</v>
      </c>
      <c r="CR20" s="7">
        <f>ROUND(4364.75,2)</f>
        <v>4364.75</v>
      </c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7">
        <f>ROUND(170,2)</f>
        <v>170</v>
      </c>
      <c r="FO20" s="7">
        <f>ROUND(85,2)</f>
        <v>85</v>
      </c>
      <c r="FP20" s="6"/>
      <c r="FQ20" s="6"/>
      <c r="FR20" s="6"/>
      <c r="FS20" s="6"/>
      <c r="FT20" s="6"/>
      <c r="FU20" s="6"/>
      <c r="FV20" s="6"/>
      <c r="FW20" s="6"/>
      <c r="FX20" s="7">
        <f>ROUND(425,2)</f>
        <v>425</v>
      </c>
      <c r="FY20" s="7">
        <f>ROUND(5044.75,2)</f>
        <v>5044.75</v>
      </c>
    </row>
    <row r="21" spans="1:181" ht="26.4" x14ac:dyDescent="0.3">
      <c r="A21" s="4" t="s">
        <v>843</v>
      </c>
      <c r="B21" s="5"/>
      <c r="C21" s="5" t="s">
        <v>201</v>
      </c>
      <c r="D21" s="5" t="s">
        <v>202</v>
      </c>
      <c r="E21" s="5" t="s">
        <v>0</v>
      </c>
      <c r="F21" s="5" t="s">
        <v>0</v>
      </c>
      <c r="G21" s="5" t="s">
        <v>203</v>
      </c>
      <c r="H21" s="8">
        <f>ROUND(18,2)</f>
        <v>18</v>
      </c>
      <c r="I21" s="7">
        <f>ROUND(7877.25,2)</f>
        <v>7877.25</v>
      </c>
      <c r="J21" s="7">
        <f>ROUND(407.25,2)</f>
        <v>407.25</v>
      </c>
      <c r="K21" s="7">
        <f>ROUND(1.25,2)</f>
        <v>1.25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7">
        <f>ROUND(8,2)</f>
        <v>8</v>
      </c>
      <c r="CH21" s="7">
        <f>ROUND(8,2)</f>
        <v>8</v>
      </c>
      <c r="CI21" s="6"/>
      <c r="CJ21" s="6"/>
      <c r="CK21" s="6"/>
      <c r="CL21" s="6"/>
      <c r="CM21" s="6"/>
      <c r="CN21" s="6"/>
      <c r="CO21" s="6"/>
      <c r="CP21" s="6"/>
      <c r="CQ21" s="7">
        <f>ROUND(424.5,2)</f>
        <v>424.5</v>
      </c>
      <c r="CR21" s="7">
        <f>ROUND(7330.5,2)</f>
        <v>7330.5</v>
      </c>
      <c r="CS21" s="7">
        <f>ROUND(33.75,2)</f>
        <v>33.75</v>
      </c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7">
        <f>ROUND(225,2)</f>
        <v>225</v>
      </c>
      <c r="FK21" s="6"/>
      <c r="FL21" s="6"/>
      <c r="FM21" s="7">
        <f>ROUND(144,2)</f>
        <v>144</v>
      </c>
      <c r="FN21" s="7">
        <f>ROUND(144,2)</f>
        <v>144</v>
      </c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7">
        <f>ROUND(7877.25,2)</f>
        <v>7877.25</v>
      </c>
    </row>
    <row r="22" spans="1:181" ht="26.4" x14ac:dyDescent="0.3">
      <c r="A22" s="4" t="s">
        <v>847</v>
      </c>
      <c r="B22" s="5"/>
      <c r="C22" s="5" t="s">
        <v>201</v>
      </c>
      <c r="D22" s="5" t="s">
        <v>609</v>
      </c>
      <c r="E22" s="5" t="s">
        <v>848</v>
      </c>
      <c r="F22" s="5" t="s">
        <v>0</v>
      </c>
      <c r="G22" s="5" t="s">
        <v>203</v>
      </c>
      <c r="H22" s="8">
        <f>ROUND(18,2)</f>
        <v>18</v>
      </c>
      <c r="I22" s="7">
        <f>ROUND(24736.5,2)</f>
        <v>24736.5</v>
      </c>
      <c r="J22" s="7">
        <f>ROUND(1114.25,2)</f>
        <v>1114.25</v>
      </c>
      <c r="K22" s="7">
        <f>ROUND(59.5,2)</f>
        <v>59.5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7">
        <f>ROUND(-2.25,2)</f>
        <v>-2.25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7">
        <f>ROUND(16,2)</f>
        <v>16</v>
      </c>
      <c r="BX22" s="6"/>
      <c r="BY22" s="6"/>
      <c r="BZ22" s="6"/>
      <c r="CA22" s="6"/>
      <c r="CB22" s="6"/>
      <c r="CC22" s="6"/>
      <c r="CD22" s="6"/>
      <c r="CE22" s="6"/>
      <c r="CF22" s="7">
        <f>ROUND(40,2)</f>
        <v>40</v>
      </c>
      <c r="CG22" s="7">
        <f>ROUND(25,2)</f>
        <v>25</v>
      </c>
      <c r="CH22" s="7">
        <f>ROUND(24,2)</f>
        <v>24</v>
      </c>
      <c r="CI22" s="7">
        <f>ROUND(16,2)</f>
        <v>16</v>
      </c>
      <c r="CJ22" s="6"/>
      <c r="CK22" s="6"/>
      <c r="CL22" s="7">
        <f>ROUND(12,2)</f>
        <v>12</v>
      </c>
      <c r="CM22" s="6"/>
      <c r="CN22" s="7">
        <f>ROUND(40,2)</f>
        <v>40</v>
      </c>
      <c r="CO22" s="6"/>
      <c r="CP22" s="6"/>
      <c r="CQ22" s="7">
        <f>ROUND(1344.5,2)</f>
        <v>1344.5</v>
      </c>
      <c r="CR22" s="7">
        <f>ROUND(20056.5,2)</f>
        <v>20056.5</v>
      </c>
      <c r="CS22" s="7">
        <f>ROUND(1606.5,2)</f>
        <v>1606.5</v>
      </c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7">
        <f>ROUND(-40.5,2)</f>
        <v>-40.5</v>
      </c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7">
        <f>ROUND(288,2)</f>
        <v>288</v>
      </c>
      <c r="FH22" s="6"/>
      <c r="FI22" s="6"/>
      <c r="FJ22" s="6"/>
      <c r="FK22" s="6"/>
      <c r="FL22" s="7">
        <f>ROUND(720,2)</f>
        <v>720</v>
      </c>
      <c r="FM22" s="7">
        <f>ROUND(450,2)</f>
        <v>450</v>
      </c>
      <c r="FN22" s="7">
        <f>ROUND(432,2)</f>
        <v>432</v>
      </c>
      <c r="FO22" s="7">
        <f>ROUND(288,2)</f>
        <v>288</v>
      </c>
      <c r="FP22" s="6"/>
      <c r="FQ22" s="6"/>
      <c r="FR22" s="6"/>
      <c r="FS22" s="7">
        <f>ROUND(216,2)</f>
        <v>216</v>
      </c>
      <c r="FT22" s="6"/>
      <c r="FU22" s="6"/>
      <c r="FV22" s="7">
        <f>ROUND(720,2)</f>
        <v>720</v>
      </c>
      <c r="FW22" s="6"/>
      <c r="FX22" s="6"/>
      <c r="FY22" s="7">
        <f>ROUND(24736.5,2)</f>
        <v>24736.5</v>
      </c>
    </row>
    <row r="23" spans="1:181" ht="26.4" x14ac:dyDescent="0.3">
      <c r="A23" s="4" t="s">
        <v>862</v>
      </c>
      <c r="B23" s="5"/>
      <c r="C23" s="5" t="s">
        <v>201</v>
      </c>
      <c r="D23" s="5" t="s">
        <v>863</v>
      </c>
      <c r="E23" s="5" t="s">
        <v>0</v>
      </c>
      <c r="F23" s="5" t="s">
        <v>0</v>
      </c>
      <c r="G23" s="5" t="s">
        <v>864</v>
      </c>
      <c r="H23" s="8">
        <f>ROUND(1465.2,2)</f>
        <v>1465.2</v>
      </c>
      <c r="I23" s="7">
        <f>ROUND(76684.4199999999,2)</f>
        <v>76684.42</v>
      </c>
      <c r="J23" s="7">
        <f>ROUND(1673,2)</f>
        <v>1673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7">
        <f>ROUND(-8,2)</f>
        <v>-8</v>
      </c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7">
        <f>ROUND(8,2)</f>
        <v>8</v>
      </c>
      <c r="BX23" s="6"/>
      <c r="BY23" s="6"/>
      <c r="BZ23" s="6"/>
      <c r="CA23" s="6"/>
      <c r="CB23" s="6"/>
      <c r="CC23" s="6"/>
      <c r="CD23" s="6"/>
      <c r="CE23" s="6"/>
      <c r="CF23" s="6"/>
      <c r="CG23" s="7">
        <f>ROUND(31,2)</f>
        <v>31</v>
      </c>
      <c r="CH23" s="7">
        <f>ROUND(56,2)</f>
        <v>56</v>
      </c>
      <c r="CI23" s="7">
        <f>ROUND(32,2)</f>
        <v>32</v>
      </c>
      <c r="CJ23" s="6"/>
      <c r="CK23" s="6"/>
      <c r="CL23" s="6"/>
      <c r="CM23" s="6"/>
      <c r="CN23" s="7">
        <f>ROUND(128,2)</f>
        <v>128</v>
      </c>
      <c r="CO23" s="6"/>
      <c r="CP23" s="6"/>
      <c r="CQ23" s="7">
        <f>ROUND(1920,2)</f>
        <v>1920</v>
      </c>
      <c r="CR23" s="7">
        <f>ROUND(70007.5299999999,2)</f>
        <v>70007.53</v>
      </c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7">
        <f>ROUND(-293.04,2)</f>
        <v>-293.04000000000002</v>
      </c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7">
        <f>ROUND(3516.48,2)</f>
        <v>3516.48</v>
      </c>
      <c r="FK23" s="6"/>
      <c r="FL23" s="6"/>
      <c r="FM23" s="7">
        <f>ROUND(842.49,2)</f>
        <v>842.49</v>
      </c>
      <c r="FN23" s="7">
        <f>ROUND(879.12,2)</f>
        <v>879.12</v>
      </c>
      <c r="FO23" s="6"/>
      <c r="FP23" s="6"/>
      <c r="FQ23" s="6"/>
      <c r="FR23" s="6"/>
      <c r="FS23" s="6"/>
      <c r="FT23" s="6"/>
      <c r="FU23" s="6"/>
      <c r="FV23" s="7">
        <f>ROUND(1731.84,2)</f>
        <v>1731.84</v>
      </c>
      <c r="FW23" s="6"/>
      <c r="FX23" s="6"/>
      <c r="FY23" s="7">
        <f>ROUND(76684.4199999999,2)</f>
        <v>76684.42</v>
      </c>
    </row>
    <row r="24" spans="1:181" x14ac:dyDescent="0.3">
      <c r="A24" s="4" t="s">
        <v>865</v>
      </c>
      <c r="B24" s="5"/>
      <c r="C24" s="5" t="s">
        <v>201</v>
      </c>
      <c r="D24" s="5" t="s">
        <v>866</v>
      </c>
      <c r="E24" s="5" t="s">
        <v>867</v>
      </c>
      <c r="F24" s="5" t="s">
        <v>0</v>
      </c>
      <c r="G24" s="5" t="s">
        <v>265</v>
      </c>
      <c r="H24" s="8">
        <f>ROUND(16.9744,2)</f>
        <v>16.97</v>
      </c>
      <c r="I24" s="7">
        <f>ROUND(271.6,2)</f>
        <v>271.60000000000002</v>
      </c>
      <c r="J24" s="7">
        <f>ROUND(16,2)</f>
        <v>16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7">
        <f>ROUND(16,2)</f>
        <v>16</v>
      </c>
      <c r="CR24" s="7">
        <f>ROUND(271.6,2)</f>
        <v>271.60000000000002</v>
      </c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7">
        <f>ROUND(271.6,2)</f>
        <v>271.60000000000002</v>
      </c>
    </row>
    <row r="25" spans="1:181" ht="26.4" x14ac:dyDescent="0.3">
      <c r="A25" s="4" t="s">
        <v>1017</v>
      </c>
      <c r="B25" s="5"/>
      <c r="C25" s="5" t="s">
        <v>201</v>
      </c>
      <c r="D25" s="5" t="s">
        <v>1018</v>
      </c>
      <c r="E25" s="5" t="s">
        <v>0</v>
      </c>
      <c r="F25" s="5" t="s">
        <v>0</v>
      </c>
      <c r="G25" s="5" t="s">
        <v>203</v>
      </c>
      <c r="H25" s="8">
        <f>ROUND(19.673,2)</f>
        <v>19.670000000000002</v>
      </c>
      <c r="I25" s="7">
        <f>ROUND(48761.6699999999,2)</f>
        <v>48761.67</v>
      </c>
      <c r="J25" s="7">
        <f>ROUND(1895.5,2)</f>
        <v>1895.5</v>
      </c>
      <c r="K25" s="7">
        <f>ROUND(159.75,2)</f>
        <v>159.75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7">
        <f>ROUND(16,2)</f>
        <v>16</v>
      </c>
      <c r="BX25" s="6"/>
      <c r="BY25" s="6"/>
      <c r="BZ25" s="6"/>
      <c r="CA25" s="6"/>
      <c r="CB25" s="6"/>
      <c r="CC25" s="6"/>
      <c r="CD25" s="6"/>
      <c r="CE25" s="6"/>
      <c r="CF25" s="6"/>
      <c r="CG25" s="7">
        <f>ROUND(40,2)</f>
        <v>40</v>
      </c>
      <c r="CH25" s="7">
        <f>ROUND(40,2)</f>
        <v>40</v>
      </c>
      <c r="CI25" s="7">
        <f>ROUND(32,2)</f>
        <v>32</v>
      </c>
      <c r="CJ25" s="7">
        <f>ROUND(21,2)</f>
        <v>21</v>
      </c>
      <c r="CK25" s="6"/>
      <c r="CL25" s="7">
        <f>ROUND(8,2)</f>
        <v>8</v>
      </c>
      <c r="CM25" s="6"/>
      <c r="CN25" s="7">
        <f>ROUND(80,2)</f>
        <v>80</v>
      </c>
      <c r="CO25" s="6"/>
      <c r="CP25" s="6"/>
      <c r="CQ25" s="7">
        <f>ROUND(2292.25,2)</f>
        <v>2292.25</v>
      </c>
      <c r="CR25" s="7">
        <f>ROUND(37290.2399999999,2)</f>
        <v>37290.239999999998</v>
      </c>
      <c r="CS25" s="7">
        <f>ROUND(4714.13,2)</f>
        <v>4714.13</v>
      </c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7">
        <f>ROUND(314.76,2)</f>
        <v>314.76</v>
      </c>
      <c r="FH25" s="6"/>
      <c r="FI25" s="6"/>
      <c r="FJ25" s="7">
        <f>ROUND(1888.32,2)</f>
        <v>1888.32</v>
      </c>
      <c r="FK25" s="6"/>
      <c r="FL25" s="6"/>
      <c r="FM25" s="7">
        <f>ROUND(786.9,2)</f>
        <v>786.9</v>
      </c>
      <c r="FN25" s="7">
        <f>ROUND(786.9,2)</f>
        <v>786.9</v>
      </c>
      <c r="FO25" s="7">
        <f>ROUND(629.52,2)</f>
        <v>629.52</v>
      </c>
      <c r="FP25" s="7">
        <f>ROUND(619.71,2)</f>
        <v>619.71</v>
      </c>
      <c r="FQ25" s="6"/>
      <c r="FR25" s="6"/>
      <c r="FS25" s="7">
        <f>ROUND(157.38,2)</f>
        <v>157.38</v>
      </c>
      <c r="FT25" s="6"/>
      <c r="FU25" s="6"/>
      <c r="FV25" s="7">
        <f>ROUND(1573.81,2)</f>
        <v>1573.81</v>
      </c>
      <c r="FW25" s="6"/>
      <c r="FX25" s="6"/>
      <c r="FY25" s="7">
        <f>ROUND(48761.6699999999,2)</f>
        <v>48761.67</v>
      </c>
    </row>
    <row r="26" spans="1:181" ht="26.4" x14ac:dyDescent="0.3">
      <c r="A26" s="4" t="s">
        <v>319</v>
      </c>
      <c r="B26" s="5"/>
      <c r="C26" s="5" t="s">
        <v>320</v>
      </c>
      <c r="D26" s="5" t="s">
        <v>321</v>
      </c>
      <c r="E26" s="5" t="s">
        <v>255</v>
      </c>
      <c r="F26" s="5" t="s">
        <v>0</v>
      </c>
      <c r="G26" s="5" t="s">
        <v>322</v>
      </c>
      <c r="H26" s="8">
        <f>ROUND(1058.02,2)</f>
        <v>1058.02</v>
      </c>
      <c r="I26" s="7">
        <f>ROUND(47414.1599999999,2)</f>
        <v>47414.16</v>
      </c>
      <c r="J26" s="7">
        <f>ROUND(1309,2)</f>
        <v>1309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7">
        <f>ROUND(-12,2)</f>
        <v>-12</v>
      </c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7">
        <f>ROUND(4,2)</f>
        <v>4</v>
      </c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7">
        <f>ROUND(8,2)</f>
        <v>8</v>
      </c>
      <c r="BX26" s="6"/>
      <c r="BY26" s="6"/>
      <c r="BZ26" s="6"/>
      <c r="CA26" s="6"/>
      <c r="CB26" s="6"/>
      <c r="CC26" s="6"/>
      <c r="CD26" s="6"/>
      <c r="CE26" s="6"/>
      <c r="CF26" s="6"/>
      <c r="CG26" s="7">
        <f>ROUND(31,2)</f>
        <v>31</v>
      </c>
      <c r="CH26" s="7">
        <f>ROUND(40,2)</f>
        <v>40</v>
      </c>
      <c r="CI26" s="7">
        <f>ROUND(24,2)</f>
        <v>24</v>
      </c>
      <c r="CJ26" s="6"/>
      <c r="CK26" s="6"/>
      <c r="CL26" s="7">
        <f>ROUND(112,2)</f>
        <v>112</v>
      </c>
      <c r="CM26" s="6"/>
      <c r="CN26" s="7">
        <f>ROUND(98,2)</f>
        <v>98</v>
      </c>
      <c r="CO26" s="6"/>
      <c r="CP26" s="6"/>
      <c r="CQ26" s="7">
        <f>ROUND(1614,2)</f>
        <v>1614</v>
      </c>
      <c r="CR26" s="7">
        <f>ROUND(44145.8799999999,2)</f>
        <v>44145.88</v>
      </c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7">
        <f>ROUND(-317.4,2)</f>
        <v>-317.39999999999998</v>
      </c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7">
        <f>ROUND(105.8,2)</f>
        <v>105.8</v>
      </c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7">
        <f>ROUND(343.85,2)</f>
        <v>343.85</v>
      </c>
      <c r="FN26" s="7">
        <f>ROUND(211.6,2)</f>
        <v>211.6</v>
      </c>
      <c r="FO26" s="6"/>
      <c r="FP26" s="6"/>
      <c r="FQ26" s="6"/>
      <c r="FR26" s="6"/>
      <c r="FS26" s="7">
        <f>ROUND(2448.32,2)</f>
        <v>2448.3200000000002</v>
      </c>
      <c r="FT26" s="6"/>
      <c r="FU26" s="6"/>
      <c r="FV26" s="7">
        <f>ROUND(476.109999999999,2)</f>
        <v>476.11</v>
      </c>
      <c r="FW26" s="6"/>
      <c r="FX26" s="6"/>
      <c r="FY26" s="7">
        <f>ROUND(47414.1599999999,2)</f>
        <v>47414.16</v>
      </c>
    </row>
    <row r="27" spans="1:181" ht="26.4" x14ac:dyDescent="0.3">
      <c r="A27" s="4" t="s">
        <v>927</v>
      </c>
      <c r="B27" s="5"/>
      <c r="C27" s="5" t="s">
        <v>320</v>
      </c>
      <c r="D27" s="5" t="s">
        <v>928</v>
      </c>
      <c r="E27" s="5" t="s">
        <v>929</v>
      </c>
      <c r="F27" s="5" t="s">
        <v>0</v>
      </c>
      <c r="G27" s="5" t="s">
        <v>864</v>
      </c>
      <c r="H27" s="8">
        <f>ROUND(1786.2,2)</f>
        <v>1786.2</v>
      </c>
      <c r="I27" s="7">
        <f>ROUND(79188.2099999999,2)</f>
        <v>79188.210000000006</v>
      </c>
      <c r="J27" s="7">
        <f>ROUND(1272,2)</f>
        <v>1272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7">
        <f>ROUND(-139,2)</f>
        <v>-139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7">
        <f>ROUND(240,2)</f>
        <v>240</v>
      </c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7">
        <f>ROUND(8,2)</f>
        <v>8</v>
      </c>
      <c r="BX27" s="6"/>
      <c r="BY27" s="6"/>
      <c r="BZ27" s="6"/>
      <c r="CA27" s="6"/>
      <c r="CB27" s="6"/>
      <c r="CC27" s="6"/>
      <c r="CD27" s="6"/>
      <c r="CE27" s="6"/>
      <c r="CF27" s="7">
        <f>ROUND(40,2)</f>
        <v>40</v>
      </c>
      <c r="CG27" s="7">
        <f>ROUND(28.5,2)</f>
        <v>28.5</v>
      </c>
      <c r="CH27" s="7">
        <f>ROUND(32,2)</f>
        <v>32</v>
      </c>
      <c r="CI27" s="7">
        <f>ROUND(28,2)</f>
        <v>28</v>
      </c>
      <c r="CJ27" s="6"/>
      <c r="CK27" s="6"/>
      <c r="CL27" s="6"/>
      <c r="CM27" s="6"/>
      <c r="CN27" s="7">
        <f>ROUND(88,2)</f>
        <v>88</v>
      </c>
      <c r="CO27" s="6"/>
      <c r="CP27" s="6"/>
      <c r="CQ27" s="7">
        <f>ROUND(1597.5,2)</f>
        <v>1597.5</v>
      </c>
      <c r="CR27" s="7">
        <f>ROUND(77044.7599999999,2)</f>
        <v>77044.759999999995</v>
      </c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7">
        <f>ROUND(-6207.04,2)</f>
        <v>-6207.04</v>
      </c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7">
        <f>ROUND(7859.28,2)</f>
        <v>7859.28</v>
      </c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7">
        <f>ROUND(133.97,2)</f>
        <v>133.97</v>
      </c>
      <c r="FN27" s="6"/>
      <c r="FO27" s="6"/>
      <c r="FP27" s="6"/>
      <c r="FQ27" s="6"/>
      <c r="FR27" s="6"/>
      <c r="FS27" s="6"/>
      <c r="FT27" s="6"/>
      <c r="FU27" s="6"/>
      <c r="FV27" s="7">
        <f>ROUND(357.24,2)</f>
        <v>357.24</v>
      </c>
      <c r="FW27" s="6"/>
      <c r="FX27" s="6"/>
      <c r="FY27" s="7">
        <f>ROUND(79188.2099999999,2)</f>
        <v>79188.210000000006</v>
      </c>
    </row>
    <row r="28" spans="1:181" ht="26.4" x14ac:dyDescent="0.3">
      <c r="A28" s="4" t="s">
        <v>280</v>
      </c>
      <c r="B28" s="5"/>
      <c r="C28" s="5" t="s">
        <v>281</v>
      </c>
      <c r="D28" s="5" t="s">
        <v>282</v>
      </c>
      <c r="E28" s="5" t="s">
        <v>0</v>
      </c>
      <c r="F28" s="5" t="s">
        <v>0</v>
      </c>
      <c r="G28" s="5" t="s">
        <v>283</v>
      </c>
      <c r="H28" s="8">
        <f>ROUND(3183,2)</f>
        <v>3183</v>
      </c>
      <c r="I28" s="7">
        <f>ROUND(186339.76,2)</f>
        <v>186339.76</v>
      </c>
      <c r="J28" s="7">
        <f>ROUND(1708,2)</f>
        <v>1708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7">
        <f>ROUND(-16,2)</f>
        <v>-16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7">
        <f>ROUND(8,2)</f>
        <v>8</v>
      </c>
      <c r="BX28" s="6"/>
      <c r="BY28" s="6"/>
      <c r="BZ28" s="6"/>
      <c r="CA28" s="6"/>
      <c r="CB28" s="6"/>
      <c r="CC28" s="6"/>
      <c r="CD28" s="6"/>
      <c r="CE28" s="6"/>
      <c r="CF28" s="6"/>
      <c r="CG28" s="7">
        <f>ROUND(13,2)</f>
        <v>13</v>
      </c>
      <c r="CH28" s="7">
        <f>ROUND(56,2)</f>
        <v>56</v>
      </c>
      <c r="CI28" s="7">
        <f>ROUND(28,2)</f>
        <v>28</v>
      </c>
      <c r="CJ28" s="6"/>
      <c r="CK28" s="6"/>
      <c r="CL28" s="6"/>
      <c r="CM28" s="6"/>
      <c r="CN28" s="7">
        <f>ROUND(140,2)</f>
        <v>140</v>
      </c>
      <c r="CO28" s="6"/>
      <c r="CP28" s="7">
        <f>ROUND(52,2)</f>
        <v>52</v>
      </c>
      <c r="CQ28" s="7">
        <f>ROUND(1989,2)</f>
        <v>1989</v>
      </c>
      <c r="CR28" s="7">
        <f>ROUND(161378.1,2)</f>
        <v>161378.1</v>
      </c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7">
        <f>ROUND(-1273.19999999999,2)</f>
        <v>-1273.2</v>
      </c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7">
        <f>ROUND(6500,2)</f>
        <v>6500</v>
      </c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7">
        <f>ROUND(636.6,2)</f>
        <v>636.6</v>
      </c>
      <c r="FH28" s="6"/>
      <c r="FI28" s="6"/>
      <c r="FJ28" s="7">
        <f>ROUND(7639.2,2)</f>
        <v>7639.2</v>
      </c>
      <c r="FK28" s="6"/>
      <c r="FL28" s="6"/>
      <c r="FM28" s="6"/>
      <c r="FN28" s="7">
        <f>ROUND(1909.8,2)</f>
        <v>1909.8</v>
      </c>
      <c r="FO28" s="7">
        <f>ROUND(2228.1,2)</f>
        <v>2228.1</v>
      </c>
      <c r="FP28" s="6"/>
      <c r="FQ28" s="6"/>
      <c r="FR28" s="6"/>
      <c r="FS28" s="6"/>
      <c r="FT28" s="6"/>
      <c r="FU28" s="6"/>
      <c r="FV28" s="7">
        <f>ROUND(3183,2)</f>
        <v>3183</v>
      </c>
      <c r="FW28" s="6"/>
      <c r="FX28" s="7">
        <f>ROUND(4138.16,2)</f>
        <v>4138.16</v>
      </c>
      <c r="FY28" s="7">
        <f>ROUND(186339.76,2)</f>
        <v>186339.76</v>
      </c>
    </row>
    <row r="29" spans="1:181" x14ac:dyDescent="0.3">
      <c r="A29" s="4" t="s">
        <v>338</v>
      </c>
      <c r="B29" s="5"/>
      <c r="C29" s="5" t="s">
        <v>281</v>
      </c>
      <c r="D29" s="5" t="s">
        <v>339</v>
      </c>
      <c r="E29" s="5" t="s">
        <v>0</v>
      </c>
      <c r="F29" s="5" t="s">
        <v>0</v>
      </c>
      <c r="G29" s="5" t="s">
        <v>340</v>
      </c>
      <c r="H29" s="8">
        <f>ROUND(1199.29,2)</f>
        <v>1199.29</v>
      </c>
      <c r="I29" s="7">
        <f>ROUND(61238.62,2)</f>
        <v>61238.62</v>
      </c>
      <c r="J29" s="7">
        <f>ROUND(1410.5,2)</f>
        <v>1410.5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7">
        <f>ROUND(-16,2)</f>
        <v>-16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7">
        <f>ROUND(8,2)</f>
        <v>8</v>
      </c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7">
        <f>ROUND(8,2)</f>
        <v>8</v>
      </c>
      <c r="BX29" s="6"/>
      <c r="BY29" s="6"/>
      <c r="BZ29" s="6"/>
      <c r="CA29" s="6"/>
      <c r="CB29" s="6"/>
      <c r="CC29" s="6"/>
      <c r="CD29" s="6"/>
      <c r="CE29" s="6"/>
      <c r="CF29" s="6"/>
      <c r="CG29" s="7">
        <f>ROUND(48,2)</f>
        <v>48</v>
      </c>
      <c r="CH29" s="7">
        <f>ROUND(48,2)</f>
        <v>48</v>
      </c>
      <c r="CI29" s="7">
        <f>ROUND(32,2)</f>
        <v>32</v>
      </c>
      <c r="CJ29" s="6"/>
      <c r="CK29" s="6"/>
      <c r="CL29" s="6"/>
      <c r="CM29" s="6"/>
      <c r="CN29" s="7">
        <f>ROUND(176,2)</f>
        <v>176</v>
      </c>
      <c r="CO29" s="6"/>
      <c r="CP29" s="7">
        <f>ROUND(32,2)</f>
        <v>32</v>
      </c>
      <c r="CQ29" s="7">
        <f>ROUND(1746.5,2)</f>
        <v>1746.5</v>
      </c>
      <c r="CR29" s="7">
        <f>ROUND(53083.51,2)</f>
        <v>53083.51</v>
      </c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7">
        <f>ROUND(-479.72,2)</f>
        <v>-479.72</v>
      </c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7">
        <f>ROUND(2638.44,2)</f>
        <v>2638.44</v>
      </c>
      <c r="FK29" s="6"/>
      <c r="FL29" s="6"/>
      <c r="FM29" s="7">
        <f>ROUND(959.44,2)</f>
        <v>959.44</v>
      </c>
      <c r="FN29" s="7">
        <f>ROUND(479.72,2)</f>
        <v>479.72</v>
      </c>
      <c r="FO29" s="7">
        <f>ROUND(239.86,2)</f>
        <v>239.86</v>
      </c>
      <c r="FP29" s="6"/>
      <c r="FQ29" s="6"/>
      <c r="FR29" s="6"/>
      <c r="FS29" s="6"/>
      <c r="FT29" s="6"/>
      <c r="FU29" s="6"/>
      <c r="FV29" s="7">
        <f>ROUND(3358.00999999999,2)</f>
        <v>3358.01</v>
      </c>
      <c r="FW29" s="6"/>
      <c r="FX29" s="7">
        <f>ROUND(959.36,2)</f>
        <v>959.36</v>
      </c>
      <c r="FY29" s="7">
        <f>ROUND(61238.62,2)</f>
        <v>61238.62</v>
      </c>
    </row>
    <row r="30" spans="1:181" x14ac:dyDescent="0.3">
      <c r="A30" s="4" t="s">
        <v>511</v>
      </c>
      <c r="B30" s="5"/>
      <c r="C30" s="5" t="s">
        <v>281</v>
      </c>
      <c r="D30" s="5" t="s">
        <v>512</v>
      </c>
      <c r="E30" s="5" t="s">
        <v>0</v>
      </c>
      <c r="F30" s="5" t="s">
        <v>0</v>
      </c>
      <c r="G30" s="5" t="s">
        <v>513</v>
      </c>
      <c r="H30" s="8">
        <f>ROUND(3530.77,2)</f>
        <v>3530.77</v>
      </c>
      <c r="I30" s="7">
        <f>ROUND(195604.659999999,2)</f>
        <v>195604.66</v>
      </c>
      <c r="J30" s="7">
        <f>ROUND(1664,2)</f>
        <v>1664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7">
        <f>ROUND(-8,2)</f>
        <v>-8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7">
        <f>ROUND(56,2)</f>
        <v>56</v>
      </c>
      <c r="CI30" s="7">
        <f>ROUND(32,2)</f>
        <v>32</v>
      </c>
      <c r="CJ30" s="6"/>
      <c r="CK30" s="6"/>
      <c r="CL30" s="6"/>
      <c r="CM30" s="6"/>
      <c r="CN30" s="7">
        <f>ROUND(120,2)</f>
        <v>120</v>
      </c>
      <c r="CO30" s="6"/>
      <c r="CP30" s="6"/>
      <c r="CQ30" s="7">
        <f>ROUND(1864,2)</f>
        <v>1864</v>
      </c>
      <c r="CR30" s="7">
        <f>ROUND(178656.979999999,2)</f>
        <v>178656.98</v>
      </c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7">
        <f>ROUND(-706.15,2)</f>
        <v>-706.15</v>
      </c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7">
        <f>ROUND(8473.85,2)</f>
        <v>8473.85</v>
      </c>
      <c r="FK30" s="6"/>
      <c r="FL30" s="6"/>
      <c r="FM30" s="6"/>
      <c r="FN30" s="7">
        <f>ROUND(2118.45,2)</f>
        <v>2118.4499999999998</v>
      </c>
      <c r="FO30" s="7">
        <f>ROUND(2824.61,2)</f>
        <v>2824.61</v>
      </c>
      <c r="FP30" s="6"/>
      <c r="FQ30" s="6"/>
      <c r="FR30" s="6"/>
      <c r="FS30" s="6"/>
      <c r="FT30" s="6"/>
      <c r="FU30" s="6"/>
      <c r="FV30" s="7">
        <f>ROUND(4236.92,2)</f>
        <v>4236.92</v>
      </c>
      <c r="FW30" s="6"/>
      <c r="FX30" s="6"/>
      <c r="FY30" s="7">
        <f>ROUND(195604.659999999,2)</f>
        <v>195604.66</v>
      </c>
    </row>
    <row r="31" spans="1:181" x14ac:dyDescent="0.3">
      <c r="A31" s="4" t="s">
        <v>797</v>
      </c>
      <c r="B31" s="5"/>
      <c r="C31" s="5" t="s">
        <v>281</v>
      </c>
      <c r="D31" s="5" t="s">
        <v>798</v>
      </c>
      <c r="E31" s="5" t="s">
        <v>0</v>
      </c>
      <c r="F31" s="5" t="s">
        <v>0</v>
      </c>
      <c r="G31" s="5" t="s">
        <v>340</v>
      </c>
      <c r="H31" s="8">
        <f>ROUND(1353,2)</f>
        <v>1353</v>
      </c>
      <c r="I31" s="7">
        <f>ROUND(74956.2,2)</f>
        <v>74956.2</v>
      </c>
      <c r="J31" s="7">
        <f>ROUND(1692,2)</f>
        <v>1692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7">
        <f>ROUND(-8,2)</f>
        <v>-8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7">
        <f>ROUND(8,2)</f>
        <v>8</v>
      </c>
      <c r="BX31" s="6"/>
      <c r="BY31" s="6"/>
      <c r="BZ31" s="6"/>
      <c r="CA31" s="6"/>
      <c r="CB31" s="6"/>
      <c r="CC31" s="6"/>
      <c r="CD31" s="6"/>
      <c r="CE31" s="6"/>
      <c r="CF31" s="6"/>
      <c r="CG31" s="7">
        <f>ROUND(8,2)</f>
        <v>8</v>
      </c>
      <c r="CH31" s="7">
        <f>ROUND(56,2)</f>
        <v>56</v>
      </c>
      <c r="CI31" s="7">
        <f>ROUND(32,2)</f>
        <v>32</v>
      </c>
      <c r="CJ31" s="6"/>
      <c r="CK31" s="6"/>
      <c r="CL31" s="6"/>
      <c r="CM31" s="6"/>
      <c r="CN31" s="7">
        <f>ROUND(136,2)</f>
        <v>136</v>
      </c>
      <c r="CO31" s="6"/>
      <c r="CP31" s="6"/>
      <c r="CQ31" s="7">
        <f>ROUND(1924,2)</f>
        <v>1924</v>
      </c>
      <c r="CR31" s="7">
        <f>ROUND(69408.9,2)</f>
        <v>69408.899999999994</v>
      </c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7">
        <f>ROUND(-270.6,2)</f>
        <v>-270.60000000000002</v>
      </c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7">
        <f>ROUND(135.3,2)</f>
        <v>135.30000000000001</v>
      </c>
      <c r="FH31" s="6"/>
      <c r="FI31" s="6"/>
      <c r="FJ31" s="7">
        <f>ROUND(3247.2,2)</f>
        <v>3247.2</v>
      </c>
      <c r="FK31" s="6"/>
      <c r="FL31" s="6"/>
      <c r="FM31" s="7">
        <f>ROUND(270.6,2)</f>
        <v>270.60000000000002</v>
      </c>
      <c r="FN31" s="7">
        <f>ROUND(811.8,2)</f>
        <v>811.8</v>
      </c>
      <c r="FO31" s="6"/>
      <c r="FP31" s="6"/>
      <c r="FQ31" s="6"/>
      <c r="FR31" s="6"/>
      <c r="FS31" s="6"/>
      <c r="FT31" s="6"/>
      <c r="FU31" s="6"/>
      <c r="FV31" s="7">
        <f>ROUND(1353,2)</f>
        <v>1353</v>
      </c>
      <c r="FW31" s="6"/>
      <c r="FX31" s="6"/>
      <c r="FY31" s="7">
        <f>ROUND(74956.2,2)</f>
        <v>74956.2</v>
      </c>
    </row>
    <row r="32" spans="1:181" ht="26.4" x14ac:dyDescent="0.3">
      <c r="A32" s="4" t="s">
        <v>310</v>
      </c>
      <c r="B32" s="5"/>
      <c r="C32" s="5" t="s">
        <v>311</v>
      </c>
      <c r="D32" s="5" t="s">
        <v>268</v>
      </c>
      <c r="E32" s="5" t="s">
        <v>0</v>
      </c>
      <c r="F32" s="5" t="s">
        <v>0</v>
      </c>
      <c r="G32" s="5" t="s">
        <v>312</v>
      </c>
      <c r="H32" s="8">
        <f>ROUND(18.5,2)</f>
        <v>18.5</v>
      </c>
      <c r="I32" s="7">
        <f>ROUND(30518.08,2)</f>
        <v>30518.080000000002</v>
      </c>
      <c r="J32" s="7">
        <f>ROUND(1159.5,2)</f>
        <v>1159.5</v>
      </c>
      <c r="K32" s="7">
        <f>ROUND(262.75,2)</f>
        <v>262.75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7">
        <f>ROUND(40,2)</f>
        <v>40</v>
      </c>
      <c r="CH32" s="7">
        <f>ROUND(24,2)</f>
        <v>24</v>
      </c>
      <c r="CI32" s="6"/>
      <c r="CJ32" s="6"/>
      <c r="CK32" s="6"/>
      <c r="CL32" s="6"/>
      <c r="CM32" s="6"/>
      <c r="CN32" s="7">
        <f>ROUND(16,2)</f>
        <v>16</v>
      </c>
      <c r="CO32" s="6"/>
      <c r="CP32" s="6"/>
      <c r="CQ32" s="7">
        <f>ROUND(1502.25,2)</f>
        <v>1502.25</v>
      </c>
      <c r="CR32" s="7">
        <f>ROUND(21450.75,2)</f>
        <v>21450.75</v>
      </c>
      <c r="CS32" s="7">
        <f>ROUND(7291.33,2)</f>
        <v>7291.33</v>
      </c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7">
        <f>ROUND(296,2)</f>
        <v>296</v>
      </c>
      <c r="FK32" s="6"/>
      <c r="FL32" s="6"/>
      <c r="FM32" s="7">
        <f>ROUND(740,2)</f>
        <v>740</v>
      </c>
      <c r="FN32" s="7">
        <f>ROUND(444,2)</f>
        <v>444</v>
      </c>
      <c r="FO32" s="6"/>
      <c r="FP32" s="6"/>
      <c r="FQ32" s="6"/>
      <c r="FR32" s="6"/>
      <c r="FS32" s="6"/>
      <c r="FT32" s="6"/>
      <c r="FU32" s="6"/>
      <c r="FV32" s="7">
        <f>ROUND(296,2)</f>
        <v>296</v>
      </c>
      <c r="FW32" s="6"/>
      <c r="FX32" s="6"/>
      <c r="FY32" s="7">
        <f>ROUND(30518.08,2)</f>
        <v>30518.080000000002</v>
      </c>
    </row>
    <row r="33" spans="1:181" ht="26.4" x14ac:dyDescent="0.3">
      <c r="A33" s="4" t="s">
        <v>316</v>
      </c>
      <c r="B33" s="5"/>
      <c r="C33" s="5" t="s">
        <v>311</v>
      </c>
      <c r="D33" s="5" t="s">
        <v>317</v>
      </c>
      <c r="E33" s="5" t="s">
        <v>0</v>
      </c>
      <c r="F33" s="5" t="s">
        <v>0</v>
      </c>
      <c r="G33" s="5" t="s">
        <v>318</v>
      </c>
      <c r="H33" s="8">
        <f>ROUND(28.84,2)</f>
        <v>28.84</v>
      </c>
      <c r="I33" s="7">
        <f>ROUND(36433.62,2)</f>
        <v>36433.620000000003</v>
      </c>
      <c r="J33" s="7">
        <f>ROUND(816,2)</f>
        <v>816</v>
      </c>
      <c r="K33" s="7">
        <f>ROUND(269,2)</f>
        <v>269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7">
        <f>ROUND(20,2)</f>
        <v>20</v>
      </c>
      <c r="CH33" s="7">
        <f>ROUND(16,2)</f>
        <v>16</v>
      </c>
      <c r="CI33" s="6"/>
      <c r="CJ33" s="6"/>
      <c r="CK33" s="6"/>
      <c r="CL33" s="6"/>
      <c r="CM33" s="6"/>
      <c r="CN33" s="6"/>
      <c r="CO33" s="6"/>
      <c r="CP33" s="6"/>
      <c r="CQ33" s="7">
        <f>ROUND(1121,2)</f>
        <v>1121</v>
      </c>
      <c r="CR33" s="7">
        <f>ROUND(23533.4399999999,2)</f>
        <v>23533.439999999999</v>
      </c>
      <c r="CS33" s="7">
        <f>ROUND(11636.94,2)</f>
        <v>11636.94</v>
      </c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7">
        <f>ROUND(225,2)</f>
        <v>225</v>
      </c>
      <c r="FK33" s="6"/>
      <c r="FL33" s="6"/>
      <c r="FM33" s="7">
        <f>ROUND(576.8,2)</f>
        <v>576.79999999999995</v>
      </c>
      <c r="FN33" s="7">
        <f>ROUND(461.44,2)</f>
        <v>461.44</v>
      </c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7">
        <f>ROUND(36433.6199999999,2)</f>
        <v>36433.620000000003</v>
      </c>
    </row>
    <row r="34" spans="1:181" ht="26.4" x14ac:dyDescent="0.3">
      <c r="A34" s="4" t="s">
        <v>555</v>
      </c>
      <c r="B34" s="5"/>
      <c r="C34" s="5" t="s">
        <v>311</v>
      </c>
      <c r="D34" s="5" t="s">
        <v>556</v>
      </c>
      <c r="E34" s="5" t="s">
        <v>557</v>
      </c>
      <c r="F34" s="5" t="s">
        <v>0</v>
      </c>
      <c r="G34" s="5" t="s">
        <v>312</v>
      </c>
      <c r="H34" s="8">
        <f>ROUND(18.5,2)</f>
        <v>18.5</v>
      </c>
      <c r="I34" s="7">
        <f>ROUND(18453.75,2)</f>
        <v>18453.75</v>
      </c>
      <c r="J34" s="7">
        <f>ROUND(904,2)</f>
        <v>904</v>
      </c>
      <c r="K34" s="7">
        <f>ROUND(17,2)</f>
        <v>17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7">
        <f>ROUND(8,2)</f>
        <v>8</v>
      </c>
      <c r="CI34" s="7">
        <f>ROUND(8,2)</f>
        <v>8</v>
      </c>
      <c r="CJ34" s="7">
        <f>ROUND(8,2)</f>
        <v>8</v>
      </c>
      <c r="CK34" s="6"/>
      <c r="CL34" s="6"/>
      <c r="CM34" s="6"/>
      <c r="CN34" s="6"/>
      <c r="CO34" s="6"/>
      <c r="CP34" s="7">
        <f>ROUND(40,2)</f>
        <v>40</v>
      </c>
      <c r="CQ34" s="7">
        <f>ROUND(985,2)</f>
        <v>985</v>
      </c>
      <c r="CR34" s="7">
        <f>ROUND(16724,2)</f>
        <v>16724</v>
      </c>
      <c r="CS34" s="7">
        <f>ROUND(471.75,2)</f>
        <v>471.75</v>
      </c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7">
        <f>ROUND(148,2)</f>
        <v>148</v>
      </c>
      <c r="FO34" s="7">
        <f>ROUND(148,2)</f>
        <v>148</v>
      </c>
      <c r="FP34" s="7">
        <f>ROUND(222,2)</f>
        <v>222</v>
      </c>
      <c r="FQ34" s="6"/>
      <c r="FR34" s="6"/>
      <c r="FS34" s="6"/>
      <c r="FT34" s="6"/>
      <c r="FU34" s="6"/>
      <c r="FV34" s="6"/>
      <c r="FW34" s="6"/>
      <c r="FX34" s="7">
        <f>ROUND(740,2)</f>
        <v>740</v>
      </c>
      <c r="FY34" s="7">
        <f>ROUND(18453.75,2)</f>
        <v>18453.75</v>
      </c>
    </row>
    <row r="35" spans="1:181" x14ac:dyDescent="0.3">
      <c r="A35" s="4" t="s">
        <v>699</v>
      </c>
      <c r="B35" s="5"/>
      <c r="C35" s="5" t="s">
        <v>311</v>
      </c>
      <c r="D35" s="5" t="s">
        <v>700</v>
      </c>
      <c r="E35" s="5" t="s">
        <v>0</v>
      </c>
      <c r="F35" s="5" t="s">
        <v>0</v>
      </c>
      <c r="G35" s="5" t="s">
        <v>701</v>
      </c>
      <c r="H35" s="8">
        <f>ROUND(30.9,2)</f>
        <v>30.9</v>
      </c>
      <c r="I35" s="7">
        <f>ROUND(88671.77,2)</f>
        <v>88671.77</v>
      </c>
      <c r="J35" s="7">
        <f>ROUND(1896,2)</f>
        <v>1896</v>
      </c>
      <c r="K35" s="7">
        <f>ROUND(405,2)</f>
        <v>405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7">
        <f t="shared" ref="BW35:BW42" si="0">ROUND(8,2)</f>
        <v>8</v>
      </c>
      <c r="BX35" s="6"/>
      <c r="BY35" s="6"/>
      <c r="BZ35" s="6"/>
      <c r="CA35" s="6"/>
      <c r="CB35" s="6"/>
      <c r="CC35" s="6"/>
      <c r="CD35" s="6"/>
      <c r="CE35" s="6"/>
      <c r="CF35" s="6"/>
      <c r="CG35" s="7">
        <f>ROUND(50,2)</f>
        <v>50</v>
      </c>
      <c r="CH35" s="7">
        <f>ROUND(56,2)</f>
        <v>56</v>
      </c>
      <c r="CI35" s="7">
        <f>ROUND(40,2)</f>
        <v>40</v>
      </c>
      <c r="CJ35" s="6"/>
      <c r="CK35" s="6"/>
      <c r="CL35" s="7">
        <f>ROUND(24,2)</f>
        <v>24</v>
      </c>
      <c r="CM35" s="6"/>
      <c r="CN35" s="7">
        <f>ROUND(80,2)</f>
        <v>80</v>
      </c>
      <c r="CO35" s="6"/>
      <c r="CP35" s="6"/>
      <c r="CQ35" s="7">
        <f>ROUND(2559,2)</f>
        <v>2559</v>
      </c>
      <c r="CR35" s="7">
        <f>ROUND(58586.4,2)</f>
        <v>58586.400000000001</v>
      </c>
      <c r="CS35" s="7">
        <f>ROUND(18771.7699999999,2)</f>
        <v>18771.77</v>
      </c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7">
        <f>ROUND(375,2)</f>
        <v>375</v>
      </c>
      <c r="EX35" s="6"/>
      <c r="EY35" s="6"/>
      <c r="EZ35" s="6"/>
      <c r="FA35" s="6"/>
      <c r="FB35" s="6"/>
      <c r="FC35" s="6"/>
      <c r="FD35" s="6"/>
      <c r="FE35" s="6"/>
      <c r="FF35" s="6"/>
      <c r="FG35" s="7">
        <f>ROUND(247.2,2)</f>
        <v>247.2</v>
      </c>
      <c r="FH35" s="6"/>
      <c r="FI35" s="6"/>
      <c r="FJ35" s="7">
        <f>ROUND(2966.4,2)</f>
        <v>2966.4</v>
      </c>
      <c r="FK35" s="6"/>
      <c r="FL35" s="6"/>
      <c r="FM35" s="7">
        <f>ROUND(1545,2)</f>
        <v>1545</v>
      </c>
      <c r="FN35" s="7">
        <f>ROUND(1730.4,2)</f>
        <v>1730.4</v>
      </c>
      <c r="FO35" s="7">
        <f>ROUND(1236,2)</f>
        <v>1236</v>
      </c>
      <c r="FP35" s="6"/>
      <c r="FQ35" s="6"/>
      <c r="FR35" s="6"/>
      <c r="FS35" s="7">
        <f>ROUND(741.599999999999,2)</f>
        <v>741.6</v>
      </c>
      <c r="FT35" s="6"/>
      <c r="FU35" s="6"/>
      <c r="FV35" s="7">
        <f>ROUND(2472,2)</f>
        <v>2472</v>
      </c>
      <c r="FW35" s="6"/>
      <c r="FX35" s="6"/>
      <c r="FY35" s="7">
        <f>ROUND(88671.77,2)</f>
        <v>88671.77</v>
      </c>
    </row>
    <row r="36" spans="1:181" x14ac:dyDescent="0.3">
      <c r="A36" s="4" t="s">
        <v>809</v>
      </c>
      <c r="B36" s="5"/>
      <c r="C36" s="5" t="s">
        <v>311</v>
      </c>
      <c r="D36" s="5" t="s">
        <v>810</v>
      </c>
      <c r="E36" s="5" t="s">
        <v>0</v>
      </c>
      <c r="F36" s="5" t="s">
        <v>0</v>
      </c>
      <c r="G36" s="5" t="s">
        <v>811</v>
      </c>
      <c r="H36" s="8">
        <f>ROUND(24.7406,2)</f>
        <v>24.74</v>
      </c>
      <c r="I36" s="7">
        <f>ROUND(56210.37,2)</f>
        <v>56210.37</v>
      </c>
      <c r="J36" s="7">
        <f>ROUND(1744,2)</f>
        <v>1744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7">
        <f t="shared" si="0"/>
        <v>8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7">
        <f>ROUND(56,2)</f>
        <v>56</v>
      </c>
      <c r="CI36" s="7">
        <f>ROUND(32,2)</f>
        <v>32</v>
      </c>
      <c r="CJ36" s="6"/>
      <c r="CK36" s="6"/>
      <c r="CL36" s="7">
        <f>ROUND(80,2)</f>
        <v>80</v>
      </c>
      <c r="CM36" s="6"/>
      <c r="CN36" s="7">
        <f>ROUND(192,2)</f>
        <v>192</v>
      </c>
      <c r="CO36" s="6"/>
      <c r="CP36" s="7">
        <f>ROUND(64,2)</f>
        <v>64</v>
      </c>
      <c r="CQ36" s="7">
        <f>ROUND(2176,2)</f>
        <v>2176</v>
      </c>
      <c r="CR36" s="7">
        <f>ROUND(43147.4999999999,2)</f>
        <v>43147.5</v>
      </c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7">
        <f>ROUND(197.92,2)</f>
        <v>197.92</v>
      </c>
      <c r="FH36" s="6"/>
      <c r="FI36" s="6"/>
      <c r="FJ36" s="7">
        <f>ROUND(2375.04,2)</f>
        <v>2375.04</v>
      </c>
      <c r="FK36" s="6"/>
      <c r="FL36" s="6"/>
      <c r="FM36" s="6"/>
      <c r="FN36" s="7">
        <f>ROUND(1385.44,2)</f>
        <v>1385.44</v>
      </c>
      <c r="FO36" s="7">
        <f>ROUND(791.7,2)</f>
        <v>791.7</v>
      </c>
      <c r="FP36" s="6"/>
      <c r="FQ36" s="6"/>
      <c r="FR36" s="6"/>
      <c r="FS36" s="7">
        <f>ROUND(1979.22,2)</f>
        <v>1979.22</v>
      </c>
      <c r="FT36" s="6"/>
      <c r="FU36" s="6"/>
      <c r="FV36" s="7">
        <f>ROUND(4750.15,2)</f>
        <v>4750.1499999999996</v>
      </c>
      <c r="FW36" s="6"/>
      <c r="FX36" s="7">
        <f>ROUND(1583.4,2)</f>
        <v>1583.4</v>
      </c>
      <c r="FY36" s="7">
        <f>ROUND(56210.37,2)</f>
        <v>56210.37</v>
      </c>
    </row>
    <row r="37" spans="1:181" ht="26.4" x14ac:dyDescent="0.3">
      <c r="A37" s="4" t="s">
        <v>827</v>
      </c>
      <c r="B37" s="5"/>
      <c r="C37" s="5" t="s">
        <v>311</v>
      </c>
      <c r="D37" s="5" t="s">
        <v>828</v>
      </c>
      <c r="E37" s="5" t="s">
        <v>829</v>
      </c>
      <c r="F37" s="5" t="s">
        <v>0</v>
      </c>
      <c r="G37" s="5" t="s">
        <v>318</v>
      </c>
      <c r="H37" s="8">
        <f>ROUND(31.4665,2)</f>
        <v>31.47</v>
      </c>
      <c r="I37" s="7">
        <f>ROUND(45854.0999999999,2)</f>
        <v>45854.1</v>
      </c>
      <c r="J37" s="7">
        <f>ROUND(632,2)</f>
        <v>632</v>
      </c>
      <c r="K37" s="7">
        <f>ROUND(234,2)</f>
        <v>234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7">
        <f t="shared" si="0"/>
        <v>8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7">
        <f>ROUND(16,2)</f>
        <v>16</v>
      </c>
      <c r="CI37" s="7">
        <f>ROUND(32,2)</f>
        <v>32</v>
      </c>
      <c r="CJ37" s="6"/>
      <c r="CK37" s="6"/>
      <c r="CL37" s="7">
        <f>ROUND(279.5,2)</f>
        <v>279.5</v>
      </c>
      <c r="CM37" s="6"/>
      <c r="CN37" s="7">
        <f>ROUND(72,2)</f>
        <v>72</v>
      </c>
      <c r="CO37" s="6"/>
      <c r="CP37" s="7">
        <f>ROUND(64,2)</f>
        <v>64</v>
      </c>
      <c r="CQ37" s="7">
        <f>ROUND(1337.5,2)</f>
        <v>1337.5</v>
      </c>
      <c r="CR37" s="7">
        <f>ROUND(19886.84,2)</f>
        <v>19886.84</v>
      </c>
      <c r="CS37" s="7">
        <f>ROUND(11044.78,2)</f>
        <v>11044.78</v>
      </c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7">
        <f>ROUND(86.03,2)</f>
        <v>86.03</v>
      </c>
      <c r="EX37" s="6"/>
      <c r="EY37" s="6"/>
      <c r="EZ37" s="6"/>
      <c r="FA37" s="6"/>
      <c r="FB37" s="6"/>
      <c r="FC37" s="6"/>
      <c r="FD37" s="6"/>
      <c r="FE37" s="6"/>
      <c r="FF37" s="6"/>
      <c r="FG37" s="7">
        <f>ROUND(251.73,2)</f>
        <v>251.73</v>
      </c>
      <c r="FH37" s="6"/>
      <c r="FI37" s="6"/>
      <c r="FJ37" s="6"/>
      <c r="FK37" s="6"/>
      <c r="FL37" s="6"/>
      <c r="FM37" s="6"/>
      <c r="FN37" s="7">
        <f>ROUND(503.46,2)</f>
        <v>503.46</v>
      </c>
      <c r="FO37" s="7">
        <f>ROUND(1006.93,2)</f>
        <v>1006.93</v>
      </c>
      <c r="FP37" s="6"/>
      <c r="FQ37" s="6"/>
      <c r="FR37" s="6"/>
      <c r="FS37" s="7">
        <f>ROUND(8794.89,2)</f>
        <v>8794.89</v>
      </c>
      <c r="FT37" s="6"/>
      <c r="FU37" s="6"/>
      <c r="FV37" s="7">
        <f>ROUND(2265.58,2)</f>
        <v>2265.58</v>
      </c>
      <c r="FW37" s="6"/>
      <c r="FX37" s="7">
        <f>ROUND(2013.86,2)</f>
        <v>2013.86</v>
      </c>
      <c r="FY37" s="7">
        <f>ROUND(45854.0999999999,2)</f>
        <v>45854.1</v>
      </c>
    </row>
    <row r="38" spans="1:181" x14ac:dyDescent="0.3">
      <c r="A38" s="4" t="s">
        <v>966</v>
      </c>
      <c r="B38" s="5"/>
      <c r="C38" s="5" t="s">
        <v>311</v>
      </c>
      <c r="D38" s="5" t="s">
        <v>967</v>
      </c>
      <c r="E38" s="5" t="s">
        <v>0</v>
      </c>
      <c r="F38" s="5" t="s">
        <v>0</v>
      </c>
      <c r="G38" s="5" t="s">
        <v>968</v>
      </c>
      <c r="H38" s="8">
        <f>ROUND(1699.63,2)</f>
        <v>1699.63</v>
      </c>
      <c r="I38" s="7">
        <f>ROUND(97558.72,2)</f>
        <v>97558.720000000001</v>
      </c>
      <c r="J38" s="7">
        <f>ROUND(1550,2)</f>
        <v>1550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7">
        <f>ROUND(-8,2)</f>
        <v>-8</v>
      </c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7">
        <f>ROUND(12,2)</f>
        <v>12</v>
      </c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7">
        <f t="shared" si="0"/>
        <v>8</v>
      </c>
      <c r="BX38" s="6"/>
      <c r="BY38" s="6"/>
      <c r="BZ38" s="6"/>
      <c r="CA38" s="6"/>
      <c r="CB38" s="6"/>
      <c r="CC38" s="6"/>
      <c r="CD38" s="6"/>
      <c r="CE38" s="6"/>
      <c r="CF38" s="7">
        <f>ROUND(40,2)</f>
        <v>40</v>
      </c>
      <c r="CG38" s="7">
        <f>ROUND(46,2)</f>
        <v>46</v>
      </c>
      <c r="CH38" s="7">
        <f>ROUND(56,2)</f>
        <v>56</v>
      </c>
      <c r="CI38" s="7">
        <f>ROUND(32,2)</f>
        <v>32</v>
      </c>
      <c r="CJ38" s="6"/>
      <c r="CK38" s="6"/>
      <c r="CL38" s="6"/>
      <c r="CM38" s="6"/>
      <c r="CN38" s="7">
        <f>ROUND(176,2)</f>
        <v>176</v>
      </c>
      <c r="CO38" s="6"/>
      <c r="CP38" s="7">
        <f>ROUND(80,2)</f>
        <v>80</v>
      </c>
      <c r="CQ38" s="7">
        <f>ROUND(1992,2)</f>
        <v>1992</v>
      </c>
      <c r="CR38" s="7">
        <f>ROUND(81157.3199999999,2)</f>
        <v>81157.320000000007</v>
      </c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7">
        <f>ROUND(-339.93,2)</f>
        <v>-339.93</v>
      </c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7">
        <f>ROUND(4079.12,2)</f>
        <v>4079.12</v>
      </c>
      <c r="FK38" s="6"/>
      <c r="FL38" s="7">
        <f>ROUND(1699.64,2)</f>
        <v>1699.64</v>
      </c>
      <c r="FM38" s="7">
        <f>ROUND(1954.57,2)</f>
        <v>1954.57</v>
      </c>
      <c r="FN38" s="7">
        <f>ROUND(1019.79,2)</f>
        <v>1019.79</v>
      </c>
      <c r="FO38" s="6"/>
      <c r="FP38" s="6"/>
      <c r="FQ38" s="6"/>
      <c r="FR38" s="6"/>
      <c r="FS38" s="6"/>
      <c r="FT38" s="6"/>
      <c r="FU38" s="6"/>
      <c r="FV38" s="7">
        <f>ROUND(4589.01,2)</f>
        <v>4589.01</v>
      </c>
      <c r="FW38" s="6"/>
      <c r="FX38" s="7">
        <f>ROUND(3399.2,2)</f>
        <v>3399.2</v>
      </c>
      <c r="FY38" s="7">
        <f>ROUND(97558.72,2)</f>
        <v>97558.720000000001</v>
      </c>
    </row>
    <row r="39" spans="1:181" ht="26.4" x14ac:dyDescent="0.3">
      <c r="A39" s="4" t="s">
        <v>971</v>
      </c>
      <c r="B39" s="5"/>
      <c r="C39" s="5" t="s">
        <v>311</v>
      </c>
      <c r="D39" s="5" t="s">
        <v>972</v>
      </c>
      <c r="E39" s="5" t="s">
        <v>0</v>
      </c>
      <c r="F39" s="5" t="s">
        <v>0</v>
      </c>
      <c r="G39" s="5" t="s">
        <v>312</v>
      </c>
      <c r="H39" s="8">
        <f>ROUND(20,2)</f>
        <v>20</v>
      </c>
      <c r="I39" s="7">
        <f>ROUND(47515,2)</f>
        <v>47515</v>
      </c>
      <c r="J39" s="7">
        <f>ROUND(1676,2)</f>
        <v>1676</v>
      </c>
      <c r="K39" s="7">
        <f>ROUND(298.5,2)</f>
        <v>298.5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7">
        <f t="shared" si="0"/>
        <v>8</v>
      </c>
      <c r="BX39" s="6"/>
      <c r="BY39" s="6"/>
      <c r="BZ39" s="6"/>
      <c r="CA39" s="6"/>
      <c r="CB39" s="6"/>
      <c r="CC39" s="6"/>
      <c r="CD39" s="6"/>
      <c r="CE39" s="6"/>
      <c r="CF39" s="6"/>
      <c r="CG39" s="7">
        <f>ROUND(48,2)</f>
        <v>48</v>
      </c>
      <c r="CH39" s="7">
        <f>ROUND(40,2)</f>
        <v>40</v>
      </c>
      <c r="CI39" s="7">
        <f>ROUND(32,2)</f>
        <v>32</v>
      </c>
      <c r="CJ39" s="6"/>
      <c r="CK39" s="6"/>
      <c r="CL39" s="7">
        <f>ROUND(4,2)</f>
        <v>4</v>
      </c>
      <c r="CM39" s="6"/>
      <c r="CN39" s="7">
        <f>ROUND(32,2)</f>
        <v>32</v>
      </c>
      <c r="CO39" s="6"/>
      <c r="CP39" s="6"/>
      <c r="CQ39" s="7">
        <f>ROUND(2138.5,2)</f>
        <v>2138.5</v>
      </c>
      <c r="CR39" s="7">
        <f>ROUND(33520,2)</f>
        <v>33520</v>
      </c>
      <c r="CS39" s="7">
        <f>ROUND(8955,2)</f>
        <v>8955</v>
      </c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7">
        <f>ROUND(160,2)</f>
        <v>160</v>
      </c>
      <c r="FH39" s="6"/>
      <c r="FI39" s="6"/>
      <c r="FJ39" s="7">
        <f>ROUND(1760,2)</f>
        <v>1760</v>
      </c>
      <c r="FK39" s="6"/>
      <c r="FL39" s="6"/>
      <c r="FM39" s="7">
        <f>ROUND(960,2)</f>
        <v>960</v>
      </c>
      <c r="FN39" s="7">
        <f>ROUND(800,2)</f>
        <v>800</v>
      </c>
      <c r="FO39" s="7">
        <f>ROUND(640,2)</f>
        <v>640</v>
      </c>
      <c r="FP39" s="6"/>
      <c r="FQ39" s="6"/>
      <c r="FR39" s="6"/>
      <c r="FS39" s="7">
        <f>ROUND(80,2)</f>
        <v>80</v>
      </c>
      <c r="FT39" s="6"/>
      <c r="FU39" s="6"/>
      <c r="FV39" s="7">
        <f>ROUND(640,2)</f>
        <v>640</v>
      </c>
      <c r="FW39" s="6"/>
      <c r="FX39" s="6"/>
      <c r="FY39" s="7">
        <f>ROUND(47515,2)</f>
        <v>47515</v>
      </c>
    </row>
    <row r="40" spans="1:181" ht="26.4" x14ac:dyDescent="0.3">
      <c r="A40" s="4" t="s">
        <v>1013</v>
      </c>
      <c r="B40" s="5"/>
      <c r="C40" s="5" t="s">
        <v>311</v>
      </c>
      <c r="D40" s="5" t="s">
        <v>1014</v>
      </c>
      <c r="E40" s="5" t="s">
        <v>0</v>
      </c>
      <c r="F40" s="5" t="s">
        <v>0</v>
      </c>
      <c r="G40" s="5" t="s">
        <v>312</v>
      </c>
      <c r="H40" s="8">
        <f>ROUND(21.0002,2)</f>
        <v>21</v>
      </c>
      <c r="I40" s="7">
        <f>ROUND(46536.49,2)</f>
        <v>46536.49</v>
      </c>
      <c r="J40" s="7">
        <f>ROUND(1992,2)</f>
        <v>1992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7">
        <f t="shared" si="0"/>
        <v>8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7">
        <f>ROUND(56,2)</f>
        <v>56</v>
      </c>
      <c r="CI40" s="7">
        <f>ROUND(24,2)</f>
        <v>24</v>
      </c>
      <c r="CJ40" s="6"/>
      <c r="CK40" s="6"/>
      <c r="CL40" s="6"/>
      <c r="CM40" s="6"/>
      <c r="CN40" s="7">
        <f>ROUND(40,2)</f>
        <v>40</v>
      </c>
      <c r="CO40" s="6"/>
      <c r="CP40" s="6"/>
      <c r="CQ40" s="7">
        <f>ROUND(2120,2)</f>
        <v>2120</v>
      </c>
      <c r="CR40" s="7">
        <f>ROUND(41832.4899999999,2)</f>
        <v>41832.49</v>
      </c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7">
        <f>ROUND(168,2)</f>
        <v>168</v>
      </c>
      <c r="FH40" s="6"/>
      <c r="FI40" s="6"/>
      <c r="FJ40" s="7">
        <f>ROUND(2016,2)</f>
        <v>2016</v>
      </c>
      <c r="FK40" s="6"/>
      <c r="FL40" s="6"/>
      <c r="FM40" s="6"/>
      <c r="FN40" s="7">
        <f>ROUND(1176,2)</f>
        <v>1176</v>
      </c>
      <c r="FO40" s="7">
        <f>ROUND(504,2)</f>
        <v>504</v>
      </c>
      <c r="FP40" s="6"/>
      <c r="FQ40" s="6"/>
      <c r="FR40" s="6"/>
      <c r="FS40" s="6"/>
      <c r="FT40" s="6"/>
      <c r="FU40" s="6"/>
      <c r="FV40" s="7">
        <f>ROUND(840,2)</f>
        <v>840</v>
      </c>
      <c r="FW40" s="6"/>
      <c r="FX40" s="6"/>
      <c r="FY40" s="7">
        <f>ROUND(46536.49,2)</f>
        <v>46536.49</v>
      </c>
    </row>
    <row r="41" spans="1:181" x14ac:dyDescent="0.3">
      <c r="A41" s="4" t="s">
        <v>284</v>
      </c>
      <c r="B41" s="5"/>
      <c r="C41" s="5" t="s">
        <v>285</v>
      </c>
      <c r="D41" s="5" t="s">
        <v>286</v>
      </c>
      <c r="E41" s="5" t="s">
        <v>0</v>
      </c>
      <c r="F41" s="5" t="s">
        <v>0</v>
      </c>
      <c r="G41" s="5" t="s">
        <v>287</v>
      </c>
      <c r="H41" s="8">
        <f>ROUND(26.2547,2)</f>
        <v>26.25</v>
      </c>
      <c r="I41" s="7">
        <f>ROUND(59291.66,2)</f>
        <v>59291.66</v>
      </c>
      <c r="J41" s="7">
        <f>ROUND(1796.75,2)</f>
        <v>1796.75</v>
      </c>
      <c r="K41" s="7">
        <f>ROUND(2.5,2)</f>
        <v>2.5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7">
        <f t="shared" si="0"/>
        <v>8</v>
      </c>
      <c r="BX41" s="6"/>
      <c r="BY41" s="6"/>
      <c r="BZ41" s="6"/>
      <c r="CA41" s="6"/>
      <c r="CB41" s="6"/>
      <c r="CC41" s="6"/>
      <c r="CD41" s="6"/>
      <c r="CE41" s="6"/>
      <c r="CF41" s="6"/>
      <c r="CG41" s="7">
        <f>ROUND(43.75,2)</f>
        <v>43.75</v>
      </c>
      <c r="CH41" s="7">
        <f>ROUND(56,2)</f>
        <v>56</v>
      </c>
      <c r="CI41" s="7">
        <f>ROUND(40,2)</f>
        <v>40</v>
      </c>
      <c r="CJ41" s="6"/>
      <c r="CK41" s="6"/>
      <c r="CL41" s="7">
        <f>ROUND(48,2)</f>
        <v>48</v>
      </c>
      <c r="CM41" s="6"/>
      <c r="CN41" s="7">
        <f>ROUND(128,2)</f>
        <v>128</v>
      </c>
      <c r="CO41" s="6"/>
      <c r="CP41" s="6"/>
      <c r="CQ41" s="7">
        <f>ROUND(2123,2)</f>
        <v>2123</v>
      </c>
      <c r="CR41" s="7">
        <f>ROUND(47173.17,2)</f>
        <v>47173.17</v>
      </c>
      <c r="CS41" s="7">
        <f>ROUND(98.4699999999999,2)</f>
        <v>98.47</v>
      </c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7">
        <f>ROUND(500,2)</f>
        <v>500</v>
      </c>
      <c r="EX41" s="6"/>
      <c r="EY41" s="6"/>
      <c r="EZ41" s="6"/>
      <c r="FA41" s="6"/>
      <c r="FB41" s="6"/>
      <c r="FC41" s="6"/>
      <c r="FD41" s="6"/>
      <c r="FE41" s="6"/>
      <c r="FF41" s="6"/>
      <c r="FG41" s="7">
        <f>ROUND(210.04,2)</f>
        <v>210.04</v>
      </c>
      <c r="FH41" s="6"/>
      <c r="FI41" s="6"/>
      <c r="FJ41" s="7">
        <f>ROUND(3020,2)</f>
        <v>3020</v>
      </c>
      <c r="FK41" s="6"/>
      <c r="FL41" s="6"/>
      <c r="FM41" s="7">
        <f>ROUND(1148.63999999999,2)</f>
        <v>1148.6400000000001</v>
      </c>
      <c r="FN41" s="7">
        <f>ROUND(1470.28,2)</f>
        <v>1470.28</v>
      </c>
      <c r="FO41" s="7">
        <f>ROUND(1050.2,2)</f>
        <v>1050.2</v>
      </c>
      <c r="FP41" s="6"/>
      <c r="FQ41" s="6"/>
      <c r="FR41" s="6"/>
      <c r="FS41" s="7">
        <f>ROUND(1260.23,2)</f>
        <v>1260.23</v>
      </c>
      <c r="FT41" s="6"/>
      <c r="FU41" s="6"/>
      <c r="FV41" s="7">
        <f>ROUND(3360.62999999999,2)</f>
        <v>3360.63</v>
      </c>
      <c r="FW41" s="6"/>
      <c r="FX41" s="6"/>
      <c r="FY41" s="7">
        <f>ROUND(59291.66,2)</f>
        <v>59291.66</v>
      </c>
    </row>
    <row r="42" spans="1:181" x14ac:dyDescent="0.3">
      <c r="A42" s="4" t="s">
        <v>345</v>
      </c>
      <c r="B42" s="5"/>
      <c r="C42" s="5" t="s">
        <v>285</v>
      </c>
      <c r="D42" s="5" t="s">
        <v>346</v>
      </c>
      <c r="E42" s="5" t="s">
        <v>0</v>
      </c>
      <c r="F42" s="5" t="s">
        <v>0</v>
      </c>
      <c r="G42" s="5" t="s">
        <v>347</v>
      </c>
      <c r="H42" s="8">
        <f>ROUND(1659.76,2)</f>
        <v>1659.76</v>
      </c>
      <c r="I42" s="7">
        <f>ROUND(92298.2399999999,2)</f>
        <v>92298.240000000005</v>
      </c>
      <c r="J42" s="7">
        <f>ROUND(1712,2)</f>
        <v>1712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7">
        <f>ROUND(-13,2)</f>
        <v>-13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7">
        <f>ROUND(8,2)</f>
        <v>8</v>
      </c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7">
        <f t="shared" si="0"/>
        <v>8</v>
      </c>
      <c r="BX42" s="6"/>
      <c r="BY42" s="6"/>
      <c r="BZ42" s="6"/>
      <c r="CA42" s="6"/>
      <c r="CB42" s="6"/>
      <c r="CC42" s="6"/>
      <c r="CD42" s="6"/>
      <c r="CE42" s="6"/>
      <c r="CF42" s="7">
        <f>ROUND(36,2)</f>
        <v>36</v>
      </c>
      <c r="CG42" s="7">
        <f>ROUND(11,2)</f>
        <v>11</v>
      </c>
      <c r="CH42" s="7">
        <f>ROUND(56,2)</f>
        <v>56</v>
      </c>
      <c r="CI42" s="7">
        <f>ROUND(32,2)</f>
        <v>32</v>
      </c>
      <c r="CJ42" s="6"/>
      <c r="CK42" s="6"/>
      <c r="CL42" s="6"/>
      <c r="CM42" s="6"/>
      <c r="CN42" s="7">
        <f>ROUND(92,2)</f>
        <v>92</v>
      </c>
      <c r="CO42" s="6"/>
      <c r="CP42" s="6"/>
      <c r="CQ42" s="7">
        <f>ROUND(1942,2)</f>
        <v>1942</v>
      </c>
      <c r="CR42" s="7">
        <f>ROUND(85975.5699999999,2)</f>
        <v>85975.57</v>
      </c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7">
        <f>ROUND(-539.42,2)</f>
        <v>-539.41999999999996</v>
      </c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7">
        <f>ROUND(347.54,2)</f>
        <v>347.54</v>
      </c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7">
        <f>ROUND(3983.42,2)</f>
        <v>3983.42</v>
      </c>
      <c r="FK42" s="6"/>
      <c r="FL42" s="6"/>
      <c r="FM42" s="7">
        <f>ROUND(456.43,2)</f>
        <v>456.43</v>
      </c>
      <c r="FN42" s="7">
        <f>ROUND(995.849999999999,2)</f>
        <v>995.85</v>
      </c>
      <c r="FO42" s="6"/>
      <c r="FP42" s="6"/>
      <c r="FQ42" s="6"/>
      <c r="FR42" s="6"/>
      <c r="FS42" s="6"/>
      <c r="FT42" s="6"/>
      <c r="FU42" s="6"/>
      <c r="FV42" s="7">
        <f>ROUND(1078.85,2)</f>
        <v>1078.8499999999999</v>
      </c>
      <c r="FW42" s="6"/>
      <c r="FX42" s="6"/>
      <c r="FY42" s="7">
        <f>ROUND(92298.2399999999,2)</f>
        <v>92298.240000000005</v>
      </c>
    </row>
    <row r="43" spans="1:181" x14ac:dyDescent="0.3">
      <c r="A43" s="4" t="s">
        <v>450</v>
      </c>
      <c r="B43" s="5"/>
      <c r="C43" s="5" t="s">
        <v>285</v>
      </c>
      <c r="D43" s="5" t="s">
        <v>451</v>
      </c>
      <c r="E43" s="5" t="s">
        <v>0</v>
      </c>
      <c r="F43" s="5" t="s">
        <v>0</v>
      </c>
      <c r="G43" s="5" t="s">
        <v>452</v>
      </c>
      <c r="H43" s="8">
        <f>ROUND(19.788,2)</f>
        <v>19.79</v>
      </c>
      <c r="I43" s="7">
        <f>ROUND(43276.4899999999,2)</f>
        <v>43276.49</v>
      </c>
      <c r="J43" s="7">
        <f>ROUND(1859,2)</f>
        <v>1859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7">
        <f>ROUND(16,2)</f>
        <v>16</v>
      </c>
      <c r="BX43" s="6"/>
      <c r="BY43" s="6"/>
      <c r="BZ43" s="6"/>
      <c r="CA43" s="6"/>
      <c r="CB43" s="6"/>
      <c r="CC43" s="6"/>
      <c r="CD43" s="6"/>
      <c r="CE43" s="6"/>
      <c r="CF43" s="6"/>
      <c r="CG43" s="7">
        <f>ROUND(3,2)</f>
        <v>3</v>
      </c>
      <c r="CH43" s="7">
        <f>ROUND(53,2)</f>
        <v>53</v>
      </c>
      <c r="CI43" s="7">
        <f>ROUND(32,2)</f>
        <v>32</v>
      </c>
      <c r="CJ43" s="6"/>
      <c r="CK43" s="6"/>
      <c r="CL43" s="7">
        <f>ROUND(12,2)</f>
        <v>12</v>
      </c>
      <c r="CM43" s="6"/>
      <c r="CN43" s="7">
        <f>ROUND(120,2)</f>
        <v>120</v>
      </c>
      <c r="CO43" s="6"/>
      <c r="CP43" s="6"/>
      <c r="CQ43" s="7">
        <f>ROUND(2095,2)</f>
        <v>2095</v>
      </c>
      <c r="CR43" s="7">
        <f>ROUND(36785.9,2)</f>
        <v>36785.9</v>
      </c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7">
        <f>ROUND(316.6,2)</f>
        <v>316.60000000000002</v>
      </c>
      <c r="FH43" s="6"/>
      <c r="FI43" s="6"/>
      <c r="FJ43" s="7">
        <f>ROUND(1820.68,2)</f>
        <v>1820.68</v>
      </c>
      <c r="FK43" s="6"/>
      <c r="FL43" s="6"/>
      <c r="FM43" s="7">
        <f>ROUND(59.37,2)</f>
        <v>59.37</v>
      </c>
      <c r="FN43" s="7">
        <f>ROUND(1048.74,2)</f>
        <v>1048.74</v>
      </c>
      <c r="FO43" s="7">
        <f>ROUND(633.2,2)</f>
        <v>633.20000000000005</v>
      </c>
      <c r="FP43" s="6"/>
      <c r="FQ43" s="6"/>
      <c r="FR43" s="6"/>
      <c r="FS43" s="7">
        <f>ROUND(237.459999999999,2)</f>
        <v>237.46</v>
      </c>
      <c r="FT43" s="6"/>
      <c r="FU43" s="6"/>
      <c r="FV43" s="7">
        <f>ROUND(2374.54,2)</f>
        <v>2374.54</v>
      </c>
      <c r="FW43" s="6"/>
      <c r="FX43" s="6"/>
      <c r="FY43" s="7">
        <f>ROUND(43276.4899999999,2)</f>
        <v>43276.49</v>
      </c>
    </row>
    <row r="44" spans="1:181" x14ac:dyDescent="0.3">
      <c r="A44" s="4" t="s">
        <v>503</v>
      </c>
      <c r="B44" s="5"/>
      <c r="C44" s="5" t="s">
        <v>285</v>
      </c>
      <c r="D44" s="5" t="s">
        <v>504</v>
      </c>
      <c r="E44" s="5" t="s">
        <v>0</v>
      </c>
      <c r="F44" s="5" t="s">
        <v>0</v>
      </c>
      <c r="G44" s="5" t="s">
        <v>505</v>
      </c>
      <c r="H44" s="8">
        <f>ROUND(2835.37,2)</f>
        <v>2835.37</v>
      </c>
      <c r="I44" s="7">
        <f>ROUND(157079.499999999,2)</f>
        <v>157079.5</v>
      </c>
      <c r="J44" s="7">
        <f>ROUND(1660,2)</f>
        <v>1660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7">
        <f>ROUND(-22,2)</f>
        <v>-22</v>
      </c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7">
        <f t="shared" ref="BW44:BW54" si="1">ROUND(8,2)</f>
        <v>8</v>
      </c>
      <c r="BX44" s="6"/>
      <c r="BY44" s="6"/>
      <c r="BZ44" s="6"/>
      <c r="CA44" s="6"/>
      <c r="CB44" s="6"/>
      <c r="CC44" s="6"/>
      <c r="CD44" s="6"/>
      <c r="CE44" s="6"/>
      <c r="CF44" s="6"/>
      <c r="CG44" s="7">
        <f>ROUND(8,2)</f>
        <v>8</v>
      </c>
      <c r="CH44" s="7">
        <f>ROUND(56,2)</f>
        <v>56</v>
      </c>
      <c r="CI44" s="7">
        <f>ROUND(32,2)</f>
        <v>32</v>
      </c>
      <c r="CJ44" s="6"/>
      <c r="CK44" s="6"/>
      <c r="CL44" s="6"/>
      <c r="CM44" s="6"/>
      <c r="CN44" s="7">
        <f>ROUND(164,2)</f>
        <v>164</v>
      </c>
      <c r="CO44" s="6"/>
      <c r="CP44" s="6"/>
      <c r="CQ44" s="7">
        <f>ROUND(1906,2)</f>
        <v>1906</v>
      </c>
      <c r="CR44" s="7">
        <f>ROUND(143186.199999999,2)</f>
        <v>143186.20000000001</v>
      </c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7">
        <f>ROUND(-1559.44999999999,2)</f>
        <v>-1559.45</v>
      </c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7">
        <f>ROUND(567.07,2)</f>
        <v>567.07000000000005</v>
      </c>
      <c r="FH44" s="6"/>
      <c r="FI44" s="6"/>
      <c r="FJ44" s="7">
        <f>ROUND(6804.89,2)</f>
        <v>6804.89</v>
      </c>
      <c r="FK44" s="6"/>
      <c r="FL44" s="6"/>
      <c r="FM44" s="7">
        <f>ROUND(425.31,2)</f>
        <v>425.31</v>
      </c>
      <c r="FN44" s="7">
        <f>ROUND(1701.21,2)</f>
        <v>1701.21</v>
      </c>
      <c r="FO44" s="7">
        <f>ROUND(1701.22,2)</f>
        <v>1701.22</v>
      </c>
      <c r="FP44" s="6"/>
      <c r="FQ44" s="6"/>
      <c r="FR44" s="6"/>
      <c r="FS44" s="6"/>
      <c r="FT44" s="6"/>
      <c r="FU44" s="6"/>
      <c r="FV44" s="7">
        <f>ROUND(4253.05,2)</f>
        <v>4253.05</v>
      </c>
      <c r="FW44" s="6"/>
      <c r="FX44" s="6"/>
      <c r="FY44" s="7">
        <f>ROUND(157079.499999999,2)</f>
        <v>157079.5</v>
      </c>
    </row>
    <row r="45" spans="1:181" x14ac:dyDescent="0.3">
      <c r="A45" s="4" t="s">
        <v>652</v>
      </c>
      <c r="B45" s="5"/>
      <c r="C45" s="5" t="s">
        <v>285</v>
      </c>
      <c r="D45" s="5" t="s">
        <v>653</v>
      </c>
      <c r="E45" s="5" t="s">
        <v>0</v>
      </c>
      <c r="F45" s="5" t="s">
        <v>0</v>
      </c>
      <c r="G45" s="5" t="s">
        <v>287</v>
      </c>
      <c r="H45" s="8">
        <f>ROUND(28.3765,2)</f>
        <v>28.38</v>
      </c>
      <c r="I45" s="7">
        <f>ROUND(65126.66,2)</f>
        <v>65126.66</v>
      </c>
      <c r="J45" s="7">
        <f>ROUND(1828.5,2)</f>
        <v>1828.5</v>
      </c>
      <c r="K45" s="7">
        <f>ROUND(48.75,2)</f>
        <v>48.75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7">
        <f t="shared" si="1"/>
        <v>8</v>
      </c>
      <c r="BX45" s="6"/>
      <c r="BY45" s="6"/>
      <c r="BZ45" s="6"/>
      <c r="CA45" s="6"/>
      <c r="CB45" s="6"/>
      <c r="CC45" s="6"/>
      <c r="CD45" s="6"/>
      <c r="CE45" s="6"/>
      <c r="CF45" s="6"/>
      <c r="CG45" s="7">
        <f>ROUND(21.25,2)</f>
        <v>21.25</v>
      </c>
      <c r="CH45" s="7">
        <f>ROUND(56,2)</f>
        <v>56</v>
      </c>
      <c r="CI45" s="7">
        <f>ROUND(32,2)</f>
        <v>32</v>
      </c>
      <c r="CJ45" s="6"/>
      <c r="CK45" s="6"/>
      <c r="CL45" s="7">
        <f>ROUND(22.25,2)</f>
        <v>22.25</v>
      </c>
      <c r="CM45" s="6"/>
      <c r="CN45" s="7">
        <f>ROUND(152,2)</f>
        <v>152</v>
      </c>
      <c r="CO45" s="6"/>
      <c r="CP45" s="6"/>
      <c r="CQ45" s="7">
        <f>ROUND(2168.75,2)</f>
        <v>2168.75</v>
      </c>
      <c r="CR45" s="7">
        <f>ROUND(51886.4599999999,2)</f>
        <v>51886.46</v>
      </c>
      <c r="CS45" s="7">
        <f>ROUND(2075.01999999999,2)</f>
        <v>2075.02</v>
      </c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7">
        <f>ROUND(169,2)</f>
        <v>169</v>
      </c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7">
        <f>ROUND(227.01,2)</f>
        <v>227.01</v>
      </c>
      <c r="FH45" s="6"/>
      <c r="FI45" s="6"/>
      <c r="FJ45" s="7">
        <f>ROUND(2724.48,2)</f>
        <v>2724.48</v>
      </c>
      <c r="FK45" s="6"/>
      <c r="FL45" s="6"/>
      <c r="FM45" s="7">
        <f>ROUND(603,2)</f>
        <v>603</v>
      </c>
      <c r="FN45" s="7">
        <f>ROUND(1589.07,2)</f>
        <v>1589.07</v>
      </c>
      <c r="FO45" s="7">
        <f>ROUND(908.04,2)</f>
        <v>908.04</v>
      </c>
      <c r="FP45" s="6"/>
      <c r="FQ45" s="6"/>
      <c r="FR45" s="6"/>
      <c r="FS45" s="7">
        <f>ROUND(631.369999999999,2)</f>
        <v>631.37</v>
      </c>
      <c r="FT45" s="6"/>
      <c r="FU45" s="6"/>
      <c r="FV45" s="7">
        <f>ROUND(4313.21,2)</f>
        <v>4313.21</v>
      </c>
      <c r="FW45" s="6"/>
      <c r="FX45" s="6"/>
      <c r="FY45" s="7">
        <f>ROUND(65126.6599999999,2)</f>
        <v>65126.66</v>
      </c>
    </row>
    <row r="46" spans="1:181" x14ac:dyDescent="0.3">
      <c r="A46" s="4" t="s">
        <v>659</v>
      </c>
      <c r="B46" s="5"/>
      <c r="C46" s="5" t="s">
        <v>285</v>
      </c>
      <c r="D46" s="5" t="s">
        <v>660</v>
      </c>
      <c r="E46" s="5" t="s">
        <v>0</v>
      </c>
      <c r="F46" s="5" t="s">
        <v>0</v>
      </c>
      <c r="G46" s="5" t="s">
        <v>287</v>
      </c>
      <c r="H46" s="8">
        <f>ROUND(1306.88,2)</f>
        <v>1306.8800000000001</v>
      </c>
      <c r="I46" s="7">
        <f>ROUND(72401.1499999999,2)</f>
        <v>72401.149999999994</v>
      </c>
      <c r="J46" s="7">
        <f>ROUND(1648,2)</f>
        <v>1648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7">
        <f>ROUND(-8,2)</f>
        <v>-8</v>
      </c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7">
        <f t="shared" si="1"/>
        <v>8</v>
      </c>
      <c r="BX46" s="6"/>
      <c r="BY46" s="6"/>
      <c r="BZ46" s="6"/>
      <c r="CA46" s="6"/>
      <c r="CB46" s="6"/>
      <c r="CC46" s="6"/>
      <c r="CD46" s="6"/>
      <c r="CE46" s="6"/>
      <c r="CF46" s="6"/>
      <c r="CG46" s="7">
        <f>ROUND(24,2)</f>
        <v>24</v>
      </c>
      <c r="CH46" s="7">
        <f>ROUND(56,2)</f>
        <v>56</v>
      </c>
      <c r="CI46" s="7">
        <f>ROUND(48,2)</f>
        <v>48</v>
      </c>
      <c r="CJ46" s="6"/>
      <c r="CK46" s="6"/>
      <c r="CL46" s="6"/>
      <c r="CM46" s="6"/>
      <c r="CN46" s="7">
        <f>ROUND(80,2)</f>
        <v>80</v>
      </c>
      <c r="CO46" s="6"/>
      <c r="CP46" s="6"/>
      <c r="CQ46" s="7">
        <f>ROUND(1856,2)</f>
        <v>1856</v>
      </c>
      <c r="CR46" s="7">
        <f>ROUND(65605.3599999999,2)</f>
        <v>65605.36</v>
      </c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7">
        <f>ROUND(-261.38,2)</f>
        <v>-261.38</v>
      </c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7">
        <f>ROUND(261.38,2)</f>
        <v>261.38</v>
      </c>
      <c r="FH46" s="6"/>
      <c r="FI46" s="6"/>
      <c r="FJ46" s="7">
        <f>ROUND(3136.51,2)</f>
        <v>3136.51</v>
      </c>
      <c r="FK46" s="6"/>
      <c r="FL46" s="6"/>
      <c r="FM46" s="7">
        <f>ROUND(784.13,2)</f>
        <v>784.13</v>
      </c>
      <c r="FN46" s="7">
        <f>ROUND(784.14,2)</f>
        <v>784.14</v>
      </c>
      <c r="FO46" s="7">
        <f>ROUND(1045.5,2)</f>
        <v>1045.5</v>
      </c>
      <c r="FP46" s="6"/>
      <c r="FQ46" s="6"/>
      <c r="FR46" s="6"/>
      <c r="FS46" s="6"/>
      <c r="FT46" s="6"/>
      <c r="FU46" s="6"/>
      <c r="FV46" s="7">
        <f>ROUND(1045.51,2)</f>
        <v>1045.51</v>
      </c>
      <c r="FW46" s="6"/>
      <c r="FX46" s="6"/>
      <c r="FY46" s="7">
        <f>ROUND(72401.1499999999,2)</f>
        <v>72401.149999999994</v>
      </c>
    </row>
    <row r="47" spans="1:181" ht="26.4" x14ac:dyDescent="0.3">
      <c r="A47" s="4" t="s">
        <v>779</v>
      </c>
      <c r="B47" s="5"/>
      <c r="C47" s="5" t="s">
        <v>285</v>
      </c>
      <c r="D47" s="5" t="s">
        <v>780</v>
      </c>
      <c r="E47" s="5" t="s">
        <v>0</v>
      </c>
      <c r="F47" s="5" t="s">
        <v>0</v>
      </c>
      <c r="G47" s="5" t="s">
        <v>781</v>
      </c>
      <c r="H47" s="8">
        <f>ROUND(1588.83,2)</f>
        <v>1588.83</v>
      </c>
      <c r="I47" s="7">
        <f>ROUND(90245.5,2)</f>
        <v>90245.5</v>
      </c>
      <c r="J47" s="7">
        <f>ROUND(1662,2)</f>
        <v>1662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7">
        <f>ROUND(-32,2)</f>
        <v>-32</v>
      </c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7">
        <f>ROUND(29,2)</f>
        <v>29</v>
      </c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7">
        <f t="shared" si="1"/>
        <v>8</v>
      </c>
      <c r="BX47" s="6"/>
      <c r="BY47" s="6"/>
      <c r="BZ47" s="6"/>
      <c r="CA47" s="6"/>
      <c r="CB47" s="6"/>
      <c r="CC47" s="6"/>
      <c r="CD47" s="6"/>
      <c r="CE47" s="6"/>
      <c r="CF47" s="7">
        <f>ROUND(32,2)</f>
        <v>32</v>
      </c>
      <c r="CG47" s="7">
        <f>ROUND(13,2)</f>
        <v>13</v>
      </c>
      <c r="CH47" s="7">
        <f>ROUND(56,2)</f>
        <v>56</v>
      </c>
      <c r="CI47" s="7">
        <f>ROUND(32,2)</f>
        <v>32</v>
      </c>
      <c r="CJ47" s="6"/>
      <c r="CK47" s="6"/>
      <c r="CL47" s="6"/>
      <c r="CM47" s="6"/>
      <c r="CN47" s="7">
        <f>ROUND(160,2)</f>
        <v>160</v>
      </c>
      <c r="CO47" s="7">
        <f>ROUND(8,2)</f>
        <v>8</v>
      </c>
      <c r="CP47" s="7">
        <f>ROUND(72,2)</f>
        <v>72</v>
      </c>
      <c r="CQ47" s="7">
        <f>ROUND(2040,2)</f>
        <v>2040</v>
      </c>
      <c r="CR47" s="7">
        <f>ROUND(80315.35,2)</f>
        <v>80315.350000000006</v>
      </c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7">
        <f>ROUND(-1271.06,2)</f>
        <v>-1271.06</v>
      </c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7">
        <f>ROUND(317.77,2)</f>
        <v>317.77</v>
      </c>
      <c r="FH47" s="6"/>
      <c r="FI47" s="6"/>
      <c r="FJ47" s="7">
        <f>ROUND(3177.66,2)</f>
        <v>3177.66</v>
      </c>
      <c r="FK47" s="6"/>
      <c r="FL47" s="7">
        <f>ROUND(1271.06,2)</f>
        <v>1271.06</v>
      </c>
      <c r="FM47" s="7">
        <f>ROUND(79.44,2)</f>
        <v>79.44</v>
      </c>
      <c r="FN47" s="7">
        <f>ROUND(953.31,2)</f>
        <v>953.31</v>
      </c>
      <c r="FO47" s="7">
        <f>ROUND(635.53,2)</f>
        <v>635.53</v>
      </c>
      <c r="FP47" s="6"/>
      <c r="FQ47" s="6"/>
      <c r="FR47" s="6"/>
      <c r="FS47" s="6"/>
      <c r="FT47" s="6"/>
      <c r="FU47" s="6"/>
      <c r="FV47" s="7">
        <f>ROUND(1906.6,2)</f>
        <v>1906.6</v>
      </c>
      <c r="FW47" s="6"/>
      <c r="FX47" s="7">
        <f>ROUND(2859.84,2)</f>
        <v>2859.84</v>
      </c>
      <c r="FY47" s="7">
        <f>ROUND(90245.5,2)</f>
        <v>90245.5</v>
      </c>
    </row>
    <row r="48" spans="1:181" x14ac:dyDescent="0.3">
      <c r="A48" s="4" t="s">
        <v>574</v>
      </c>
      <c r="B48" s="5"/>
      <c r="C48" s="5" t="s">
        <v>575</v>
      </c>
      <c r="D48" s="5" t="s">
        <v>576</v>
      </c>
      <c r="E48" s="5" t="s">
        <v>0</v>
      </c>
      <c r="F48" s="5" t="s">
        <v>0</v>
      </c>
      <c r="G48" s="5" t="s">
        <v>577</v>
      </c>
      <c r="H48" s="8">
        <f>ROUND(1475.59,2)</f>
        <v>1475.59</v>
      </c>
      <c r="I48" s="7">
        <f>ROUND(68992.8399999999,2)</f>
        <v>68992.84</v>
      </c>
      <c r="J48" s="7">
        <f>ROUND(1690.5,2)</f>
        <v>1690.5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7">
        <f>ROUND(-21,2)</f>
        <v>-21</v>
      </c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7">
        <f t="shared" si="1"/>
        <v>8</v>
      </c>
      <c r="BX48" s="6"/>
      <c r="BY48" s="6"/>
      <c r="BZ48" s="6"/>
      <c r="CA48" s="6"/>
      <c r="CB48" s="6"/>
      <c r="CC48" s="6"/>
      <c r="CD48" s="6"/>
      <c r="CE48" s="6"/>
      <c r="CF48" s="6"/>
      <c r="CG48" s="7">
        <f>ROUND(35,2)</f>
        <v>35</v>
      </c>
      <c r="CH48" s="7">
        <f>ROUND(40,2)</f>
        <v>40</v>
      </c>
      <c r="CI48" s="7">
        <f>ROUND(32,2)</f>
        <v>32</v>
      </c>
      <c r="CJ48" s="6"/>
      <c r="CK48" s="6"/>
      <c r="CL48" s="6"/>
      <c r="CM48" s="6"/>
      <c r="CN48" s="7">
        <f>ROUND(96,2)</f>
        <v>96</v>
      </c>
      <c r="CO48" s="6"/>
      <c r="CP48" s="6"/>
      <c r="CQ48" s="7">
        <f>ROUND(1880.5,2)</f>
        <v>1880.5</v>
      </c>
      <c r="CR48" s="7">
        <f>ROUND(63846.6999999999,2)</f>
        <v>63846.7</v>
      </c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7">
        <f>ROUND(-774.689999999999,2)</f>
        <v>-774.69</v>
      </c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7">
        <f>ROUND(2656.07,2)</f>
        <v>2656.07</v>
      </c>
      <c r="FK48" s="6"/>
      <c r="FL48" s="6"/>
      <c r="FM48" s="7">
        <f>ROUND(903.8,2)</f>
        <v>903.8</v>
      </c>
      <c r="FN48" s="7">
        <f>ROUND(885.36,2)</f>
        <v>885.36</v>
      </c>
      <c r="FO48" s="6"/>
      <c r="FP48" s="6"/>
      <c r="FQ48" s="6"/>
      <c r="FR48" s="6"/>
      <c r="FS48" s="6"/>
      <c r="FT48" s="6"/>
      <c r="FU48" s="6"/>
      <c r="FV48" s="7">
        <f>ROUND(1475.6,2)</f>
        <v>1475.6</v>
      </c>
      <c r="FW48" s="6"/>
      <c r="FX48" s="6"/>
      <c r="FY48" s="7">
        <f>ROUND(68992.8399999999,2)</f>
        <v>68992.84</v>
      </c>
    </row>
    <row r="49" spans="1:181" x14ac:dyDescent="0.3">
      <c r="A49" s="4" t="s">
        <v>755</v>
      </c>
      <c r="B49" s="5"/>
      <c r="C49" s="5" t="s">
        <v>575</v>
      </c>
      <c r="D49" s="5" t="s">
        <v>756</v>
      </c>
      <c r="E49" s="5" t="s">
        <v>0</v>
      </c>
      <c r="F49" s="5" t="s">
        <v>0</v>
      </c>
      <c r="G49" s="5" t="s">
        <v>757</v>
      </c>
      <c r="H49" s="8">
        <f>ROUND(29.274,2)</f>
        <v>29.27</v>
      </c>
      <c r="I49" s="7">
        <f>ROUND(63776.6799999999,2)</f>
        <v>63776.68</v>
      </c>
      <c r="J49" s="7">
        <f>ROUND(1808,2)</f>
        <v>1808</v>
      </c>
      <c r="K49" s="7">
        <f>ROUND(1.75,2)</f>
        <v>1.75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7">
        <f t="shared" si="1"/>
        <v>8</v>
      </c>
      <c r="BX49" s="6"/>
      <c r="BY49" s="6"/>
      <c r="BZ49" s="6"/>
      <c r="CA49" s="6"/>
      <c r="CB49" s="6"/>
      <c r="CC49" s="6"/>
      <c r="CD49" s="6"/>
      <c r="CE49" s="6"/>
      <c r="CF49" s="6"/>
      <c r="CG49" s="7">
        <f>ROUND(32,2)</f>
        <v>32</v>
      </c>
      <c r="CH49" s="7">
        <f>ROUND(48,2)</f>
        <v>48</v>
      </c>
      <c r="CI49" s="7">
        <f>ROUND(32,2)</f>
        <v>32</v>
      </c>
      <c r="CJ49" s="6"/>
      <c r="CK49" s="6"/>
      <c r="CL49" s="7">
        <f>ROUND(16,2)</f>
        <v>16</v>
      </c>
      <c r="CM49" s="6"/>
      <c r="CN49" s="7">
        <f>ROUND(136,2)</f>
        <v>136</v>
      </c>
      <c r="CO49" s="6"/>
      <c r="CP49" s="6"/>
      <c r="CQ49" s="7">
        <f>ROUND(2081.75,2)</f>
        <v>2081.75</v>
      </c>
      <c r="CR49" s="7">
        <f>ROUND(52927.4099999999,2)</f>
        <v>52927.41</v>
      </c>
      <c r="CS49" s="7">
        <f>ROUND(76.84,2)</f>
        <v>76.84</v>
      </c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7">
        <f>ROUND(234.19,2)</f>
        <v>234.19</v>
      </c>
      <c r="FH49" s="6"/>
      <c r="FI49" s="6"/>
      <c r="FJ49" s="7">
        <f>ROUND(2809.92,2)</f>
        <v>2809.92</v>
      </c>
      <c r="FK49" s="6"/>
      <c r="FL49" s="6"/>
      <c r="FM49" s="7">
        <f>ROUND(936.77,2)</f>
        <v>936.77</v>
      </c>
      <c r="FN49" s="7">
        <f>ROUND(1405.14,2)</f>
        <v>1405.14</v>
      </c>
      <c r="FO49" s="7">
        <f>ROUND(936.77,2)</f>
        <v>936.77</v>
      </c>
      <c r="FP49" s="6"/>
      <c r="FQ49" s="6"/>
      <c r="FR49" s="6"/>
      <c r="FS49" s="7">
        <f>ROUND(468.39,2)</f>
        <v>468.39</v>
      </c>
      <c r="FT49" s="6"/>
      <c r="FU49" s="6"/>
      <c r="FV49" s="7">
        <f>ROUND(3981.25,2)</f>
        <v>3981.25</v>
      </c>
      <c r="FW49" s="6"/>
      <c r="FX49" s="6"/>
      <c r="FY49" s="7">
        <f>ROUND(63776.6799999999,2)</f>
        <v>63776.68</v>
      </c>
    </row>
    <row r="50" spans="1:181" x14ac:dyDescent="0.3">
      <c r="A50" s="4" t="s">
        <v>304</v>
      </c>
      <c r="B50" s="5"/>
      <c r="C50" s="5" t="s">
        <v>305</v>
      </c>
      <c r="D50" s="5" t="s">
        <v>306</v>
      </c>
      <c r="E50" s="5" t="s">
        <v>0</v>
      </c>
      <c r="F50" s="5" t="s">
        <v>0</v>
      </c>
      <c r="G50" s="5" t="s">
        <v>307</v>
      </c>
      <c r="H50" s="8">
        <f>ROUND(2715.05,2)</f>
        <v>2715.05</v>
      </c>
      <c r="I50" s="7">
        <f>ROUND(150729.49,2)</f>
        <v>150729.49</v>
      </c>
      <c r="J50" s="7">
        <f>ROUND(1639,2)</f>
        <v>1639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>
        <f>ROUND(-8,2)</f>
        <v>-8</v>
      </c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7">
        <f t="shared" si="1"/>
        <v>8</v>
      </c>
      <c r="BX50" s="6"/>
      <c r="BY50" s="6"/>
      <c r="BZ50" s="6"/>
      <c r="CA50" s="6"/>
      <c r="CB50" s="6"/>
      <c r="CC50" s="6"/>
      <c r="CD50" s="6"/>
      <c r="CE50" s="6"/>
      <c r="CF50" s="6"/>
      <c r="CG50" s="7">
        <f>ROUND(30,2)</f>
        <v>30</v>
      </c>
      <c r="CH50" s="7">
        <f>ROUND(56,2)</f>
        <v>56</v>
      </c>
      <c r="CI50" s="7">
        <f>ROUND(40,2)</f>
        <v>40</v>
      </c>
      <c r="CJ50" s="6"/>
      <c r="CK50" s="6"/>
      <c r="CL50" s="6"/>
      <c r="CM50" s="6"/>
      <c r="CN50" s="7">
        <f>ROUND(107,2)</f>
        <v>107</v>
      </c>
      <c r="CO50" s="6"/>
      <c r="CP50" s="6"/>
      <c r="CQ50" s="7">
        <f>ROUND(1872,2)</f>
        <v>1872</v>
      </c>
      <c r="CR50" s="7">
        <f>ROUND(135684.62,2)</f>
        <v>135684.62</v>
      </c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7">
        <f>ROUND(-543.01,2)</f>
        <v>-543.01</v>
      </c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7">
        <f>ROUND(315.72,2)</f>
        <v>315.72000000000003</v>
      </c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7">
        <f>ROUND(6516.12,2)</f>
        <v>6516.12</v>
      </c>
      <c r="FK50" s="6"/>
      <c r="FL50" s="6"/>
      <c r="FM50" s="7">
        <f>ROUND(2036.29,2)</f>
        <v>2036.29</v>
      </c>
      <c r="FN50" s="7">
        <f>ROUND(1629.03,2)</f>
        <v>1629.03</v>
      </c>
      <c r="FO50" s="6"/>
      <c r="FP50" s="6"/>
      <c r="FQ50" s="6"/>
      <c r="FR50" s="6"/>
      <c r="FS50" s="6"/>
      <c r="FT50" s="6"/>
      <c r="FU50" s="6"/>
      <c r="FV50" s="7">
        <f>ROUND(5090.72,2)</f>
        <v>5090.72</v>
      </c>
      <c r="FW50" s="6"/>
      <c r="FX50" s="6"/>
      <c r="FY50" s="7">
        <f>ROUND(150729.49,2)</f>
        <v>150729.49</v>
      </c>
    </row>
    <row r="51" spans="1:181" x14ac:dyDescent="0.3">
      <c r="A51" s="4" t="s">
        <v>464</v>
      </c>
      <c r="B51" s="5"/>
      <c r="C51" s="5" t="s">
        <v>305</v>
      </c>
      <c r="D51" s="5" t="s">
        <v>465</v>
      </c>
      <c r="E51" s="5" t="s">
        <v>0</v>
      </c>
      <c r="F51" s="5" t="s">
        <v>0</v>
      </c>
      <c r="G51" s="5" t="s">
        <v>466</v>
      </c>
      <c r="H51" s="8">
        <f>ROUND(1020.4,2)</f>
        <v>1020.4</v>
      </c>
      <c r="I51" s="7">
        <f>ROUND(56685.8,2)</f>
        <v>56685.8</v>
      </c>
      <c r="J51" s="7">
        <f>ROUND(1676,2)</f>
        <v>1676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7">
        <f>ROUND(-19,2)</f>
        <v>-19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7">
        <f>ROUND(24,2)</f>
        <v>24</v>
      </c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7">
        <f t="shared" si="1"/>
        <v>8</v>
      </c>
      <c r="BX51" s="6"/>
      <c r="BY51" s="6"/>
      <c r="BZ51" s="6"/>
      <c r="CA51" s="6"/>
      <c r="CB51" s="6"/>
      <c r="CC51" s="6"/>
      <c r="CD51" s="6"/>
      <c r="CE51" s="6"/>
      <c r="CF51" s="6"/>
      <c r="CG51" s="7">
        <f>ROUND(59,2)</f>
        <v>59</v>
      </c>
      <c r="CH51" s="7">
        <f>ROUND(56,2)</f>
        <v>56</v>
      </c>
      <c r="CI51" s="7">
        <f>ROUND(64,2)</f>
        <v>64</v>
      </c>
      <c r="CJ51" s="6"/>
      <c r="CK51" s="6"/>
      <c r="CL51" s="6"/>
      <c r="CM51" s="6"/>
      <c r="CN51" s="7">
        <f>ROUND(56,2)</f>
        <v>56</v>
      </c>
      <c r="CO51" s="6"/>
      <c r="CP51" s="6"/>
      <c r="CQ51" s="7">
        <f>ROUND(1924,2)</f>
        <v>1924</v>
      </c>
      <c r="CR51" s="7">
        <f>ROUND(51753.86,2)</f>
        <v>51753.86</v>
      </c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7">
        <f>ROUND(-484.69,2)</f>
        <v>-484.69</v>
      </c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7">
        <f>ROUND(204.08,2)</f>
        <v>204.08</v>
      </c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7">
        <f>ROUND(416.67,2)</f>
        <v>416.67</v>
      </c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7">
        <f>ROUND(2448.96,2)</f>
        <v>2448.96</v>
      </c>
      <c r="FK51" s="6"/>
      <c r="FL51" s="6"/>
      <c r="FM51" s="7">
        <f>ROUND(918.36,2)</f>
        <v>918.36</v>
      </c>
      <c r="FN51" s="7">
        <f>ROUND(612.24,2)</f>
        <v>612.24</v>
      </c>
      <c r="FO51" s="6"/>
      <c r="FP51" s="6"/>
      <c r="FQ51" s="6"/>
      <c r="FR51" s="6"/>
      <c r="FS51" s="6"/>
      <c r="FT51" s="6"/>
      <c r="FU51" s="6"/>
      <c r="FV51" s="7">
        <f>ROUND(816.32,2)</f>
        <v>816.32</v>
      </c>
      <c r="FW51" s="6"/>
      <c r="FX51" s="6"/>
      <c r="FY51" s="7">
        <f>ROUND(56685.8,2)</f>
        <v>56685.8</v>
      </c>
    </row>
    <row r="52" spans="1:181" x14ac:dyDescent="0.3">
      <c r="A52" s="4" t="s">
        <v>578</v>
      </c>
      <c r="B52" s="5"/>
      <c r="C52" s="5" t="s">
        <v>305</v>
      </c>
      <c r="D52" s="5" t="s">
        <v>579</v>
      </c>
      <c r="E52" s="5" t="s">
        <v>580</v>
      </c>
      <c r="F52" s="5" t="s">
        <v>0</v>
      </c>
      <c r="G52" s="5" t="s">
        <v>581</v>
      </c>
      <c r="H52" s="8">
        <f>ROUND(1288.46,2)</f>
        <v>1288.46</v>
      </c>
      <c r="I52" s="7">
        <f>ROUND(55758.6599999999,2)</f>
        <v>55758.66</v>
      </c>
      <c r="J52" s="7">
        <f>ROUND(1264.5,2)</f>
        <v>1264.5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7">
        <f>ROUND(-16,2)</f>
        <v>-16</v>
      </c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7">
        <f>ROUND(28,2)</f>
        <v>28</v>
      </c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7">
        <f t="shared" si="1"/>
        <v>8</v>
      </c>
      <c r="BX52" s="6"/>
      <c r="BY52" s="6"/>
      <c r="BZ52" s="6"/>
      <c r="CA52" s="6"/>
      <c r="CB52" s="6"/>
      <c r="CC52" s="6"/>
      <c r="CD52" s="6"/>
      <c r="CE52" s="6"/>
      <c r="CF52" s="6"/>
      <c r="CG52" s="7">
        <f>ROUND(39.5,2)</f>
        <v>39.5</v>
      </c>
      <c r="CH52" s="7">
        <f>ROUND(40,2)</f>
        <v>40</v>
      </c>
      <c r="CI52" s="7">
        <f>ROUND(56,2)</f>
        <v>56</v>
      </c>
      <c r="CJ52" s="6"/>
      <c r="CK52" s="6"/>
      <c r="CL52" s="6"/>
      <c r="CM52" s="6"/>
      <c r="CN52" s="7">
        <f>ROUND(32,2)</f>
        <v>32</v>
      </c>
      <c r="CO52" s="6"/>
      <c r="CP52" s="7">
        <f>ROUND(56,2)</f>
        <v>56</v>
      </c>
      <c r="CQ52" s="7">
        <f>ROUND(1508,2)</f>
        <v>1508</v>
      </c>
      <c r="CR52" s="7">
        <f>ROUND(52327.5599999999,2)</f>
        <v>52327.56</v>
      </c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7">
        <f>ROUND(-515.38,2)</f>
        <v>-515.38</v>
      </c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7">
        <f>ROUND(354.99,2)</f>
        <v>354.99</v>
      </c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7">
        <f>ROUND(1014.66,2)</f>
        <v>1014.66</v>
      </c>
      <c r="FN52" s="7">
        <f>ROUND(257.69,2)</f>
        <v>257.69</v>
      </c>
      <c r="FO52" s="7">
        <f>ROUND(257.69,2)</f>
        <v>257.69</v>
      </c>
      <c r="FP52" s="6"/>
      <c r="FQ52" s="6"/>
      <c r="FR52" s="6"/>
      <c r="FS52" s="6"/>
      <c r="FT52" s="6"/>
      <c r="FU52" s="6"/>
      <c r="FV52" s="7">
        <f>ROUND(257.69,2)</f>
        <v>257.69</v>
      </c>
      <c r="FW52" s="6"/>
      <c r="FX52" s="7">
        <f>ROUND(1803.76,2)</f>
        <v>1803.76</v>
      </c>
      <c r="FY52" s="7">
        <f>ROUND(55758.6599999999,2)</f>
        <v>55758.66</v>
      </c>
    </row>
    <row r="53" spans="1:181" x14ac:dyDescent="0.3">
      <c r="A53" s="4" t="s">
        <v>620</v>
      </c>
      <c r="B53" s="5"/>
      <c r="C53" s="5" t="s">
        <v>305</v>
      </c>
      <c r="D53" s="5" t="s">
        <v>621</v>
      </c>
      <c r="E53" s="5" t="s">
        <v>0</v>
      </c>
      <c r="F53" s="5" t="s">
        <v>0</v>
      </c>
      <c r="G53" s="5" t="s">
        <v>622</v>
      </c>
      <c r="H53" s="8">
        <f>ROUND(1618.07,2)</f>
        <v>1618.07</v>
      </c>
      <c r="I53" s="7">
        <f>ROUND(89810.0800000001,2)</f>
        <v>89810.08</v>
      </c>
      <c r="J53" s="7">
        <f>ROUND(1726.5,2)</f>
        <v>1726.5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7">
        <f>ROUND(-8,2)</f>
        <v>-8</v>
      </c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7">
        <f t="shared" si="1"/>
        <v>8</v>
      </c>
      <c r="BX53" s="6"/>
      <c r="BY53" s="6"/>
      <c r="BZ53" s="6"/>
      <c r="CA53" s="6"/>
      <c r="CB53" s="6"/>
      <c r="CC53" s="6"/>
      <c r="CD53" s="6"/>
      <c r="CE53" s="6"/>
      <c r="CF53" s="6"/>
      <c r="CG53" s="7">
        <f>ROUND(1.5,2)</f>
        <v>1.5</v>
      </c>
      <c r="CH53" s="7">
        <f>ROUND(56,2)</f>
        <v>56</v>
      </c>
      <c r="CI53" s="7">
        <f>ROUND(32,2)</f>
        <v>32</v>
      </c>
      <c r="CJ53" s="6"/>
      <c r="CK53" s="6"/>
      <c r="CL53" s="6"/>
      <c r="CM53" s="6"/>
      <c r="CN53" s="7">
        <f>ROUND(120,2)</f>
        <v>120</v>
      </c>
      <c r="CO53" s="6"/>
      <c r="CP53" s="6"/>
      <c r="CQ53" s="7">
        <f>ROUND(1936,2)</f>
        <v>1936</v>
      </c>
      <c r="CR53" s="7">
        <f>ROUND(84402.59,2)</f>
        <v>84402.59</v>
      </c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7">
        <f>ROUND(-323.61,2)</f>
        <v>-323.61</v>
      </c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7">
        <f>ROUND(169,2)</f>
        <v>169</v>
      </c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7">
        <f>ROUND(3883.37,2)</f>
        <v>3883.37</v>
      </c>
      <c r="FK53" s="6"/>
      <c r="FL53" s="6"/>
      <c r="FM53" s="7">
        <f>ROUND(60.68,2)</f>
        <v>60.68</v>
      </c>
      <c r="FN53" s="7">
        <f>ROUND(970.83,2)</f>
        <v>970.83</v>
      </c>
      <c r="FO53" s="7">
        <f>ROUND(647.22,2)</f>
        <v>647.22</v>
      </c>
      <c r="FP53" s="6"/>
      <c r="FQ53" s="6"/>
      <c r="FR53" s="6"/>
      <c r="FS53" s="6"/>
      <c r="FT53" s="6"/>
      <c r="FU53" s="6"/>
      <c r="FV53" s="6"/>
      <c r="FW53" s="6"/>
      <c r="FX53" s="6"/>
      <c r="FY53" s="7">
        <f>ROUND(89810.0800000001,2)</f>
        <v>89810.08</v>
      </c>
    </row>
    <row r="54" spans="1:181" ht="26.4" x14ac:dyDescent="0.3">
      <c r="A54" s="4" t="s">
        <v>631</v>
      </c>
      <c r="B54" s="5"/>
      <c r="C54" s="5" t="s">
        <v>305</v>
      </c>
      <c r="D54" s="5" t="s">
        <v>632</v>
      </c>
      <c r="E54" s="5" t="s">
        <v>0</v>
      </c>
      <c r="F54" s="5" t="s">
        <v>0</v>
      </c>
      <c r="G54" s="5" t="s">
        <v>633</v>
      </c>
      <c r="H54" s="8">
        <f>ROUND(980,2)</f>
        <v>980</v>
      </c>
      <c r="I54" s="7">
        <f>ROUND(53910.34,2)</f>
        <v>53910.34</v>
      </c>
      <c r="J54" s="7">
        <f>ROUND(1671,2)</f>
        <v>1671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>
        <f>ROUND(-11,2)</f>
        <v>-11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7">
        <f t="shared" si="1"/>
        <v>8</v>
      </c>
      <c r="BX54" s="6"/>
      <c r="BY54" s="6"/>
      <c r="BZ54" s="6"/>
      <c r="CA54" s="6"/>
      <c r="CB54" s="6"/>
      <c r="CC54" s="6"/>
      <c r="CD54" s="6"/>
      <c r="CE54" s="6"/>
      <c r="CF54" s="7">
        <f>ROUND(8,2)</f>
        <v>8</v>
      </c>
      <c r="CG54" s="7">
        <f>ROUND(26,2)</f>
        <v>26</v>
      </c>
      <c r="CH54" s="7">
        <f>ROUND(56,2)</f>
        <v>56</v>
      </c>
      <c r="CI54" s="7">
        <f>ROUND(31,2)</f>
        <v>31</v>
      </c>
      <c r="CJ54" s="6"/>
      <c r="CK54" s="7">
        <f>ROUND(8,2)</f>
        <v>8</v>
      </c>
      <c r="CL54" s="6"/>
      <c r="CM54" s="6"/>
      <c r="CN54" s="7">
        <f>ROUND(80,2)</f>
        <v>80</v>
      </c>
      <c r="CO54" s="6"/>
      <c r="CP54" s="6"/>
      <c r="CQ54" s="7">
        <f>ROUND(1877,2)</f>
        <v>1877</v>
      </c>
      <c r="CR54" s="7">
        <f>ROUND(49451.34,2)</f>
        <v>49451.34</v>
      </c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7">
        <f>ROUND(-269.5,2)</f>
        <v>-269.5</v>
      </c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7">
        <f>ROUND(2352,2)</f>
        <v>2352</v>
      </c>
      <c r="FK54" s="6"/>
      <c r="FL54" s="7">
        <f>ROUND(196,2)</f>
        <v>196</v>
      </c>
      <c r="FM54" s="7">
        <f>ROUND(637,2)</f>
        <v>637</v>
      </c>
      <c r="FN54" s="7">
        <f>ROUND(588,2)</f>
        <v>588</v>
      </c>
      <c r="FO54" s="7">
        <f>ROUND(171.5,2)</f>
        <v>171.5</v>
      </c>
      <c r="FP54" s="6"/>
      <c r="FQ54" s="6"/>
      <c r="FR54" s="6"/>
      <c r="FS54" s="6"/>
      <c r="FT54" s="6"/>
      <c r="FU54" s="6"/>
      <c r="FV54" s="7">
        <f>ROUND(784,2)</f>
        <v>784</v>
      </c>
      <c r="FW54" s="6"/>
      <c r="FX54" s="6"/>
      <c r="FY54" s="7">
        <f>ROUND(53910.34,2)</f>
        <v>53910.34</v>
      </c>
    </row>
    <row r="55" spans="1:181" x14ac:dyDescent="0.3">
      <c r="A55" s="4" t="s">
        <v>393</v>
      </c>
      <c r="B55" s="5"/>
      <c r="C55" s="5" t="s">
        <v>394</v>
      </c>
      <c r="D55" s="5" t="s">
        <v>395</v>
      </c>
      <c r="E55" s="5" t="s">
        <v>0</v>
      </c>
      <c r="F55" s="5" t="s">
        <v>0</v>
      </c>
      <c r="G55" s="5" t="s">
        <v>396</v>
      </c>
      <c r="H55" s="8">
        <f>ROUND(24.2462,2)</f>
        <v>24.25</v>
      </c>
      <c r="I55" s="7">
        <f>ROUND(36126.7099999999,2)</f>
        <v>36126.71</v>
      </c>
      <c r="J55" s="7">
        <f>ROUND(1297,2)</f>
        <v>1297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7">
        <f>ROUND(10,2)</f>
        <v>10</v>
      </c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7">
        <f>ROUND(20,2)</f>
        <v>20</v>
      </c>
      <c r="BX55" s="6"/>
      <c r="BY55" s="6"/>
      <c r="BZ55" s="6"/>
      <c r="CA55" s="6"/>
      <c r="CB55" s="6"/>
      <c r="CC55" s="6"/>
      <c r="CD55" s="6"/>
      <c r="CE55" s="6"/>
      <c r="CF55" s="6"/>
      <c r="CG55" s="7">
        <f>ROUND(15,2)</f>
        <v>15</v>
      </c>
      <c r="CH55" s="7">
        <f>ROUND(25,2)</f>
        <v>25</v>
      </c>
      <c r="CI55" s="6"/>
      <c r="CJ55" s="6"/>
      <c r="CK55" s="6"/>
      <c r="CL55" s="6"/>
      <c r="CM55" s="6"/>
      <c r="CN55" s="7">
        <f>ROUND(75,2)</f>
        <v>75</v>
      </c>
      <c r="CO55" s="6"/>
      <c r="CP55" s="6"/>
      <c r="CQ55" s="7">
        <f>ROUND(1442,2)</f>
        <v>1442</v>
      </c>
      <c r="CR55" s="7">
        <f>ROUND(31447.2199999999,2)</f>
        <v>31447.22</v>
      </c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7">
        <f>ROUND(242.46,2)</f>
        <v>242.46</v>
      </c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7">
        <f>ROUND(484.92,2)</f>
        <v>484.92</v>
      </c>
      <c r="FH55" s="6"/>
      <c r="FI55" s="6"/>
      <c r="FJ55" s="7">
        <f>ROUND(1163.82,2)</f>
        <v>1163.82</v>
      </c>
      <c r="FK55" s="6"/>
      <c r="FL55" s="6"/>
      <c r="FM55" s="7">
        <f>ROUND(363.69,2)</f>
        <v>363.69</v>
      </c>
      <c r="FN55" s="7">
        <f>ROUND(606.15,2)</f>
        <v>606.15</v>
      </c>
      <c r="FO55" s="6"/>
      <c r="FP55" s="6"/>
      <c r="FQ55" s="6"/>
      <c r="FR55" s="6"/>
      <c r="FS55" s="6"/>
      <c r="FT55" s="6"/>
      <c r="FU55" s="6"/>
      <c r="FV55" s="7">
        <f>ROUND(1818.45,2)</f>
        <v>1818.45</v>
      </c>
      <c r="FW55" s="6"/>
      <c r="FX55" s="6"/>
      <c r="FY55" s="7">
        <f>ROUND(36126.7099999999,2)</f>
        <v>36126.71</v>
      </c>
    </row>
    <row r="56" spans="1:181" x14ac:dyDescent="0.3">
      <c r="A56" s="4" t="s">
        <v>462</v>
      </c>
      <c r="B56" s="5"/>
      <c r="C56" s="5" t="s">
        <v>394</v>
      </c>
      <c r="D56" s="5" t="s">
        <v>463</v>
      </c>
      <c r="E56" s="5" t="s">
        <v>0</v>
      </c>
      <c r="F56" s="5" t="s">
        <v>0</v>
      </c>
      <c r="G56" s="5" t="s">
        <v>396</v>
      </c>
      <c r="H56" s="8">
        <f>ROUND(23,2)</f>
        <v>23</v>
      </c>
      <c r="I56" s="7">
        <f>ROUND(51401.88,2)</f>
        <v>51401.88</v>
      </c>
      <c r="J56" s="7">
        <f>ROUND(1884,2)</f>
        <v>1884</v>
      </c>
      <c r="K56" s="7">
        <f>ROUND(8.75,2)</f>
        <v>8.75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7">
        <f>ROUND(8,2)</f>
        <v>8</v>
      </c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7">
        <f>ROUND(40,2)</f>
        <v>40</v>
      </c>
      <c r="BX56" s="6"/>
      <c r="BY56" s="6"/>
      <c r="BZ56" s="6"/>
      <c r="CA56" s="6"/>
      <c r="CB56" s="6"/>
      <c r="CC56" s="6"/>
      <c r="CD56" s="6"/>
      <c r="CE56" s="6"/>
      <c r="CF56" s="6"/>
      <c r="CG56" s="7">
        <f>ROUND(44,2)</f>
        <v>44</v>
      </c>
      <c r="CH56" s="7">
        <f>ROUND(40,2)</f>
        <v>40</v>
      </c>
      <c r="CI56" s="7">
        <f>ROUND(24,2)</f>
        <v>24</v>
      </c>
      <c r="CJ56" s="6"/>
      <c r="CK56" s="6"/>
      <c r="CL56" s="7">
        <f>ROUND(8,2)</f>
        <v>8</v>
      </c>
      <c r="CM56" s="6"/>
      <c r="CN56" s="7">
        <f>ROUND(72,2)</f>
        <v>72</v>
      </c>
      <c r="CO56" s="6"/>
      <c r="CP56" s="6"/>
      <c r="CQ56" s="7">
        <f>ROUND(2128.75,2)</f>
        <v>2128.75</v>
      </c>
      <c r="CR56" s="7">
        <f>ROUND(43332,2)</f>
        <v>43332</v>
      </c>
      <c r="CS56" s="7">
        <f>ROUND(301.88,2)</f>
        <v>301.88</v>
      </c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7">
        <f>ROUND(184,2)</f>
        <v>184</v>
      </c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7">
        <f>ROUND(920,2)</f>
        <v>920</v>
      </c>
      <c r="FH56" s="6"/>
      <c r="FI56" s="6"/>
      <c r="FJ56" s="7">
        <f>ROUND(2340,2)</f>
        <v>2340</v>
      </c>
      <c r="FK56" s="6"/>
      <c r="FL56" s="6"/>
      <c r="FM56" s="7">
        <f>ROUND(1012,2)</f>
        <v>1012</v>
      </c>
      <c r="FN56" s="7">
        <f>ROUND(920,2)</f>
        <v>920</v>
      </c>
      <c r="FO56" s="7">
        <f>ROUND(552,2)</f>
        <v>552</v>
      </c>
      <c r="FP56" s="6"/>
      <c r="FQ56" s="6"/>
      <c r="FR56" s="6"/>
      <c r="FS56" s="7">
        <f>ROUND(184,2)</f>
        <v>184</v>
      </c>
      <c r="FT56" s="6"/>
      <c r="FU56" s="6"/>
      <c r="FV56" s="7">
        <f>ROUND(1656,2)</f>
        <v>1656</v>
      </c>
      <c r="FW56" s="6"/>
      <c r="FX56" s="6"/>
      <c r="FY56" s="7">
        <f>ROUND(51401.88,2)</f>
        <v>51401.88</v>
      </c>
    </row>
    <row r="57" spans="1:181" x14ac:dyDescent="0.3">
      <c r="A57" s="4" t="s">
        <v>494</v>
      </c>
      <c r="B57" s="5"/>
      <c r="C57" s="5" t="s">
        <v>394</v>
      </c>
      <c r="D57" s="5" t="s">
        <v>465</v>
      </c>
      <c r="E57" s="5" t="s">
        <v>0</v>
      </c>
      <c r="F57" s="5" t="s">
        <v>0</v>
      </c>
      <c r="G57" s="5" t="s">
        <v>396</v>
      </c>
      <c r="H57" s="8">
        <f>ROUND(22,2)</f>
        <v>22</v>
      </c>
      <c r="I57" s="7">
        <f>ROUND(48752,2)</f>
        <v>48752</v>
      </c>
      <c r="J57" s="7">
        <f>ROUND(1867.5,2)</f>
        <v>1867.5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7">
        <f>ROUND(16,2)</f>
        <v>16</v>
      </c>
      <c r="BX57" s="6"/>
      <c r="BY57" s="6"/>
      <c r="BZ57" s="6"/>
      <c r="CA57" s="6"/>
      <c r="CB57" s="6"/>
      <c r="CC57" s="6"/>
      <c r="CD57" s="6"/>
      <c r="CE57" s="6"/>
      <c r="CF57" s="6"/>
      <c r="CG57" s="7">
        <f>ROUND(31,2)</f>
        <v>31</v>
      </c>
      <c r="CH57" s="7">
        <f>ROUND(56,2)</f>
        <v>56</v>
      </c>
      <c r="CI57" s="7">
        <f>ROUND(32,2)</f>
        <v>32</v>
      </c>
      <c r="CJ57" s="6"/>
      <c r="CK57" s="6"/>
      <c r="CL57" s="7">
        <f>ROUND(37.5,2)</f>
        <v>37.5</v>
      </c>
      <c r="CM57" s="6"/>
      <c r="CN57" s="7">
        <f>ROUND(80,2)</f>
        <v>80</v>
      </c>
      <c r="CO57" s="6"/>
      <c r="CP57" s="6"/>
      <c r="CQ57" s="7">
        <f>ROUND(2120,2)</f>
        <v>2120</v>
      </c>
      <c r="CR57" s="7">
        <f>ROUND(41085,2)</f>
        <v>41085</v>
      </c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7">
        <f>ROUND(352,2)</f>
        <v>352</v>
      </c>
      <c r="FH57" s="6"/>
      <c r="FI57" s="6"/>
      <c r="FJ57" s="7">
        <f>ROUND(2112,2)</f>
        <v>2112</v>
      </c>
      <c r="FK57" s="6"/>
      <c r="FL57" s="6"/>
      <c r="FM57" s="7">
        <f>ROUND(682,2)</f>
        <v>682</v>
      </c>
      <c r="FN57" s="7">
        <f>ROUND(1232,2)</f>
        <v>1232</v>
      </c>
      <c r="FO57" s="7">
        <f>ROUND(704,2)</f>
        <v>704</v>
      </c>
      <c r="FP57" s="6"/>
      <c r="FQ57" s="6"/>
      <c r="FR57" s="6"/>
      <c r="FS57" s="7">
        <f>ROUND(825,2)</f>
        <v>825</v>
      </c>
      <c r="FT57" s="6"/>
      <c r="FU57" s="6"/>
      <c r="FV57" s="7">
        <f>ROUND(1760,2)</f>
        <v>1760</v>
      </c>
      <c r="FW57" s="6"/>
      <c r="FX57" s="6"/>
      <c r="FY57" s="7">
        <f>ROUND(48752,2)</f>
        <v>48752</v>
      </c>
    </row>
    <row r="58" spans="1:181" ht="26.4" x14ac:dyDescent="0.3">
      <c r="A58" s="4" t="s">
        <v>529</v>
      </c>
      <c r="B58" s="5"/>
      <c r="C58" s="5" t="s">
        <v>394</v>
      </c>
      <c r="D58" s="5" t="s">
        <v>530</v>
      </c>
      <c r="E58" s="5" t="s">
        <v>0</v>
      </c>
      <c r="F58" s="5" t="s">
        <v>0</v>
      </c>
      <c r="G58" s="5" t="s">
        <v>531</v>
      </c>
      <c r="H58" s="8">
        <f>ROUND(2576.4,2)</f>
        <v>2576.4</v>
      </c>
      <c r="I58" s="7">
        <f>ROUND(142732.559999999,2)</f>
        <v>142732.56</v>
      </c>
      <c r="J58" s="7">
        <f>ROUND(1680,2)</f>
        <v>1680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7">
        <f>ROUND(-16,2)</f>
        <v>-16</v>
      </c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7">
        <f>ROUND(8,2)</f>
        <v>8</v>
      </c>
      <c r="BX58" s="6"/>
      <c r="BY58" s="6"/>
      <c r="BZ58" s="6"/>
      <c r="CA58" s="6"/>
      <c r="CB58" s="6"/>
      <c r="CC58" s="6"/>
      <c r="CD58" s="6"/>
      <c r="CE58" s="6"/>
      <c r="CF58" s="6"/>
      <c r="CG58" s="7">
        <f>ROUND(24,2)</f>
        <v>24</v>
      </c>
      <c r="CH58" s="7">
        <f>ROUND(56,2)</f>
        <v>56</v>
      </c>
      <c r="CI58" s="7">
        <f>ROUND(32,2)</f>
        <v>32</v>
      </c>
      <c r="CJ58" s="6"/>
      <c r="CK58" s="6"/>
      <c r="CL58" s="6"/>
      <c r="CM58" s="6"/>
      <c r="CN58" s="7">
        <f>ROUND(144,2)</f>
        <v>144</v>
      </c>
      <c r="CO58" s="6"/>
      <c r="CP58" s="6"/>
      <c r="CQ58" s="7">
        <f>ROUND(1928,2)</f>
        <v>1928</v>
      </c>
      <c r="CR58" s="7">
        <f>ROUND(131396.399999999,2)</f>
        <v>131396.4</v>
      </c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7">
        <f>ROUND(-1030.56,2)</f>
        <v>-1030.56</v>
      </c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7">
        <f>ROUND(515.28,2)</f>
        <v>515.28</v>
      </c>
      <c r="FH58" s="6"/>
      <c r="FI58" s="6"/>
      <c r="FJ58" s="7">
        <f>ROUND(6183.36,2)</f>
        <v>6183.36</v>
      </c>
      <c r="FK58" s="6"/>
      <c r="FL58" s="6"/>
      <c r="FM58" s="7">
        <f>ROUND(1545.84,2)</f>
        <v>1545.84</v>
      </c>
      <c r="FN58" s="7">
        <f>ROUND(1545.84,2)</f>
        <v>1545.84</v>
      </c>
      <c r="FO58" s="7">
        <f>ROUND(1030.56,2)</f>
        <v>1030.56</v>
      </c>
      <c r="FP58" s="6"/>
      <c r="FQ58" s="6"/>
      <c r="FR58" s="6"/>
      <c r="FS58" s="6"/>
      <c r="FT58" s="6"/>
      <c r="FU58" s="6"/>
      <c r="FV58" s="7">
        <f>ROUND(1545.84,2)</f>
        <v>1545.84</v>
      </c>
      <c r="FW58" s="6"/>
      <c r="FX58" s="6"/>
      <c r="FY58" s="7">
        <f>ROUND(142732.559999999,2)</f>
        <v>142732.56</v>
      </c>
    </row>
    <row r="59" spans="1:181" ht="26.4" x14ac:dyDescent="0.3">
      <c r="A59" s="4" t="s">
        <v>623</v>
      </c>
      <c r="B59" s="5"/>
      <c r="C59" s="5" t="s">
        <v>394</v>
      </c>
      <c r="D59" s="5" t="s">
        <v>624</v>
      </c>
      <c r="E59" s="5" t="s">
        <v>0</v>
      </c>
      <c r="F59" s="5" t="s">
        <v>0</v>
      </c>
      <c r="G59" s="5" t="s">
        <v>625</v>
      </c>
      <c r="H59" s="8">
        <f>ROUND(1217.31,2)</f>
        <v>1217.31</v>
      </c>
      <c r="I59" s="7">
        <f>ROUND(67322.9199999999,2)</f>
        <v>67322.92</v>
      </c>
      <c r="J59" s="7">
        <f>ROUND(1624,2)</f>
        <v>1624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7">
        <f>ROUND(-8,2)</f>
        <v>-8</v>
      </c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7">
        <f>ROUND(8,2)</f>
        <v>8</v>
      </c>
      <c r="BX59" s="6"/>
      <c r="BY59" s="6"/>
      <c r="BZ59" s="6"/>
      <c r="CA59" s="6"/>
      <c r="CB59" s="6"/>
      <c r="CC59" s="6"/>
      <c r="CD59" s="6"/>
      <c r="CE59" s="6"/>
      <c r="CF59" s="6"/>
      <c r="CG59" s="7">
        <f>ROUND(16,2)</f>
        <v>16</v>
      </c>
      <c r="CH59" s="7">
        <f>ROUND(56,2)</f>
        <v>56</v>
      </c>
      <c r="CI59" s="7">
        <f>ROUND(32,2)</f>
        <v>32</v>
      </c>
      <c r="CJ59" s="6"/>
      <c r="CK59" s="6"/>
      <c r="CL59" s="6"/>
      <c r="CM59" s="6"/>
      <c r="CN59" s="7">
        <f>ROUND(112,2)</f>
        <v>112</v>
      </c>
      <c r="CO59" s="6"/>
      <c r="CP59" s="6"/>
      <c r="CQ59" s="7">
        <f>ROUND(1840,2)</f>
        <v>1840</v>
      </c>
      <c r="CR59" s="7">
        <f>ROUND(60262.5399999999,2)</f>
        <v>60262.54</v>
      </c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7">
        <f>ROUND(-243.46,2)</f>
        <v>-243.46</v>
      </c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7">
        <f>ROUND(243.46,2)</f>
        <v>243.46</v>
      </c>
      <c r="FH59" s="6"/>
      <c r="FI59" s="6"/>
      <c r="FJ59" s="7">
        <f>ROUND(2921.55,2)</f>
        <v>2921.55</v>
      </c>
      <c r="FK59" s="6"/>
      <c r="FL59" s="6"/>
      <c r="FM59" s="7">
        <f>ROUND(486.92,2)</f>
        <v>486.92</v>
      </c>
      <c r="FN59" s="7">
        <f>ROUND(730.38,2)</f>
        <v>730.38</v>
      </c>
      <c r="FO59" s="7">
        <f>ROUND(486.92,2)</f>
        <v>486.92</v>
      </c>
      <c r="FP59" s="6"/>
      <c r="FQ59" s="6"/>
      <c r="FR59" s="6"/>
      <c r="FS59" s="6"/>
      <c r="FT59" s="6"/>
      <c r="FU59" s="6"/>
      <c r="FV59" s="7">
        <f>ROUND(2434.61,2)</f>
        <v>2434.61</v>
      </c>
      <c r="FW59" s="6"/>
      <c r="FX59" s="6"/>
      <c r="FY59" s="7">
        <f>ROUND(67322.9199999999,2)</f>
        <v>67322.92</v>
      </c>
    </row>
    <row r="60" spans="1:181" ht="26.4" x14ac:dyDescent="0.3">
      <c r="A60" s="4" t="s">
        <v>650</v>
      </c>
      <c r="B60" s="5"/>
      <c r="C60" s="5" t="s">
        <v>394</v>
      </c>
      <c r="D60" s="5" t="s">
        <v>395</v>
      </c>
      <c r="E60" s="5" t="s">
        <v>0</v>
      </c>
      <c r="F60" s="5" t="s">
        <v>0</v>
      </c>
      <c r="G60" s="5" t="s">
        <v>651</v>
      </c>
      <c r="H60" s="8">
        <f>ROUND(28.325,2)</f>
        <v>28.33</v>
      </c>
      <c r="I60" s="7">
        <f>ROUND(62768.68,2)</f>
        <v>62768.68</v>
      </c>
      <c r="J60" s="7">
        <f>ROUND(1790,2)</f>
        <v>1790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7">
        <f>ROUND(8,2)</f>
        <v>8</v>
      </c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7">
        <f>ROUND(56,2)</f>
        <v>56</v>
      </c>
      <c r="CI60" s="7">
        <f>ROUND(40,2)</f>
        <v>40</v>
      </c>
      <c r="CJ60" s="6"/>
      <c r="CK60" s="6"/>
      <c r="CL60" s="7">
        <f>ROUND(82,2)</f>
        <v>82</v>
      </c>
      <c r="CM60" s="6"/>
      <c r="CN60" s="7">
        <f>ROUND(144,2)</f>
        <v>144</v>
      </c>
      <c r="CO60" s="6"/>
      <c r="CP60" s="6"/>
      <c r="CQ60" s="7">
        <f>ROUND(2120,2)</f>
        <v>2120</v>
      </c>
      <c r="CR60" s="7">
        <f>ROUND(50701.75,2)</f>
        <v>50701.75</v>
      </c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7">
        <f>ROUND(226.6,2)</f>
        <v>226.6</v>
      </c>
      <c r="FH60" s="6"/>
      <c r="FI60" s="6"/>
      <c r="FJ60" s="7">
        <f>ROUND(2719.68,2)</f>
        <v>2719.68</v>
      </c>
      <c r="FK60" s="6"/>
      <c r="FL60" s="6"/>
      <c r="FM60" s="6"/>
      <c r="FN60" s="7">
        <f>ROUND(1586.19999999999,2)</f>
        <v>1586.2</v>
      </c>
      <c r="FO60" s="7">
        <f>ROUND(1133,2)</f>
        <v>1133</v>
      </c>
      <c r="FP60" s="6"/>
      <c r="FQ60" s="6"/>
      <c r="FR60" s="6"/>
      <c r="FS60" s="7">
        <f>ROUND(2322.64999999999,2)</f>
        <v>2322.65</v>
      </c>
      <c r="FT60" s="6"/>
      <c r="FU60" s="6"/>
      <c r="FV60" s="7">
        <f>ROUND(4078.79999999999,2)</f>
        <v>4078.8</v>
      </c>
      <c r="FW60" s="6"/>
      <c r="FX60" s="6"/>
      <c r="FY60" s="7">
        <f>ROUND(62768.68,2)</f>
        <v>62768.68</v>
      </c>
    </row>
    <row r="61" spans="1:181" ht="26.4" x14ac:dyDescent="0.3">
      <c r="A61" s="4" t="s">
        <v>671</v>
      </c>
      <c r="B61" s="5"/>
      <c r="C61" s="5" t="s">
        <v>394</v>
      </c>
      <c r="D61" s="5" t="s">
        <v>672</v>
      </c>
      <c r="E61" s="5" t="s">
        <v>0</v>
      </c>
      <c r="F61" s="5" t="s">
        <v>0</v>
      </c>
      <c r="G61" s="5" t="s">
        <v>673</v>
      </c>
      <c r="H61" s="8">
        <f>ROUND(1559.2282,2)</f>
        <v>1559.23</v>
      </c>
      <c r="I61" s="7">
        <f>ROUND(87087.3,2)</f>
        <v>87087.3</v>
      </c>
      <c r="J61" s="7">
        <f>ROUND(1688,2)</f>
        <v>1688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7">
        <f>ROUND(-8,2)</f>
        <v>-8</v>
      </c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7">
        <f>ROUND(8,2)</f>
        <v>8</v>
      </c>
      <c r="BX61" s="6"/>
      <c r="BY61" s="6"/>
      <c r="BZ61" s="6"/>
      <c r="CA61" s="6"/>
      <c r="CB61" s="6"/>
      <c r="CC61" s="6"/>
      <c r="CD61" s="6"/>
      <c r="CE61" s="6"/>
      <c r="CF61" s="6"/>
      <c r="CG61" s="7">
        <f>ROUND(16,2)</f>
        <v>16</v>
      </c>
      <c r="CH61" s="7">
        <f>ROUND(56,2)</f>
        <v>56</v>
      </c>
      <c r="CI61" s="7">
        <f>ROUND(32,2)</f>
        <v>32</v>
      </c>
      <c r="CJ61" s="6"/>
      <c r="CK61" s="6"/>
      <c r="CL61" s="6"/>
      <c r="CM61" s="6"/>
      <c r="CN61" s="7">
        <f>ROUND(176,2)</f>
        <v>176</v>
      </c>
      <c r="CO61" s="6"/>
      <c r="CP61" s="7">
        <f>ROUND(24,2)</f>
        <v>24</v>
      </c>
      <c r="CQ61" s="7">
        <f>ROUND(1992,2)</f>
        <v>1992</v>
      </c>
      <c r="CR61" s="7">
        <f>ROUND(79656.02,2)</f>
        <v>79656.02</v>
      </c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7">
        <f>ROUND(-311.85,2)</f>
        <v>-311.85000000000002</v>
      </c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7">
        <f>ROUND(3742.15,2)</f>
        <v>3742.15</v>
      </c>
      <c r="FK61" s="6"/>
      <c r="FL61" s="6"/>
      <c r="FM61" s="7">
        <f>ROUND(623.7,2)</f>
        <v>623.70000000000005</v>
      </c>
      <c r="FN61" s="7">
        <f>ROUND(935.55,2)</f>
        <v>935.55</v>
      </c>
      <c r="FO61" s="6"/>
      <c r="FP61" s="6"/>
      <c r="FQ61" s="6"/>
      <c r="FR61" s="6"/>
      <c r="FS61" s="6"/>
      <c r="FT61" s="6"/>
      <c r="FU61" s="6"/>
      <c r="FV61" s="7">
        <f>ROUND(1559.25,2)</f>
        <v>1559.25</v>
      </c>
      <c r="FW61" s="6"/>
      <c r="FX61" s="7">
        <f>ROUND(882.48,2)</f>
        <v>882.48</v>
      </c>
      <c r="FY61" s="7">
        <f>ROUND(87087.3,2)</f>
        <v>87087.3</v>
      </c>
    </row>
    <row r="62" spans="1:181" x14ac:dyDescent="0.3">
      <c r="A62" s="4" t="s">
        <v>235</v>
      </c>
      <c r="B62" s="5" t="s">
        <v>1029</v>
      </c>
      <c r="C62" s="5" t="s">
        <v>236</v>
      </c>
      <c r="D62" s="5" t="s">
        <v>237</v>
      </c>
      <c r="E62" s="5" t="s">
        <v>0</v>
      </c>
      <c r="F62" s="5" t="s">
        <v>0</v>
      </c>
      <c r="G62" s="5" t="s">
        <v>238</v>
      </c>
      <c r="H62" s="8">
        <v>38.5</v>
      </c>
      <c r="I62" s="7">
        <f>ROUND(83354,2)</f>
        <v>83354</v>
      </c>
      <c r="J62" s="6"/>
      <c r="K62" s="6"/>
      <c r="L62" s="7">
        <f>ROUND(1402.28,2)</f>
        <v>1402.28</v>
      </c>
      <c r="M62" s="7">
        <f>ROUND(244,2)</f>
        <v>244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7">
        <f>ROUND(56,2)</f>
        <v>56</v>
      </c>
      <c r="AV62" s="6"/>
      <c r="AW62" s="7">
        <f>ROUND(40,2)</f>
        <v>40</v>
      </c>
      <c r="AX62" s="6"/>
      <c r="AY62" s="7">
        <f>ROUND(244,2)</f>
        <v>244</v>
      </c>
      <c r="AZ62" s="7">
        <f>ROUND(20,2)</f>
        <v>20</v>
      </c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7">
        <f>ROUND(2,2)</f>
        <v>2</v>
      </c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7">
        <f>ROUND(392,2)</f>
        <v>392</v>
      </c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7">
        <f>ROUND(2400.28,2)</f>
        <v>2400.2800000000002</v>
      </c>
      <c r="CR62" s="6"/>
      <c r="CS62" s="6"/>
      <c r="CT62" s="7">
        <f>ROUND(51270.62,2)</f>
        <v>51270.62</v>
      </c>
      <c r="CU62" s="7">
        <f>ROUND(13235.96,2)</f>
        <v>13235.96</v>
      </c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7">
        <f>ROUND(2069.12,2)</f>
        <v>2069.12</v>
      </c>
      <c r="EE62" s="6"/>
      <c r="EF62" s="7">
        <f>ROUND(1473.12,2)</f>
        <v>1473.12</v>
      </c>
      <c r="EG62" s="6"/>
      <c r="EH62" s="7">
        <f>ROUND(9096.48,2)</f>
        <v>9096.48</v>
      </c>
      <c r="EI62" s="7">
        <f>ROUND(1096.56,2)</f>
        <v>1096.56</v>
      </c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7">
        <f>ROUND(112.14,2)</f>
        <v>112.14</v>
      </c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7">
        <f>ROUND(2000,2)</f>
        <v>2000</v>
      </c>
      <c r="FK62" s="6"/>
      <c r="FL62" s="6"/>
      <c r="FM62" s="6"/>
      <c r="FN62" s="6"/>
      <c r="FO62" s="6"/>
      <c r="FP62" s="6"/>
      <c r="FQ62" s="6"/>
      <c r="FR62" s="6"/>
      <c r="FS62" s="6"/>
      <c r="FT62" s="7">
        <f>ROUND(3000,2)</f>
        <v>3000</v>
      </c>
      <c r="FU62" s="6"/>
      <c r="FV62" s="6"/>
      <c r="FW62" s="6"/>
      <c r="FX62" s="6"/>
      <c r="FY62" s="7">
        <f>ROUND(83354,2)</f>
        <v>83354</v>
      </c>
    </row>
    <row r="63" spans="1:181" ht="26.4" x14ac:dyDescent="0.3">
      <c r="A63" s="4" t="s">
        <v>250</v>
      </c>
      <c r="B63" s="5"/>
      <c r="C63" s="5" t="s">
        <v>236</v>
      </c>
      <c r="D63" s="5" t="s">
        <v>251</v>
      </c>
      <c r="E63" s="5" t="s">
        <v>0</v>
      </c>
      <c r="F63" s="5" t="s">
        <v>0</v>
      </c>
      <c r="G63" s="5" t="s">
        <v>252</v>
      </c>
      <c r="H63" s="8">
        <f>ROUND(1208.27,2)</f>
        <v>1208.27</v>
      </c>
      <c r="I63" s="7">
        <f>ROUND(92438.16,2)</f>
        <v>92438.16</v>
      </c>
      <c r="J63" s="7">
        <f>ROUND(1632,2)</f>
        <v>1632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7">
        <f>ROUND(-20,2)</f>
        <v>-20</v>
      </c>
      <c r="AJ63" s="7">
        <f>ROUND(68,2)</f>
        <v>68</v>
      </c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7">
        <f>ROUND(8,2)</f>
        <v>8</v>
      </c>
      <c r="BX63" s="6"/>
      <c r="BY63" s="6"/>
      <c r="BZ63" s="6"/>
      <c r="CA63" s="6"/>
      <c r="CB63" s="6"/>
      <c r="CC63" s="6"/>
      <c r="CD63" s="6"/>
      <c r="CE63" s="6"/>
      <c r="CF63" s="6"/>
      <c r="CG63" s="7">
        <f>ROUND(16,2)</f>
        <v>16</v>
      </c>
      <c r="CH63" s="7">
        <f>ROUND(56,2)</f>
        <v>56</v>
      </c>
      <c r="CI63" s="7">
        <f>ROUND(32,2)</f>
        <v>32</v>
      </c>
      <c r="CJ63" s="6"/>
      <c r="CK63" s="6"/>
      <c r="CL63" s="6"/>
      <c r="CM63" s="6"/>
      <c r="CN63" s="7">
        <f>ROUND(140,2)</f>
        <v>140</v>
      </c>
      <c r="CO63" s="6"/>
      <c r="CP63" s="6"/>
      <c r="CQ63" s="7">
        <f>ROUND(1932,2)</f>
        <v>1932</v>
      </c>
      <c r="CR63" s="7">
        <f>ROUND(60171.8599999999,2)</f>
        <v>60171.86</v>
      </c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7">
        <f>ROUND(-604.13,2)</f>
        <v>-604.13</v>
      </c>
      <c r="DS63" s="7">
        <f>ROUND(25500,2)</f>
        <v>25500</v>
      </c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7">
        <f>ROUND(2899.85,2)</f>
        <v>2899.85</v>
      </c>
      <c r="FK63" s="6"/>
      <c r="FL63" s="6"/>
      <c r="FM63" s="7">
        <f>ROUND(483.31,2)</f>
        <v>483.31</v>
      </c>
      <c r="FN63" s="7">
        <f>ROUND(724.95,2)</f>
        <v>724.95</v>
      </c>
      <c r="FO63" s="7">
        <f>ROUND(724.95,2)</f>
        <v>724.95</v>
      </c>
      <c r="FP63" s="6"/>
      <c r="FQ63" s="6"/>
      <c r="FR63" s="6"/>
      <c r="FS63" s="6"/>
      <c r="FT63" s="6"/>
      <c r="FU63" s="6"/>
      <c r="FV63" s="7">
        <f>ROUND(2537.37,2)</f>
        <v>2537.37</v>
      </c>
      <c r="FW63" s="6"/>
      <c r="FX63" s="6"/>
      <c r="FY63" s="7">
        <f>ROUND(92438.16,2)</f>
        <v>92438.16</v>
      </c>
    </row>
    <row r="64" spans="1:181" x14ac:dyDescent="0.3">
      <c r="A64" s="4" t="s">
        <v>327</v>
      </c>
      <c r="B64" s="5" t="s">
        <v>1029</v>
      </c>
      <c r="C64" s="5" t="s">
        <v>236</v>
      </c>
      <c r="D64" s="5" t="s">
        <v>328</v>
      </c>
      <c r="E64" s="5" t="s">
        <v>329</v>
      </c>
      <c r="F64" s="5" t="s">
        <v>0</v>
      </c>
      <c r="G64" s="5" t="s">
        <v>330</v>
      </c>
      <c r="H64" s="9">
        <v>23.95</v>
      </c>
      <c r="I64" s="7">
        <f>ROUND(22994,2)</f>
        <v>22994</v>
      </c>
      <c r="J64" s="6"/>
      <c r="K64" s="6"/>
      <c r="L64" s="6"/>
      <c r="M64" s="6"/>
      <c r="N64" s="6"/>
      <c r="O64" s="6"/>
      <c r="P64" s="6"/>
      <c r="Q64" s="6"/>
      <c r="R64" s="7">
        <f>ROUND(976,2)</f>
        <v>976</v>
      </c>
      <c r="S64" s="7">
        <f>ROUND(80,2)</f>
        <v>80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7">
        <f>ROUND(16,2)</f>
        <v>16</v>
      </c>
      <c r="AV64" s="6"/>
      <c r="AW64" s="7">
        <f>ROUND(16,2)</f>
        <v>16</v>
      </c>
      <c r="AX64" s="6"/>
      <c r="AY64" s="7">
        <f>ROUND(8,2)</f>
        <v>8</v>
      </c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7">
        <f>ROUND(8,2)</f>
        <v>8</v>
      </c>
      <c r="BT64" s="6"/>
      <c r="BU64" s="6"/>
      <c r="BV64" s="6"/>
      <c r="BW64" s="6"/>
      <c r="BX64" s="6"/>
      <c r="BY64" s="7">
        <f>ROUND(8,2)</f>
        <v>8</v>
      </c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7">
        <f>ROUND(32,2)</f>
        <v>32</v>
      </c>
      <c r="CQ64" s="7">
        <f>ROUND(1144,2)</f>
        <v>1144</v>
      </c>
      <c r="CR64" s="6"/>
      <c r="CS64" s="6"/>
      <c r="CT64" s="6"/>
      <c r="CU64" s="6"/>
      <c r="CV64" s="6"/>
      <c r="CW64" s="6"/>
      <c r="CX64" s="6"/>
      <c r="CY64" s="6"/>
      <c r="CZ64" s="7">
        <f>ROUND(18564,2)</f>
        <v>18564</v>
      </c>
      <c r="DA64" s="7">
        <f>ROUND(2263.8,2)</f>
        <v>2263.8000000000002</v>
      </c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7">
        <f>ROUND(369.6,2)</f>
        <v>369.6</v>
      </c>
      <c r="EE64" s="6"/>
      <c r="EF64" s="7">
        <f>ROUND(369.6,2)</f>
        <v>369.6</v>
      </c>
      <c r="EG64" s="6"/>
      <c r="EH64" s="7">
        <f>ROUND(190.4,2)</f>
        <v>190.4</v>
      </c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7">
        <f>ROUND(475,2)</f>
        <v>475</v>
      </c>
      <c r="FS64" s="6"/>
      <c r="FT64" s="6"/>
      <c r="FU64" s="6"/>
      <c r="FV64" s="6"/>
      <c r="FW64" s="6"/>
      <c r="FX64" s="7">
        <f>ROUND(761.6,2)</f>
        <v>761.6</v>
      </c>
      <c r="FY64" s="7">
        <f>ROUND(22994,2)</f>
        <v>22994</v>
      </c>
    </row>
    <row r="65" spans="1:181" x14ac:dyDescent="0.3">
      <c r="A65" s="4" t="s">
        <v>336</v>
      </c>
      <c r="B65" s="5" t="s">
        <v>1029</v>
      </c>
      <c r="C65" s="5" t="s">
        <v>236</v>
      </c>
      <c r="D65" s="5" t="s">
        <v>337</v>
      </c>
      <c r="E65" s="5" t="s">
        <v>0</v>
      </c>
      <c r="F65" s="5" t="s">
        <v>0</v>
      </c>
      <c r="G65" s="5" t="s">
        <v>238</v>
      </c>
      <c r="H65" s="8">
        <v>41.75</v>
      </c>
      <c r="I65" s="7">
        <f>ROUND(147328.63,2)</f>
        <v>147328.63</v>
      </c>
      <c r="J65" s="6"/>
      <c r="K65" s="6"/>
      <c r="L65" s="7">
        <f>ROUND(1955,2)</f>
        <v>1955</v>
      </c>
      <c r="M65" s="7">
        <f>ROUND(1031.9,2)</f>
        <v>1031.9000000000001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7">
        <f>ROUND(56,2)</f>
        <v>56</v>
      </c>
      <c r="AV65" s="6"/>
      <c r="AW65" s="7">
        <f>ROUND(20,2)</f>
        <v>20</v>
      </c>
      <c r="AX65" s="7">
        <f>ROUND(20,2)</f>
        <v>20</v>
      </c>
      <c r="AY65" s="7">
        <f>ROUND(97,2)</f>
        <v>97</v>
      </c>
      <c r="AZ65" s="7">
        <f>ROUND(23,2)</f>
        <v>23</v>
      </c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7">
        <f>ROUND(3202.9,2)</f>
        <v>3202.9</v>
      </c>
      <c r="CR65" s="6"/>
      <c r="CS65" s="6"/>
      <c r="CT65" s="7">
        <f>ROUND(74816.81,2)</f>
        <v>74816.81</v>
      </c>
      <c r="CU65" s="7">
        <f>ROUND(58925.5699999999,2)</f>
        <v>58925.57</v>
      </c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7">
        <f>ROUND(2152.72,2)</f>
        <v>2152.7199999999998</v>
      </c>
      <c r="EE65" s="6"/>
      <c r="EF65" s="7">
        <f>ROUND(760.56,2)</f>
        <v>760.56</v>
      </c>
      <c r="EG65" s="7">
        <f>ROUND(1157.39999999999,2)</f>
        <v>1157.4000000000001</v>
      </c>
      <c r="EH65" s="7">
        <f>ROUND(3701.27,2)</f>
        <v>3701.27</v>
      </c>
      <c r="EI65" s="7">
        <f>ROUND(1364.3,2)</f>
        <v>1364.3</v>
      </c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7">
        <f>ROUND(1450,2)</f>
        <v>1450</v>
      </c>
      <c r="FK65" s="6"/>
      <c r="FL65" s="6"/>
      <c r="FM65" s="6"/>
      <c r="FN65" s="6"/>
      <c r="FO65" s="6"/>
      <c r="FP65" s="6"/>
      <c r="FQ65" s="6"/>
      <c r="FR65" s="6"/>
      <c r="FS65" s="6"/>
      <c r="FT65" s="7">
        <f t="shared" ref="FT65:FT71" si="2">ROUND(3000,2)</f>
        <v>3000</v>
      </c>
      <c r="FU65" s="6"/>
      <c r="FV65" s="6"/>
      <c r="FW65" s="6"/>
      <c r="FX65" s="6"/>
      <c r="FY65" s="7">
        <f>ROUND(147328.63,2)</f>
        <v>147328.63</v>
      </c>
    </row>
    <row r="66" spans="1:181" x14ac:dyDescent="0.3">
      <c r="A66" s="4" t="s">
        <v>408</v>
      </c>
      <c r="B66" s="5" t="s">
        <v>1029</v>
      </c>
      <c r="C66" s="5" t="s">
        <v>236</v>
      </c>
      <c r="D66" s="5" t="s">
        <v>309</v>
      </c>
      <c r="E66" s="5" t="s">
        <v>0</v>
      </c>
      <c r="F66" s="5" t="s">
        <v>0</v>
      </c>
      <c r="G66" s="5" t="s">
        <v>238</v>
      </c>
      <c r="H66" s="8">
        <v>37.75</v>
      </c>
      <c r="I66" s="7">
        <f>ROUND(130578.979999999,2)</f>
        <v>130578.98</v>
      </c>
      <c r="J66" s="6"/>
      <c r="K66" s="6"/>
      <c r="L66" s="7">
        <f>ROUND(2024,2)</f>
        <v>2024</v>
      </c>
      <c r="M66" s="7">
        <f>ROUND(756,2)</f>
        <v>756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7">
        <f>ROUND(56,2)</f>
        <v>56</v>
      </c>
      <c r="AV66" s="6"/>
      <c r="AW66" s="7">
        <f>ROUND(32,2)</f>
        <v>32</v>
      </c>
      <c r="AX66" s="7">
        <f>ROUND(8,2)</f>
        <v>8</v>
      </c>
      <c r="AY66" s="7">
        <f>ROUND(16,2)</f>
        <v>16</v>
      </c>
      <c r="AZ66" s="7">
        <f>ROUND(8,2)</f>
        <v>8</v>
      </c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7">
        <f>ROUND(104,2)</f>
        <v>104</v>
      </c>
      <c r="CQ66" s="7">
        <f>ROUND(3004,2)</f>
        <v>3004</v>
      </c>
      <c r="CR66" s="6"/>
      <c r="CS66" s="6"/>
      <c r="CT66" s="7">
        <f>ROUND(74652.48,2)</f>
        <v>74652.479999999996</v>
      </c>
      <c r="CU66" s="7">
        <f>ROUND(41879.7,2)</f>
        <v>41879.699999999997</v>
      </c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7">
        <f>ROUND(2063.12,2)</f>
        <v>2063.12</v>
      </c>
      <c r="EE66" s="6"/>
      <c r="EF66" s="7">
        <f>ROUND(1185.12,2)</f>
        <v>1185.1199999999999</v>
      </c>
      <c r="EG66" s="7">
        <f>ROUND(448.56,2)</f>
        <v>448.56</v>
      </c>
      <c r="EH66" s="7">
        <f>ROUND(576,2)</f>
        <v>576</v>
      </c>
      <c r="EI66" s="7">
        <f>ROUND(432,2)</f>
        <v>432</v>
      </c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7">
        <f>ROUND(500,2)</f>
        <v>500</v>
      </c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7">
        <f>ROUND(2000,2)</f>
        <v>2000</v>
      </c>
      <c r="FK66" s="6"/>
      <c r="FL66" s="6"/>
      <c r="FM66" s="6"/>
      <c r="FN66" s="6"/>
      <c r="FO66" s="6"/>
      <c r="FP66" s="6"/>
      <c r="FQ66" s="6"/>
      <c r="FR66" s="6"/>
      <c r="FS66" s="6"/>
      <c r="FT66" s="7">
        <f t="shared" si="2"/>
        <v>3000</v>
      </c>
      <c r="FU66" s="6"/>
      <c r="FV66" s="6"/>
      <c r="FW66" s="6"/>
      <c r="FX66" s="7">
        <f>ROUND(3842,2)</f>
        <v>3842</v>
      </c>
      <c r="FY66" s="7">
        <f>ROUND(130578.98,2)</f>
        <v>130578.98</v>
      </c>
    </row>
    <row r="67" spans="1:181" x14ac:dyDescent="0.3">
      <c r="A67" s="4" t="s">
        <v>425</v>
      </c>
      <c r="B67" s="5" t="s">
        <v>1029</v>
      </c>
      <c r="C67" s="5" t="s">
        <v>236</v>
      </c>
      <c r="D67" s="5" t="s">
        <v>426</v>
      </c>
      <c r="E67" s="5" t="s">
        <v>0</v>
      </c>
      <c r="F67" s="5" t="s">
        <v>0</v>
      </c>
      <c r="G67" s="5" t="s">
        <v>238</v>
      </c>
      <c r="H67" s="9">
        <v>38.15</v>
      </c>
      <c r="I67" s="7">
        <f>ROUND(98772.2599999999,2)</f>
        <v>98772.26</v>
      </c>
      <c r="J67" s="6"/>
      <c r="K67" s="6"/>
      <c r="L67" s="7">
        <f>ROUND(1999.28,2)</f>
        <v>1999.28</v>
      </c>
      <c r="M67" s="7">
        <f>ROUND(278.6,2)</f>
        <v>278.60000000000002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7">
        <f>ROUND(48,2)</f>
        <v>48</v>
      </c>
      <c r="AV67" s="6"/>
      <c r="AW67" s="7">
        <f>ROUND(48,2)</f>
        <v>48</v>
      </c>
      <c r="AX67" s="6"/>
      <c r="AY67" s="7">
        <f>ROUND(16,2)</f>
        <v>16</v>
      </c>
      <c r="AZ67" s="7">
        <f>ROUND(24,2)</f>
        <v>24</v>
      </c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7">
        <f>ROUND(2.12,2)</f>
        <v>2.12</v>
      </c>
      <c r="BU67" s="6"/>
      <c r="BV67" s="6"/>
      <c r="BW67" s="7">
        <f>ROUND(8,2)</f>
        <v>8</v>
      </c>
      <c r="BX67" s="6"/>
      <c r="BY67" s="6"/>
      <c r="BZ67" s="6"/>
      <c r="CA67" s="6"/>
      <c r="CB67" s="7">
        <f>ROUND(0.22,2)</f>
        <v>0.22</v>
      </c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7">
        <f>ROUND(2424.22,2)</f>
        <v>2424.2199999999998</v>
      </c>
      <c r="CR67" s="6"/>
      <c r="CS67" s="6"/>
      <c r="CT67" s="7">
        <f>ROUND(73710.9899999999,2)</f>
        <v>73710.990000000005</v>
      </c>
      <c r="CU67" s="7">
        <f>ROUND(15232.63,2)</f>
        <v>15232.63</v>
      </c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7">
        <f>ROUND(1778.32,2)</f>
        <v>1778.32</v>
      </c>
      <c r="EE67" s="6"/>
      <c r="EF67" s="7">
        <f>ROUND(1767.28,2)</f>
        <v>1767.28</v>
      </c>
      <c r="EG67" s="6"/>
      <c r="EH67" s="7">
        <f>ROUND(587.04,2)</f>
        <v>587.04</v>
      </c>
      <c r="EI67" s="7">
        <f>ROUND(1296,2)</f>
        <v>1296</v>
      </c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7">
        <f>ROUND(1400,2)</f>
        <v>1400</v>
      </c>
      <c r="FK67" s="6"/>
      <c r="FL67" s="6"/>
      <c r="FM67" s="6"/>
      <c r="FN67" s="6"/>
      <c r="FO67" s="6"/>
      <c r="FP67" s="6"/>
      <c r="FQ67" s="6"/>
      <c r="FR67" s="6"/>
      <c r="FS67" s="6"/>
      <c r="FT67" s="7">
        <f t="shared" si="2"/>
        <v>3000</v>
      </c>
      <c r="FU67" s="6"/>
      <c r="FV67" s="6"/>
      <c r="FW67" s="6"/>
      <c r="FX67" s="6"/>
      <c r="FY67" s="7">
        <f>ROUND(98772.26,2)</f>
        <v>98772.26</v>
      </c>
    </row>
    <row r="68" spans="1:181" x14ac:dyDescent="0.3">
      <c r="A68" s="4" t="s">
        <v>430</v>
      </c>
      <c r="B68" s="5" t="s">
        <v>1029</v>
      </c>
      <c r="C68" s="5" t="s">
        <v>236</v>
      </c>
      <c r="D68" s="5" t="s">
        <v>431</v>
      </c>
      <c r="E68" s="5" t="s">
        <v>0</v>
      </c>
      <c r="F68" s="5" t="s">
        <v>0</v>
      </c>
      <c r="G68" s="5" t="s">
        <v>238</v>
      </c>
      <c r="H68" s="8">
        <v>38.5</v>
      </c>
      <c r="I68" s="7">
        <f>ROUND(128517.099999999,2)</f>
        <v>128517.1</v>
      </c>
      <c r="J68" s="6"/>
      <c r="K68" s="6"/>
      <c r="L68" s="7">
        <f>ROUND(1842,2)</f>
        <v>1842</v>
      </c>
      <c r="M68" s="7">
        <f>ROUND(743,2)</f>
        <v>743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7">
        <f>ROUND(64,2)</f>
        <v>64</v>
      </c>
      <c r="AV68" s="6"/>
      <c r="AW68" s="7">
        <f>ROUND(32,2)</f>
        <v>32</v>
      </c>
      <c r="AX68" s="6"/>
      <c r="AY68" s="7">
        <f>ROUND(168,2)</f>
        <v>168</v>
      </c>
      <c r="AZ68" s="7">
        <f>ROUND(72,2)</f>
        <v>72</v>
      </c>
      <c r="BA68" s="6"/>
      <c r="BB68" s="6"/>
      <c r="BC68" s="6"/>
      <c r="BD68" s="6"/>
      <c r="BE68" s="6"/>
      <c r="BF68" s="6"/>
      <c r="BG68" s="7">
        <f>ROUND(40,2)</f>
        <v>40</v>
      </c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7">
        <f>ROUND(2961,2)</f>
        <v>2961</v>
      </c>
      <c r="CR68" s="6"/>
      <c r="CS68" s="6"/>
      <c r="CT68" s="7">
        <f>ROUND(67966.6,2)</f>
        <v>67966.600000000006</v>
      </c>
      <c r="CU68" s="7">
        <f>ROUND(41033.04,2)</f>
        <v>41033.040000000001</v>
      </c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7">
        <f>ROUND(2357.12,2)</f>
        <v>2357.12</v>
      </c>
      <c r="EE68" s="6"/>
      <c r="EF68" s="7">
        <f>ROUND(1172,2)</f>
        <v>1172</v>
      </c>
      <c r="EG68" s="6"/>
      <c r="EH68" s="7">
        <f>ROUND(6168.04,2)</f>
        <v>6168.04</v>
      </c>
      <c r="EI68" s="7">
        <f>ROUND(3950.1,2)</f>
        <v>3950.1</v>
      </c>
      <c r="EJ68" s="6"/>
      <c r="EK68" s="6"/>
      <c r="EL68" s="6"/>
      <c r="EM68" s="6"/>
      <c r="EN68" s="6"/>
      <c r="EO68" s="6"/>
      <c r="EP68" s="6"/>
      <c r="EQ68" s="7">
        <f>ROUND(1495.2,2)</f>
        <v>1495.2</v>
      </c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7">
        <f>ROUND(1375,2)</f>
        <v>1375</v>
      </c>
      <c r="FK68" s="6"/>
      <c r="FL68" s="6"/>
      <c r="FM68" s="6"/>
      <c r="FN68" s="6"/>
      <c r="FO68" s="6"/>
      <c r="FP68" s="6"/>
      <c r="FQ68" s="6"/>
      <c r="FR68" s="6"/>
      <c r="FS68" s="6"/>
      <c r="FT68" s="7">
        <f t="shared" si="2"/>
        <v>3000</v>
      </c>
      <c r="FU68" s="6"/>
      <c r="FV68" s="6"/>
      <c r="FW68" s="6"/>
      <c r="FX68" s="6"/>
      <c r="FY68" s="7">
        <f>ROUND(128517.099999999,2)</f>
        <v>128517.1</v>
      </c>
    </row>
    <row r="69" spans="1:181" x14ac:dyDescent="0.3">
      <c r="A69" s="4" t="s">
        <v>432</v>
      </c>
      <c r="B69" s="5" t="s">
        <v>1029</v>
      </c>
      <c r="C69" s="5" t="s">
        <v>236</v>
      </c>
      <c r="D69" s="5" t="s">
        <v>433</v>
      </c>
      <c r="E69" s="5" t="s">
        <v>0</v>
      </c>
      <c r="F69" s="5" t="s">
        <v>0</v>
      </c>
      <c r="G69" s="5" t="s">
        <v>238</v>
      </c>
      <c r="H69" s="8">
        <v>37.75</v>
      </c>
      <c r="I69" s="7">
        <f>ROUND(144185.76,2)</f>
        <v>144185.76</v>
      </c>
      <c r="J69" s="6"/>
      <c r="K69" s="6"/>
      <c r="L69" s="7">
        <f>ROUND(1944,2)</f>
        <v>1944</v>
      </c>
      <c r="M69" s="7">
        <f>ROUND(1052,2)</f>
        <v>1052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7">
        <f>ROUND(64,2)</f>
        <v>64</v>
      </c>
      <c r="AV69" s="6"/>
      <c r="AW69" s="7">
        <f>ROUND(16,2)</f>
        <v>16</v>
      </c>
      <c r="AX69" s="7">
        <f>ROUND(24,2)</f>
        <v>24</v>
      </c>
      <c r="AY69" s="7">
        <f>ROUND(104,2)</f>
        <v>104</v>
      </c>
      <c r="AZ69" s="7">
        <f>ROUND(8,2)</f>
        <v>8</v>
      </c>
      <c r="BA69" s="6"/>
      <c r="BB69" s="7">
        <f>ROUND(8,2)</f>
        <v>8</v>
      </c>
      <c r="BC69" s="6"/>
      <c r="BD69" s="6"/>
      <c r="BE69" s="6"/>
      <c r="BF69" s="6"/>
      <c r="BG69" s="7">
        <f>ROUND(24,2)</f>
        <v>24</v>
      </c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7">
        <f>ROUND(3244,2)</f>
        <v>3244</v>
      </c>
      <c r="CR69" s="6"/>
      <c r="CS69" s="6"/>
      <c r="CT69" s="7">
        <f>ROUND(71930.6799999999,2)</f>
        <v>71930.679999999993</v>
      </c>
      <c r="CU69" s="7">
        <f>ROUND(58319.64,2)</f>
        <v>58319.64</v>
      </c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7">
        <f>ROUND(2351.12,2)</f>
        <v>2351.12</v>
      </c>
      <c r="EE69" s="6"/>
      <c r="EF69" s="7">
        <f>ROUND(587.04,2)</f>
        <v>587.04</v>
      </c>
      <c r="EG69" s="7">
        <f>ROUND(1350.12,2)</f>
        <v>1350.12</v>
      </c>
      <c r="EH69" s="7">
        <f>ROUND(3755.04,2)</f>
        <v>3755.04</v>
      </c>
      <c r="EI69" s="7">
        <f>ROUND(432,2)</f>
        <v>432</v>
      </c>
      <c r="EJ69" s="6"/>
      <c r="EK69" s="7">
        <f>ROUND(288,2)</f>
        <v>288</v>
      </c>
      <c r="EL69" s="6"/>
      <c r="EM69" s="6"/>
      <c r="EN69" s="6"/>
      <c r="EO69" s="6"/>
      <c r="EP69" s="6"/>
      <c r="EQ69" s="7">
        <f>ROUND(897.12,2)</f>
        <v>897.12</v>
      </c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7">
        <f>ROUND(1275,2)</f>
        <v>1275</v>
      </c>
      <c r="FK69" s="6"/>
      <c r="FL69" s="6"/>
      <c r="FM69" s="6"/>
      <c r="FN69" s="6"/>
      <c r="FO69" s="6"/>
      <c r="FP69" s="6"/>
      <c r="FQ69" s="6"/>
      <c r="FR69" s="6"/>
      <c r="FS69" s="6"/>
      <c r="FT69" s="7">
        <f t="shared" si="2"/>
        <v>3000</v>
      </c>
      <c r="FU69" s="6"/>
      <c r="FV69" s="6"/>
      <c r="FW69" s="6"/>
      <c r="FX69" s="6"/>
      <c r="FY69" s="7">
        <f>ROUND(144185.76,2)</f>
        <v>144185.76</v>
      </c>
    </row>
    <row r="70" spans="1:181" x14ac:dyDescent="0.3">
      <c r="A70" s="4" t="s">
        <v>434</v>
      </c>
      <c r="B70" s="5" t="s">
        <v>1029</v>
      </c>
      <c r="C70" s="5" t="s">
        <v>236</v>
      </c>
      <c r="D70" s="5" t="s">
        <v>435</v>
      </c>
      <c r="E70" s="5" t="s">
        <v>0</v>
      </c>
      <c r="F70" s="5" t="s">
        <v>0</v>
      </c>
      <c r="G70" s="5" t="s">
        <v>330</v>
      </c>
      <c r="H70" s="8">
        <v>28.28</v>
      </c>
      <c r="I70" s="7">
        <f>ROUND(67047.05,2)</f>
        <v>67047.05</v>
      </c>
      <c r="J70" s="6"/>
      <c r="K70" s="6"/>
      <c r="L70" s="6"/>
      <c r="M70" s="6"/>
      <c r="N70" s="6"/>
      <c r="O70" s="6"/>
      <c r="P70" s="6"/>
      <c r="Q70" s="6"/>
      <c r="R70" s="7">
        <f>ROUND(1888,2)</f>
        <v>1888</v>
      </c>
      <c r="S70" s="7">
        <f>ROUND(90.95,2)</f>
        <v>90.95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7">
        <f>ROUND(56,2)</f>
        <v>56</v>
      </c>
      <c r="AV70" s="6"/>
      <c r="AW70" s="7">
        <f>ROUND(32,2)</f>
        <v>32</v>
      </c>
      <c r="AX70" s="6"/>
      <c r="AY70" s="7">
        <f>ROUND(112,2)</f>
        <v>112</v>
      </c>
      <c r="AZ70" s="6"/>
      <c r="BA70" s="6"/>
      <c r="BB70" s="7">
        <f>ROUND(8,2)</f>
        <v>8</v>
      </c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7">
        <f>ROUND(2186.95,2)</f>
        <v>2186.9499999999998</v>
      </c>
      <c r="CR70" s="6"/>
      <c r="CS70" s="6"/>
      <c r="CT70" s="6"/>
      <c r="CU70" s="6"/>
      <c r="CV70" s="6"/>
      <c r="CW70" s="6"/>
      <c r="CX70" s="6"/>
      <c r="CY70" s="6"/>
      <c r="CZ70" s="7">
        <f>ROUND(53203.2,2)</f>
        <v>53203.199999999997</v>
      </c>
      <c r="DA70" s="7">
        <f>ROUND(3840.37,2)</f>
        <v>3840.37</v>
      </c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7">
        <f>ROUND(1570.24,2)</f>
        <v>1570.24</v>
      </c>
      <c r="EE70" s="6"/>
      <c r="EF70" s="7">
        <f>ROUND(898.24,2)</f>
        <v>898.24</v>
      </c>
      <c r="EG70" s="6"/>
      <c r="EH70" s="7">
        <f>ROUND(3136,2)</f>
        <v>3136</v>
      </c>
      <c r="EI70" s="6"/>
      <c r="EJ70" s="6"/>
      <c r="EK70" s="7">
        <f>ROUND(224,2)</f>
        <v>224</v>
      </c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7">
        <f>ROUND(1175,2)</f>
        <v>1175</v>
      </c>
      <c r="FK70" s="6"/>
      <c r="FL70" s="6"/>
      <c r="FM70" s="6"/>
      <c r="FN70" s="6"/>
      <c r="FO70" s="6"/>
      <c r="FP70" s="6"/>
      <c r="FQ70" s="6"/>
      <c r="FR70" s="6"/>
      <c r="FS70" s="6"/>
      <c r="FT70" s="7">
        <f t="shared" si="2"/>
        <v>3000</v>
      </c>
      <c r="FU70" s="6"/>
      <c r="FV70" s="6"/>
      <c r="FW70" s="6"/>
      <c r="FX70" s="6"/>
      <c r="FY70" s="7">
        <f>ROUND(67047.05,2)</f>
        <v>67047.05</v>
      </c>
    </row>
    <row r="71" spans="1:181" x14ac:dyDescent="0.3">
      <c r="A71" s="4" t="s">
        <v>440</v>
      </c>
      <c r="B71" s="5" t="s">
        <v>1029</v>
      </c>
      <c r="C71" s="5" t="s">
        <v>236</v>
      </c>
      <c r="D71" s="5" t="s">
        <v>441</v>
      </c>
      <c r="E71" s="5" t="s">
        <v>0</v>
      </c>
      <c r="F71" s="5" t="s">
        <v>0</v>
      </c>
      <c r="G71" s="5" t="s">
        <v>330</v>
      </c>
      <c r="H71" s="9">
        <v>28.28</v>
      </c>
      <c r="I71" s="7">
        <f>ROUND(68129.76,2)</f>
        <v>68129.759999999995</v>
      </c>
      <c r="J71" s="6"/>
      <c r="K71" s="6"/>
      <c r="L71" s="6"/>
      <c r="M71" s="6"/>
      <c r="N71" s="6"/>
      <c r="O71" s="6"/>
      <c r="P71" s="6"/>
      <c r="Q71" s="6"/>
      <c r="R71" s="7">
        <f>ROUND(1990,2)</f>
        <v>1990</v>
      </c>
      <c r="S71" s="7">
        <f>ROUND(204,2)</f>
        <v>204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7">
        <f>ROUND(56,2)</f>
        <v>56</v>
      </c>
      <c r="AV71" s="6"/>
      <c r="AW71" s="7">
        <f>ROUND(32,2)</f>
        <v>32</v>
      </c>
      <c r="AX71" s="6"/>
      <c r="AY71" s="7">
        <f>ROUND(24,2)</f>
        <v>24</v>
      </c>
      <c r="AZ71" s="6"/>
      <c r="BA71" s="6"/>
      <c r="BB71" s="7">
        <f>ROUND(16,2)</f>
        <v>16</v>
      </c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7">
        <f>ROUND(8,2)</f>
        <v>8</v>
      </c>
      <c r="BT71" s="6"/>
      <c r="BU71" s="7">
        <f>ROUND(74,2)</f>
        <v>74</v>
      </c>
      <c r="BV71" s="6"/>
      <c r="BW71" s="6"/>
      <c r="BX71" s="6"/>
      <c r="BY71" s="7">
        <f>ROUND(16,2)</f>
        <v>16</v>
      </c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7">
        <f>ROUND(2420,2)</f>
        <v>2420</v>
      </c>
      <c r="CR71" s="6"/>
      <c r="CS71" s="6"/>
      <c r="CT71" s="6"/>
      <c r="CU71" s="6"/>
      <c r="CV71" s="6"/>
      <c r="CW71" s="6"/>
      <c r="CX71" s="6"/>
      <c r="CY71" s="6"/>
      <c r="CZ71" s="7">
        <f>ROUND(53049.9,2)</f>
        <v>53049.9</v>
      </c>
      <c r="DA71" s="7">
        <f>ROUND(8004.9,2)</f>
        <v>8004.9</v>
      </c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7">
        <f>ROUND(1503.04,2)</f>
        <v>1503.04</v>
      </c>
      <c r="EE71" s="6"/>
      <c r="EF71" s="7">
        <f>ROUND(880.32,2)</f>
        <v>880.32</v>
      </c>
      <c r="EG71" s="6"/>
      <c r="EH71" s="7">
        <f>ROUND(638.4,2)</f>
        <v>638.4</v>
      </c>
      <c r="EI71" s="6"/>
      <c r="EJ71" s="6"/>
      <c r="EK71" s="7">
        <f>ROUND(403.2,2)</f>
        <v>403.2</v>
      </c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7">
        <f>ROUND(650,2)</f>
        <v>650</v>
      </c>
      <c r="FK71" s="6"/>
      <c r="FL71" s="6"/>
      <c r="FM71" s="6"/>
      <c r="FN71" s="6"/>
      <c r="FO71" s="6"/>
      <c r="FP71" s="6"/>
      <c r="FQ71" s="6"/>
      <c r="FR71" s="6"/>
      <c r="FS71" s="6"/>
      <c r="FT71" s="7">
        <f t="shared" si="2"/>
        <v>3000</v>
      </c>
      <c r="FU71" s="6"/>
      <c r="FV71" s="6"/>
      <c r="FW71" s="6"/>
      <c r="FX71" s="6"/>
      <c r="FY71" s="7">
        <f>ROUND(68129.76,2)</f>
        <v>68129.759999999995</v>
      </c>
    </row>
    <row r="72" spans="1:181" x14ac:dyDescent="0.3">
      <c r="A72" s="4" t="s">
        <v>442</v>
      </c>
      <c r="B72" s="5" t="s">
        <v>1029</v>
      </c>
      <c r="C72" s="5" t="s">
        <v>236</v>
      </c>
      <c r="D72" s="5" t="s">
        <v>443</v>
      </c>
      <c r="E72" s="5" t="s">
        <v>444</v>
      </c>
      <c r="F72" s="5" t="s">
        <v>0</v>
      </c>
      <c r="G72" s="5" t="s">
        <v>330</v>
      </c>
      <c r="H72" s="8">
        <v>28.15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</row>
    <row r="73" spans="1:181" x14ac:dyDescent="0.3">
      <c r="A73" s="4" t="s">
        <v>488</v>
      </c>
      <c r="B73" s="5" t="s">
        <v>1029</v>
      </c>
      <c r="C73" s="5" t="s">
        <v>236</v>
      </c>
      <c r="D73" s="5" t="s">
        <v>489</v>
      </c>
      <c r="E73" s="5" t="s">
        <v>0</v>
      </c>
      <c r="F73" s="5" t="s">
        <v>0</v>
      </c>
      <c r="G73" s="5" t="s">
        <v>330</v>
      </c>
      <c r="H73" s="9">
        <v>28.28</v>
      </c>
      <c r="I73" s="7">
        <f>ROUND(72136.72,2)</f>
        <v>72136.72</v>
      </c>
      <c r="J73" s="6"/>
      <c r="K73" s="6"/>
      <c r="L73" s="6"/>
      <c r="M73" s="6"/>
      <c r="N73" s="6"/>
      <c r="O73" s="6"/>
      <c r="P73" s="6"/>
      <c r="Q73" s="6"/>
      <c r="R73" s="7">
        <f>ROUND(1976,2)</f>
        <v>1976</v>
      </c>
      <c r="S73" s="7">
        <f>ROUND(244,2)</f>
        <v>244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7">
        <f>ROUND(64,2)</f>
        <v>64</v>
      </c>
      <c r="AV73" s="6"/>
      <c r="AW73" s="7">
        <f>ROUND(24,2)</f>
        <v>24</v>
      </c>
      <c r="AX73" s="6"/>
      <c r="AY73" s="7">
        <f>ROUND(56,2)</f>
        <v>56</v>
      </c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7">
        <f>ROUND(2364,2)</f>
        <v>2364</v>
      </c>
      <c r="CR73" s="6"/>
      <c r="CS73" s="6"/>
      <c r="CT73" s="6"/>
      <c r="CU73" s="6"/>
      <c r="CV73" s="6"/>
      <c r="CW73" s="6"/>
      <c r="CX73" s="6"/>
      <c r="CY73" s="6"/>
      <c r="CZ73" s="7">
        <f>ROUND(53430,2)</f>
        <v>53430</v>
      </c>
      <c r="DA73" s="7">
        <f>ROUND(9860.63999999999,2)</f>
        <v>9860.64</v>
      </c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7">
        <f>ROUND(1715.84,2)</f>
        <v>1715.84</v>
      </c>
      <c r="EE73" s="6"/>
      <c r="EF73" s="7">
        <f>ROUND(649.6,2)</f>
        <v>649.6</v>
      </c>
      <c r="EG73" s="6"/>
      <c r="EH73" s="7">
        <f>ROUND(1480.64,2)</f>
        <v>1480.64</v>
      </c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7">
        <f>ROUND(2000,2)</f>
        <v>2000</v>
      </c>
      <c r="FK73" s="6"/>
      <c r="FL73" s="6"/>
      <c r="FM73" s="6"/>
      <c r="FN73" s="6"/>
      <c r="FO73" s="6"/>
      <c r="FP73" s="6"/>
      <c r="FQ73" s="6"/>
      <c r="FR73" s="6"/>
      <c r="FS73" s="6"/>
      <c r="FT73" s="7">
        <f>ROUND(3000,2)</f>
        <v>3000</v>
      </c>
      <c r="FU73" s="6"/>
      <c r="FV73" s="6"/>
      <c r="FW73" s="6"/>
      <c r="FX73" s="6"/>
      <c r="FY73" s="7">
        <f>ROUND(72136.72,2)</f>
        <v>72136.72</v>
      </c>
    </row>
    <row r="74" spans="1:181" x14ac:dyDescent="0.3">
      <c r="A74" s="4" t="s">
        <v>506</v>
      </c>
      <c r="B74" s="5" t="s">
        <v>1029</v>
      </c>
      <c r="C74" s="5" t="s">
        <v>236</v>
      </c>
      <c r="D74" s="5" t="s">
        <v>507</v>
      </c>
      <c r="E74" s="5" t="s">
        <v>0</v>
      </c>
      <c r="F74" s="5" t="s">
        <v>0</v>
      </c>
      <c r="G74" s="5" t="s">
        <v>508</v>
      </c>
      <c r="H74" s="8">
        <v>39.11</v>
      </c>
      <c r="I74" s="7">
        <f>ROUND(99696.85,2)</f>
        <v>99696.85</v>
      </c>
      <c r="J74" s="6"/>
      <c r="K74" s="6"/>
      <c r="L74" s="7">
        <f>ROUND(1846,2)</f>
        <v>1846</v>
      </c>
      <c r="M74" s="7">
        <f>ROUND(260,2)</f>
        <v>260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7">
        <f>ROUND(56,2)</f>
        <v>56</v>
      </c>
      <c r="AV74" s="6"/>
      <c r="AW74" s="7">
        <f>ROUND(20,2)</f>
        <v>20</v>
      </c>
      <c r="AX74" s="7">
        <f>ROUND(12,2)</f>
        <v>12</v>
      </c>
      <c r="AY74" s="7">
        <f>ROUND(206,2)</f>
        <v>206</v>
      </c>
      <c r="AZ74" s="7">
        <f>ROUND(18,2)</f>
        <v>18</v>
      </c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7">
        <f>ROUND(2418,2)</f>
        <v>2418</v>
      </c>
      <c r="CR74" s="6"/>
      <c r="CS74" s="6"/>
      <c r="CT74" s="7">
        <f>ROUND(68043.44,2)</f>
        <v>68043.44</v>
      </c>
      <c r="CU74" s="7">
        <f>ROUND(14384.31,2)</f>
        <v>14384.31</v>
      </c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7">
        <f>ROUND(2083.6,2)</f>
        <v>2083.6</v>
      </c>
      <c r="EE74" s="6"/>
      <c r="EF74" s="7">
        <f>ROUND(737.8,2)</f>
        <v>737.8</v>
      </c>
      <c r="EG74" s="7">
        <f>ROUND(664.02,2)</f>
        <v>664.02</v>
      </c>
      <c r="EH74" s="7">
        <f>ROUND(7781.44,2)</f>
        <v>7781.44</v>
      </c>
      <c r="EI74" s="7">
        <f>ROUND(1002.24,2)</f>
        <v>1002.24</v>
      </c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7">
        <f>ROUND(2000,2)</f>
        <v>2000</v>
      </c>
      <c r="FK74" s="6"/>
      <c r="FL74" s="6"/>
      <c r="FM74" s="6"/>
      <c r="FN74" s="6"/>
      <c r="FO74" s="6"/>
      <c r="FP74" s="6"/>
      <c r="FQ74" s="6"/>
      <c r="FR74" s="6"/>
      <c r="FS74" s="6"/>
      <c r="FT74" s="7">
        <f>ROUND(3000,2)</f>
        <v>3000</v>
      </c>
      <c r="FU74" s="6"/>
      <c r="FV74" s="6"/>
      <c r="FW74" s="6"/>
      <c r="FX74" s="6"/>
      <c r="FY74" s="7">
        <f>ROUND(99696.85,2)</f>
        <v>99696.85</v>
      </c>
    </row>
    <row r="75" spans="1:181" x14ac:dyDescent="0.3">
      <c r="A75" s="4" t="s">
        <v>521</v>
      </c>
      <c r="B75" s="5" t="s">
        <v>1029</v>
      </c>
      <c r="C75" s="5" t="s">
        <v>236</v>
      </c>
      <c r="D75" s="5" t="s">
        <v>522</v>
      </c>
      <c r="E75" s="5" t="s">
        <v>0</v>
      </c>
      <c r="F75" s="5" t="s">
        <v>0</v>
      </c>
      <c r="G75" s="5" t="s">
        <v>330</v>
      </c>
      <c r="H75" s="8">
        <v>28.56</v>
      </c>
      <c r="I75" s="7">
        <f>ROUND(70730.16,2)</f>
        <v>70730.16</v>
      </c>
      <c r="J75" s="6"/>
      <c r="K75" s="6"/>
      <c r="L75" s="6"/>
      <c r="M75" s="6"/>
      <c r="N75" s="6"/>
      <c r="O75" s="6"/>
      <c r="P75" s="6"/>
      <c r="Q75" s="6"/>
      <c r="R75" s="7">
        <f>ROUND(1808,2)</f>
        <v>1808</v>
      </c>
      <c r="S75" s="7">
        <f>ROUND(152,2)</f>
        <v>152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7">
        <f>ROUND(56,2)</f>
        <v>56</v>
      </c>
      <c r="AV75" s="6"/>
      <c r="AW75" s="7">
        <f>ROUND(24,2)</f>
        <v>24</v>
      </c>
      <c r="AX75" s="6"/>
      <c r="AY75" s="7">
        <f>ROUND(200,2)</f>
        <v>200</v>
      </c>
      <c r="AZ75" s="6"/>
      <c r="BA75" s="6"/>
      <c r="BB75" s="6"/>
      <c r="BC75" s="6"/>
      <c r="BD75" s="6"/>
      <c r="BE75" s="6"/>
      <c r="BF75" s="6"/>
      <c r="BG75" s="7">
        <f>ROUND(40,2)</f>
        <v>40</v>
      </c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7">
        <f>ROUND(2280,2)</f>
        <v>2280</v>
      </c>
      <c r="CR75" s="6"/>
      <c r="CS75" s="6"/>
      <c r="CT75" s="6"/>
      <c r="CU75" s="6"/>
      <c r="CV75" s="6"/>
      <c r="CW75" s="6"/>
      <c r="CX75" s="6"/>
      <c r="CY75" s="6"/>
      <c r="CZ75" s="7">
        <f>ROUND(50954.56,2)</f>
        <v>50954.559999999998</v>
      </c>
      <c r="DA75" s="7">
        <f>ROUND(6418.2,2)</f>
        <v>6418.2</v>
      </c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7">
        <f>ROUND(1572.48,2)</f>
        <v>1572.48</v>
      </c>
      <c r="EE75" s="6"/>
      <c r="EF75" s="7">
        <f>ROUND(672,2)</f>
        <v>672</v>
      </c>
      <c r="EG75" s="6"/>
      <c r="EH75" s="7">
        <f>ROUND(5617.92,2)</f>
        <v>5617.92</v>
      </c>
      <c r="EI75" s="6"/>
      <c r="EJ75" s="6"/>
      <c r="EK75" s="6"/>
      <c r="EL75" s="6"/>
      <c r="EM75" s="6"/>
      <c r="EN75" s="6"/>
      <c r="EO75" s="6"/>
      <c r="EP75" s="6"/>
      <c r="EQ75" s="7">
        <f>ROUND(1120,2)</f>
        <v>1120</v>
      </c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7">
        <f>ROUND(1375,2)</f>
        <v>1375</v>
      </c>
      <c r="FK75" s="6"/>
      <c r="FL75" s="6"/>
      <c r="FM75" s="6"/>
      <c r="FN75" s="6"/>
      <c r="FO75" s="6"/>
      <c r="FP75" s="6"/>
      <c r="FQ75" s="6"/>
      <c r="FR75" s="6"/>
      <c r="FS75" s="6"/>
      <c r="FT75" s="7">
        <f>ROUND(3000,2)</f>
        <v>3000</v>
      </c>
      <c r="FU75" s="6"/>
      <c r="FV75" s="6"/>
      <c r="FW75" s="6"/>
      <c r="FX75" s="6"/>
      <c r="FY75" s="7">
        <f>ROUND(70730.16,2)</f>
        <v>70730.16</v>
      </c>
    </row>
    <row r="76" spans="1:181" x14ac:dyDescent="0.3">
      <c r="A76" s="4" t="s">
        <v>568</v>
      </c>
      <c r="B76" s="5" t="s">
        <v>1029</v>
      </c>
      <c r="C76" s="5" t="s">
        <v>236</v>
      </c>
      <c r="D76" s="5" t="s">
        <v>569</v>
      </c>
      <c r="E76" s="5" t="s">
        <v>570</v>
      </c>
      <c r="F76" s="5" t="s">
        <v>0</v>
      </c>
      <c r="G76" s="5" t="s">
        <v>238</v>
      </c>
      <c r="H76" s="8">
        <v>37.53</v>
      </c>
      <c r="I76" s="7">
        <f>ROUND(95577.4299999999,2)</f>
        <v>95577.43</v>
      </c>
      <c r="J76" s="6"/>
      <c r="K76" s="6"/>
      <c r="L76" s="7">
        <f>ROUND(1378.03,2)</f>
        <v>1378.03</v>
      </c>
      <c r="M76" s="7">
        <f>ROUND(752.83,2)</f>
        <v>752.83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7">
        <f>ROUND(16,2)</f>
        <v>16</v>
      </c>
      <c r="AV76" s="6"/>
      <c r="AW76" s="7">
        <f>ROUND(32,2)</f>
        <v>32</v>
      </c>
      <c r="AX76" s="6"/>
      <c r="AY76" s="7">
        <f>ROUND(24,2)</f>
        <v>24</v>
      </c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7">
        <f>ROUND(8,2)</f>
        <v>8</v>
      </c>
      <c r="BU76" s="6"/>
      <c r="BV76" s="6"/>
      <c r="BW76" s="7">
        <f>ROUND(16,2)</f>
        <v>16</v>
      </c>
      <c r="BX76" s="6"/>
      <c r="BY76" s="6"/>
      <c r="BZ76" s="7">
        <f>ROUND(120,2)</f>
        <v>120</v>
      </c>
      <c r="CA76" s="6"/>
      <c r="CB76" s="6"/>
      <c r="CC76" s="7">
        <f>ROUND(40,2)</f>
        <v>40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7">
        <f>ROUND(16,2)</f>
        <v>16</v>
      </c>
      <c r="CQ76" s="7">
        <f>ROUND(2402.86,2)</f>
        <v>2402.86</v>
      </c>
      <c r="CR76" s="6"/>
      <c r="CS76" s="6"/>
      <c r="CT76" s="7">
        <f>ROUND(50518.56,2)</f>
        <v>50518.559999999998</v>
      </c>
      <c r="CU76" s="7">
        <f>ROUND(41282.75,2)</f>
        <v>41282.75</v>
      </c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7">
        <f>ROUND(587.04,2)</f>
        <v>587.04</v>
      </c>
      <c r="EE76" s="6"/>
      <c r="EF76" s="7">
        <f>ROUND(1152,2)</f>
        <v>1152</v>
      </c>
      <c r="EG76" s="6"/>
      <c r="EH76" s="7">
        <f>ROUND(864,2)</f>
        <v>864</v>
      </c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7">
        <f>ROUND(575,2)</f>
        <v>575</v>
      </c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7">
        <f>ROUND(598.08,2)</f>
        <v>598.08000000000004</v>
      </c>
      <c r="FY76" s="7">
        <f>ROUND(95577.4299999999,2)</f>
        <v>95577.43</v>
      </c>
    </row>
    <row r="77" spans="1:181" x14ac:dyDescent="0.3">
      <c r="A77" s="4" t="s">
        <v>587</v>
      </c>
      <c r="B77" s="5" t="s">
        <v>1029</v>
      </c>
      <c r="C77" s="5" t="s">
        <v>236</v>
      </c>
      <c r="D77" s="5" t="s">
        <v>588</v>
      </c>
      <c r="E77" s="5" t="s">
        <v>0</v>
      </c>
      <c r="F77" s="5" t="s">
        <v>0</v>
      </c>
      <c r="G77" s="5" t="s">
        <v>238</v>
      </c>
      <c r="H77" s="8">
        <v>37.75</v>
      </c>
      <c r="I77" s="7">
        <f>ROUND(109444.349999999,2)</f>
        <v>109444.35</v>
      </c>
      <c r="J77" s="6"/>
      <c r="K77" s="6"/>
      <c r="L77" s="7">
        <f>ROUND(1964,2)</f>
        <v>1964</v>
      </c>
      <c r="M77" s="7">
        <f>ROUND(406.13,2)</f>
        <v>406.13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7">
        <f>ROUND(56,2)</f>
        <v>56</v>
      </c>
      <c r="AV77" s="6"/>
      <c r="AW77" s="7">
        <f>ROUND(32,2)</f>
        <v>32</v>
      </c>
      <c r="AX77" s="7">
        <f>ROUND(24,2)</f>
        <v>24</v>
      </c>
      <c r="AY77" s="7">
        <f>ROUND(68,2)</f>
        <v>68</v>
      </c>
      <c r="AZ77" s="7">
        <f>ROUND(52,2)</f>
        <v>52</v>
      </c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7">
        <f>ROUND(2602.13,2)</f>
        <v>2602.13</v>
      </c>
      <c r="CR77" s="6"/>
      <c r="CS77" s="6"/>
      <c r="CT77" s="7">
        <f>ROUND(72094.2799999999,2)</f>
        <v>72094.28</v>
      </c>
      <c r="CU77" s="7">
        <f>ROUND(22396.35,2)</f>
        <v>22396.35</v>
      </c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7">
        <f>ROUND(2063.12,2)</f>
        <v>2063.12</v>
      </c>
      <c r="EE77" s="6"/>
      <c r="EF77" s="7">
        <f>ROUND(1174.08,2)</f>
        <v>1174.08</v>
      </c>
      <c r="EG77" s="7">
        <f>ROUND(1350.12,2)</f>
        <v>1350.12</v>
      </c>
      <c r="EH77" s="7">
        <f>ROUND(2525.27999999999,2)</f>
        <v>2525.2800000000002</v>
      </c>
      <c r="EI77" s="7">
        <f>ROUND(2841.12,2)</f>
        <v>2841.12</v>
      </c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7">
        <f>ROUND(2000,2)</f>
        <v>2000</v>
      </c>
      <c r="FK77" s="6"/>
      <c r="FL77" s="6"/>
      <c r="FM77" s="6"/>
      <c r="FN77" s="6"/>
      <c r="FO77" s="6"/>
      <c r="FP77" s="6"/>
      <c r="FQ77" s="6"/>
      <c r="FR77" s="6"/>
      <c r="FS77" s="6"/>
      <c r="FT77" s="7">
        <f t="shared" ref="FT77:FT94" si="3">ROUND(3000,2)</f>
        <v>3000</v>
      </c>
      <c r="FU77" s="6"/>
      <c r="FV77" s="6"/>
      <c r="FW77" s="6"/>
      <c r="FX77" s="6"/>
      <c r="FY77" s="7">
        <f>ROUND(109444.349999999,2)</f>
        <v>109444.35</v>
      </c>
    </row>
    <row r="78" spans="1:181" x14ac:dyDescent="0.3">
      <c r="A78" s="4" t="s">
        <v>647</v>
      </c>
      <c r="B78" s="5" t="s">
        <v>1029</v>
      </c>
      <c r="C78" s="5" t="s">
        <v>236</v>
      </c>
      <c r="D78" s="5" t="s">
        <v>648</v>
      </c>
      <c r="E78" s="5" t="s">
        <v>0</v>
      </c>
      <c r="F78" s="5" t="s">
        <v>0</v>
      </c>
      <c r="G78" s="5" t="s">
        <v>649</v>
      </c>
      <c r="H78" s="8">
        <v>34.67</v>
      </c>
      <c r="I78" s="7">
        <f>ROUND(87216.7299999999,2)</f>
        <v>87216.73</v>
      </c>
      <c r="J78" s="6"/>
      <c r="K78" s="6"/>
      <c r="L78" s="6"/>
      <c r="M78" s="6"/>
      <c r="N78" s="6"/>
      <c r="O78" s="7">
        <f>ROUND(1736,2)</f>
        <v>1736</v>
      </c>
      <c r="P78" s="7">
        <f>ROUND(220.85,2)</f>
        <v>220.85</v>
      </c>
      <c r="Q78" s="6"/>
      <c r="R78" s="7">
        <f>ROUND(200,2)</f>
        <v>200</v>
      </c>
      <c r="S78" s="7">
        <f>ROUND(32,2)</f>
        <v>32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7">
        <f>ROUND(56,2)</f>
        <v>56</v>
      </c>
      <c r="AV78" s="6"/>
      <c r="AW78" s="7">
        <f>ROUND(40,2)</f>
        <v>40</v>
      </c>
      <c r="AX78" s="6"/>
      <c r="AY78" s="7">
        <f>ROUND(72,2)</f>
        <v>72</v>
      </c>
      <c r="AZ78" s="6"/>
      <c r="BA78" s="6"/>
      <c r="BB78" s="7">
        <f>ROUND(8,2)</f>
        <v>8</v>
      </c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7">
        <f>ROUND(5.15,2)</f>
        <v>5.15</v>
      </c>
      <c r="BT78" s="7">
        <f>ROUND(1.6,2)</f>
        <v>1.6</v>
      </c>
      <c r="BU78" s="6"/>
      <c r="BV78" s="6"/>
      <c r="BW78" s="6"/>
      <c r="BX78" s="6"/>
      <c r="BY78" s="7">
        <f>ROUND(8,2)</f>
        <v>8</v>
      </c>
      <c r="BZ78" s="6"/>
      <c r="CA78" s="7">
        <f>ROUND(8,2)</f>
        <v>8</v>
      </c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7">
        <f>ROUND(2387.6,2)</f>
        <v>2387.6</v>
      </c>
      <c r="CR78" s="6"/>
      <c r="CS78" s="6"/>
      <c r="CT78" s="6"/>
      <c r="CU78" s="6"/>
      <c r="CV78" s="6"/>
      <c r="CW78" s="7">
        <f>ROUND(59089.4199999999,2)</f>
        <v>59089.42</v>
      </c>
      <c r="CX78" s="7">
        <f>ROUND(11143.35,2)</f>
        <v>11143.35</v>
      </c>
      <c r="CY78" s="6"/>
      <c r="CZ78" s="7">
        <f>ROUND(5630,2)</f>
        <v>5630</v>
      </c>
      <c r="DA78" s="7">
        <f>ROUND(1351.2,2)</f>
        <v>1351.2</v>
      </c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7">
        <f>ROUND(1857.91999999999,2)</f>
        <v>1857.92</v>
      </c>
      <c r="EE78" s="6"/>
      <c r="EF78" s="7">
        <f>ROUND(1246.96,2)</f>
        <v>1246.96</v>
      </c>
      <c r="EG78" s="6"/>
      <c r="EH78" s="7">
        <f>ROUND(2356.56,2)</f>
        <v>2356.56</v>
      </c>
      <c r="EI78" s="6"/>
      <c r="EJ78" s="6"/>
      <c r="EK78" s="7">
        <f>ROUND(266.32,2)</f>
        <v>266.32</v>
      </c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7">
        <f>ROUND(1275,2)</f>
        <v>1275</v>
      </c>
      <c r="FK78" s="6"/>
      <c r="FL78" s="6"/>
      <c r="FM78" s="6"/>
      <c r="FN78" s="6"/>
      <c r="FO78" s="6"/>
      <c r="FP78" s="6"/>
      <c r="FQ78" s="6"/>
      <c r="FR78" s="6"/>
      <c r="FS78" s="6"/>
      <c r="FT78" s="7">
        <f t="shared" si="3"/>
        <v>3000</v>
      </c>
      <c r="FU78" s="6"/>
      <c r="FV78" s="6"/>
      <c r="FW78" s="6"/>
      <c r="FX78" s="6"/>
      <c r="FY78" s="7">
        <f>ROUND(87216.7299999999,2)</f>
        <v>87216.73</v>
      </c>
    </row>
    <row r="79" spans="1:181" x14ac:dyDescent="0.3">
      <c r="A79" s="4" t="s">
        <v>682</v>
      </c>
      <c r="B79" s="5" t="s">
        <v>1029</v>
      </c>
      <c r="C79" s="5" t="s">
        <v>236</v>
      </c>
      <c r="D79" s="5" t="s">
        <v>683</v>
      </c>
      <c r="E79" s="5" t="s">
        <v>0</v>
      </c>
      <c r="F79" s="5" t="s">
        <v>0</v>
      </c>
      <c r="G79" s="5" t="s">
        <v>649</v>
      </c>
      <c r="H79" s="8">
        <v>38.950000000000003</v>
      </c>
      <c r="I79" s="7">
        <f>ROUND(74582.65,2)</f>
        <v>74582.649999999994</v>
      </c>
      <c r="J79" s="6"/>
      <c r="K79" s="6"/>
      <c r="L79" s="7">
        <f>ROUND(704,2)</f>
        <v>704</v>
      </c>
      <c r="M79" s="7">
        <f>ROUND(0.62,2)</f>
        <v>0.62</v>
      </c>
      <c r="N79" s="6"/>
      <c r="O79" s="7">
        <f>ROUND(1296,2)</f>
        <v>1296</v>
      </c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7">
        <f>ROUND(56,2)</f>
        <v>56</v>
      </c>
      <c r="AV79" s="6"/>
      <c r="AW79" s="7">
        <f>ROUND(32,2)</f>
        <v>32</v>
      </c>
      <c r="AX79" s="6"/>
      <c r="AY79" s="7">
        <f>ROUND(40,2)</f>
        <v>40</v>
      </c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7">
        <f>ROUND(2128.62,2)</f>
        <v>2128.62</v>
      </c>
      <c r="CR79" s="6"/>
      <c r="CS79" s="6"/>
      <c r="CT79" s="7">
        <f>ROUND(26912.13,2)</f>
        <v>26912.13</v>
      </c>
      <c r="CU79" s="7">
        <f>ROUND(35.32,2)</f>
        <v>35.32</v>
      </c>
      <c r="CV79" s="6"/>
      <c r="CW79" s="7">
        <f>ROUND(38385.76,2)</f>
        <v>38385.760000000002</v>
      </c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7">
        <f>ROUND(1867.44,2)</f>
        <v>1867.44</v>
      </c>
      <c r="EE79" s="6"/>
      <c r="EF79" s="7">
        <f>ROUND(1014.72,2)</f>
        <v>1014.72</v>
      </c>
      <c r="EG79" s="6"/>
      <c r="EH79" s="7">
        <f>ROUND(1367.28,2)</f>
        <v>1367.28</v>
      </c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7">
        <f>ROUND(2000,2)</f>
        <v>2000</v>
      </c>
      <c r="FK79" s="6"/>
      <c r="FL79" s="6"/>
      <c r="FM79" s="6"/>
      <c r="FN79" s="6"/>
      <c r="FO79" s="6"/>
      <c r="FP79" s="6"/>
      <c r="FQ79" s="6"/>
      <c r="FR79" s="6"/>
      <c r="FS79" s="6"/>
      <c r="FT79" s="7">
        <f t="shared" si="3"/>
        <v>3000</v>
      </c>
      <c r="FU79" s="6"/>
      <c r="FV79" s="6"/>
      <c r="FW79" s="6"/>
      <c r="FX79" s="6"/>
      <c r="FY79" s="7">
        <f>ROUND(74582.65,2)</f>
        <v>74582.649999999994</v>
      </c>
    </row>
    <row r="80" spans="1:181" x14ac:dyDescent="0.3">
      <c r="A80" s="4" t="s">
        <v>716</v>
      </c>
      <c r="B80" s="5" t="s">
        <v>1029</v>
      </c>
      <c r="C80" s="5" t="s">
        <v>236</v>
      </c>
      <c r="D80" s="5" t="s">
        <v>717</v>
      </c>
      <c r="E80" s="5" t="s">
        <v>0</v>
      </c>
      <c r="F80" s="5" t="s">
        <v>0</v>
      </c>
      <c r="G80" s="5" t="s">
        <v>649</v>
      </c>
      <c r="H80" s="8">
        <v>34.67</v>
      </c>
      <c r="I80" s="7">
        <f>ROUND(93785.7599999999,2)</f>
        <v>93785.76</v>
      </c>
      <c r="J80" s="6"/>
      <c r="K80" s="6"/>
      <c r="L80" s="6"/>
      <c r="M80" s="6"/>
      <c r="N80" s="6"/>
      <c r="O80" s="7">
        <f>ROUND(1912.22,2)</f>
        <v>1912.22</v>
      </c>
      <c r="P80" s="7">
        <f>ROUND(363.82,2)</f>
        <v>363.82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7">
        <f>ROUND(40,2)</f>
        <v>40</v>
      </c>
      <c r="AV80" s="6"/>
      <c r="AW80" s="7">
        <f>ROUND(40,2)</f>
        <v>40</v>
      </c>
      <c r="AX80" s="6"/>
      <c r="AY80" s="7">
        <f>ROUND(104,2)</f>
        <v>104</v>
      </c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7">
        <f>ROUND(16,2)</f>
        <v>16</v>
      </c>
      <c r="BT80" s="7">
        <f>ROUND(11.96,2)</f>
        <v>11.96</v>
      </c>
      <c r="BU80" s="6"/>
      <c r="BV80" s="6"/>
      <c r="BW80" s="7">
        <f>ROUND(16,2)</f>
        <v>16</v>
      </c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7">
        <f>ROUND(2504,2)</f>
        <v>2504</v>
      </c>
      <c r="CR80" s="6"/>
      <c r="CS80" s="6"/>
      <c r="CT80" s="6"/>
      <c r="CU80" s="6"/>
      <c r="CV80" s="6"/>
      <c r="CW80" s="7">
        <f>ROUND(64980.5199999999,2)</f>
        <v>64980.52</v>
      </c>
      <c r="CX80" s="7">
        <f>ROUND(18380.1599999999,2)</f>
        <v>18380.16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7">
        <f>ROUND(1359.27999999999,2)</f>
        <v>1359.28</v>
      </c>
      <c r="EE80" s="6"/>
      <c r="EF80" s="7">
        <f>ROUND(1342.63999999999,2)</f>
        <v>1342.64</v>
      </c>
      <c r="EG80" s="6"/>
      <c r="EH80" s="7">
        <f>ROUND(3498.16,2)</f>
        <v>3498.16</v>
      </c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7">
        <f>ROUND(1225,2)</f>
        <v>1225</v>
      </c>
      <c r="FK80" s="6"/>
      <c r="FL80" s="6"/>
      <c r="FM80" s="6"/>
      <c r="FN80" s="6"/>
      <c r="FO80" s="6"/>
      <c r="FP80" s="6"/>
      <c r="FQ80" s="6"/>
      <c r="FR80" s="6"/>
      <c r="FS80" s="6"/>
      <c r="FT80" s="7">
        <f t="shared" si="3"/>
        <v>3000</v>
      </c>
      <c r="FU80" s="6"/>
      <c r="FV80" s="6"/>
      <c r="FW80" s="6"/>
      <c r="FX80" s="6"/>
      <c r="FY80" s="7">
        <f>ROUND(93785.7599999999,2)</f>
        <v>93785.76</v>
      </c>
    </row>
    <row r="81" spans="1:181" x14ac:dyDescent="0.3">
      <c r="A81" s="4" t="s">
        <v>747</v>
      </c>
      <c r="B81" s="5" t="s">
        <v>1029</v>
      </c>
      <c r="C81" s="5" t="s">
        <v>236</v>
      </c>
      <c r="D81" s="5" t="s">
        <v>441</v>
      </c>
      <c r="E81" s="5" t="s">
        <v>0</v>
      </c>
      <c r="F81" s="5" t="s">
        <v>0</v>
      </c>
      <c r="G81" s="5" t="s">
        <v>649</v>
      </c>
      <c r="H81" s="9">
        <v>28.28</v>
      </c>
      <c r="I81" s="7">
        <f>ROUND(72917.51,2)</f>
        <v>72917.509999999995</v>
      </c>
      <c r="J81" s="6"/>
      <c r="K81" s="6"/>
      <c r="L81" s="6"/>
      <c r="M81" s="6"/>
      <c r="N81" s="6"/>
      <c r="O81" s="6"/>
      <c r="P81" s="6"/>
      <c r="Q81" s="6"/>
      <c r="R81" s="7">
        <f>ROUND(1992,2)</f>
        <v>1992</v>
      </c>
      <c r="S81" s="7">
        <f>ROUND(275,2)</f>
        <v>275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7">
        <f t="shared" ref="AU81:AU87" si="4">ROUND(56,2)</f>
        <v>56</v>
      </c>
      <c r="AV81" s="6"/>
      <c r="AW81" s="7">
        <f>ROUND(48,2)</f>
        <v>48</v>
      </c>
      <c r="AX81" s="6"/>
      <c r="AY81" s="7">
        <f>ROUND(32,2)</f>
        <v>32</v>
      </c>
      <c r="AZ81" s="7">
        <f>ROUND(8,2)</f>
        <v>8</v>
      </c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7">
        <f>ROUND(2411,2)</f>
        <v>2411</v>
      </c>
      <c r="CR81" s="6"/>
      <c r="CS81" s="6"/>
      <c r="CT81" s="6"/>
      <c r="CU81" s="6"/>
      <c r="CV81" s="6"/>
      <c r="CW81" s="6"/>
      <c r="CX81" s="6"/>
      <c r="CY81" s="6"/>
      <c r="CZ81" s="7">
        <f>ROUND(53064.35,2)</f>
        <v>53064.35</v>
      </c>
      <c r="DA81" s="7">
        <f>ROUND(10872.6799999999,2)</f>
        <v>10872.68</v>
      </c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7">
        <f>ROUND(1503.04,2)</f>
        <v>1503.04</v>
      </c>
      <c r="EE81" s="6"/>
      <c r="EF81" s="7">
        <f>ROUND(1323.84,2)</f>
        <v>1323.84</v>
      </c>
      <c r="EG81" s="6"/>
      <c r="EH81" s="7">
        <f>ROUND(851.2,2)</f>
        <v>851.2</v>
      </c>
      <c r="EI81" s="7">
        <f>ROUND(302.4,2)</f>
        <v>302.39999999999998</v>
      </c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7">
        <f>ROUND(2000,2)</f>
        <v>2000</v>
      </c>
      <c r="FK81" s="6"/>
      <c r="FL81" s="6"/>
      <c r="FM81" s="6"/>
      <c r="FN81" s="6"/>
      <c r="FO81" s="6"/>
      <c r="FP81" s="6"/>
      <c r="FQ81" s="6"/>
      <c r="FR81" s="6"/>
      <c r="FS81" s="6"/>
      <c r="FT81" s="7">
        <f t="shared" si="3"/>
        <v>3000</v>
      </c>
      <c r="FU81" s="6"/>
      <c r="FV81" s="6"/>
      <c r="FW81" s="6"/>
      <c r="FX81" s="6"/>
      <c r="FY81" s="7">
        <f>ROUND(72917.51,2)</f>
        <v>72917.509999999995</v>
      </c>
    </row>
    <row r="82" spans="1:181" x14ac:dyDescent="0.3">
      <c r="A82" s="4" t="s">
        <v>793</v>
      </c>
      <c r="B82" s="5" t="s">
        <v>1029</v>
      </c>
      <c r="C82" s="5" t="s">
        <v>236</v>
      </c>
      <c r="D82" s="5" t="s">
        <v>794</v>
      </c>
      <c r="E82" s="5" t="s">
        <v>0</v>
      </c>
      <c r="F82" s="5" t="s">
        <v>0</v>
      </c>
      <c r="G82" s="5" t="s">
        <v>330</v>
      </c>
      <c r="H82" s="8">
        <v>28.28</v>
      </c>
      <c r="I82" s="7">
        <f>ROUND(71968.94,2)</f>
        <v>71968.94</v>
      </c>
      <c r="J82" s="6"/>
      <c r="K82" s="6"/>
      <c r="L82" s="6"/>
      <c r="M82" s="6"/>
      <c r="N82" s="6"/>
      <c r="O82" s="6"/>
      <c r="P82" s="6"/>
      <c r="Q82" s="6"/>
      <c r="R82" s="7">
        <f>ROUND(1896,2)</f>
        <v>1896</v>
      </c>
      <c r="S82" s="7">
        <f>ROUND(169,2)</f>
        <v>169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7">
        <f t="shared" si="4"/>
        <v>56</v>
      </c>
      <c r="AV82" s="6"/>
      <c r="AW82" s="7">
        <f>ROUND(40,2)</f>
        <v>40</v>
      </c>
      <c r="AX82" s="6"/>
      <c r="AY82" s="7">
        <f>ROUND(112,2)</f>
        <v>112</v>
      </c>
      <c r="AZ82" s="7">
        <f>ROUND(8,2)</f>
        <v>8</v>
      </c>
      <c r="BA82" s="6"/>
      <c r="BB82" s="6"/>
      <c r="BC82" s="6"/>
      <c r="BD82" s="6"/>
      <c r="BE82" s="6"/>
      <c r="BF82" s="6"/>
      <c r="BG82" s="7">
        <f>ROUND(24,2)</f>
        <v>24</v>
      </c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7">
        <f>ROUND(2305,2)</f>
        <v>2305</v>
      </c>
      <c r="CR82" s="6"/>
      <c r="CS82" s="6"/>
      <c r="CT82" s="6"/>
      <c r="CU82" s="6"/>
      <c r="CV82" s="6"/>
      <c r="CW82" s="6"/>
      <c r="CX82" s="6"/>
      <c r="CY82" s="6"/>
      <c r="CZ82" s="7">
        <f>ROUND(53621.8999999999,2)</f>
        <v>53621.9</v>
      </c>
      <c r="DA82" s="7">
        <f>ROUND(7132.2,2)</f>
        <v>7132.2</v>
      </c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7">
        <f>ROUND(1570.24,2)</f>
        <v>1570.24</v>
      </c>
      <c r="EE82" s="6"/>
      <c r="EF82" s="7">
        <f>ROUND(1122.24,2)</f>
        <v>1122.24</v>
      </c>
      <c r="EG82" s="6"/>
      <c r="EH82" s="7">
        <f>ROUND(3136,2)</f>
        <v>3136</v>
      </c>
      <c r="EI82" s="7">
        <f>ROUND(339.36,2)</f>
        <v>339.36</v>
      </c>
      <c r="EJ82" s="6"/>
      <c r="EK82" s="6"/>
      <c r="EL82" s="6"/>
      <c r="EM82" s="6"/>
      <c r="EN82" s="6"/>
      <c r="EO82" s="6"/>
      <c r="EP82" s="6"/>
      <c r="EQ82" s="7">
        <f>ROUND(672,2)</f>
        <v>672</v>
      </c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7">
        <f>ROUND(1375,2)</f>
        <v>1375</v>
      </c>
      <c r="FK82" s="6"/>
      <c r="FL82" s="6"/>
      <c r="FM82" s="6"/>
      <c r="FN82" s="6"/>
      <c r="FO82" s="6"/>
      <c r="FP82" s="6"/>
      <c r="FQ82" s="6"/>
      <c r="FR82" s="6"/>
      <c r="FS82" s="6"/>
      <c r="FT82" s="7">
        <f t="shared" si="3"/>
        <v>3000</v>
      </c>
      <c r="FU82" s="6"/>
      <c r="FV82" s="6"/>
      <c r="FW82" s="6"/>
      <c r="FX82" s="6"/>
      <c r="FY82" s="7">
        <f>ROUND(71968.94,2)</f>
        <v>71968.94</v>
      </c>
    </row>
    <row r="83" spans="1:181" x14ac:dyDescent="0.3">
      <c r="A83" s="4" t="s">
        <v>795</v>
      </c>
      <c r="B83" s="5" t="s">
        <v>1029</v>
      </c>
      <c r="C83" s="5" t="s">
        <v>236</v>
      </c>
      <c r="D83" s="5" t="s">
        <v>796</v>
      </c>
      <c r="E83" s="5" t="s">
        <v>0</v>
      </c>
      <c r="F83" s="5" t="s">
        <v>0</v>
      </c>
      <c r="G83" s="5" t="s">
        <v>330</v>
      </c>
      <c r="H83" s="8">
        <v>28.28</v>
      </c>
      <c r="I83" s="7">
        <f>ROUND(62420.36,2)</f>
        <v>62420.36</v>
      </c>
      <c r="J83" s="6"/>
      <c r="K83" s="6"/>
      <c r="L83" s="6"/>
      <c r="M83" s="6"/>
      <c r="N83" s="6"/>
      <c r="O83" s="6"/>
      <c r="P83" s="6"/>
      <c r="Q83" s="6"/>
      <c r="R83" s="7">
        <f>ROUND(1621.25,2)</f>
        <v>1621.25</v>
      </c>
      <c r="S83" s="7">
        <f>ROUND(158.59,2)</f>
        <v>158.59</v>
      </c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7">
        <f t="shared" si="4"/>
        <v>56</v>
      </c>
      <c r="AV83" s="6"/>
      <c r="AW83" s="7">
        <f>ROUND(48,2)</f>
        <v>48</v>
      </c>
      <c r="AX83" s="6"/>
      <c r="AY83" s="7">
        <f>ROUND(64,2)</f>
        <v>64</v>
      </c>
      <c r="AZ83" s="6"/>
      <c r="BA83" s="6"/>
      <c r="BB83" s="7">
        <f>ROUND(16,2)</f>
        <v>16</v>
      </c>
      <c r="BC83" s="6"/>
      <c r="BD83" s="6"/>
      <c r="BE83" s="6"/>
      <c r="BF83" s="6"/>
      <c r="BG83" s="7">
        <f>ROUND(24,2)</f>
        <v>24</v>
      </c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7">
        <f>ROUND(16,2)</f>
        <v>16</v>
      </c>
      <c r="BV83" s="6"/>
      <c r="BW83" s="6"/>
      <c r="BX83" s="6"/>
      <c r="BY83" s="6"/>
      <c r="BZ83" s="6"/>
      <c r="CA83" s="6"/>
      <c r="CB83" s="7">
        <f>ROUND(387.13,2)</f>
        <v>387.13</v>
      </c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7">
        <f>ROUND(2390.97,2)</f>
        <v>2390.9699999999998</v>
      </c>
      <c r="CR83" s="6"/>
      <c r="CS83" s="6"/>
      <c r="CT83" s="6"/>
      <c r="CU83" s="6"/>
      <c r="CV83" s="6"/>
      <c r="CW83" s="6"/>
      <c r="CX83" s="6"/>
      <c r="CY83" s="6"/>
      <c r="CZ83" s="7">
        <f>ROUND(45685.35,2)</f>
        <v>45685.35</v>
      </c>
      <c r="DA83" s="7">
        <f>ROUND(6713.57,2)</f>
        <v>6713.57</v>
      </c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7">
        <f>ROUND(1570.24,2)</f>
        <v>1570.24</v>
      </c>
      <c r="EE83" s="6"/>
      <c r="EF83" s="7">
        <f>ROUND(1348.48,2)</f>
        <v>1348.48</v>
      </c>
      <c r="EG83" s="6"/>
      <c r="EH83" s="7">
        <f>ROUND(1792,2)</f>
        <v>1792</v>
      </c>
      <c r="EI83" s="6"/>
      <c r="EJ83" s="6"/>
      <c r="EK83" s="7">
        <f>ROUND(448,2)</f>
        <v>448</v>
      </c>
      <c r="EL83" s="6"/>
      <c r="EM83" s="6"/>
      <c r="EN83" s="6"/>
      <c r="EO83" s="6"/>
      <c r="EP83" s="6"/>
      <c r="EQ83" s="7">
        <f>ROUND(672,2)</f>
        <v>672</v>
      </c>
      <c r="ER83" s="7">
        <f>ROUND(315.72,2)</f>
        <v>315.72000000000003</v>
      </c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7">
        <f>ROUND(875,2)</f>
        <v>875</v>
      </c>
      <c r="FK83" s="6"/>
      <c r="FL83" s="6"/>
      <c r="FM83" s="6"/>
      <c r="FN83" s="6"/>
      <c r="FO83" s="6"/>
      <c r="FP83" s="6"/>
      <c r="FQ83" s="6"/>
      <c r="FR83" s="6"/>
      <c r="FS83" s="6"/>
      <c r="FT83" s="7">
        <f t="shared" si="3"/>
        <v>3000</v>
      </c>
      <c r="FU83" s="6"/>
      <c r="FV83" s="6"/>
      <c r="FW83" s="6"/>
      <c r="FX83" s="6"/>
      <c r="FY83" s="7">
        <f>ROUND(62420.36,2)</f>
        <v>62420.36</v>
      </c>
    </row>
    <row r="84" spans="1:181" x14ac:dyDescent="0.3">
      <c r="A84" s="4" t="s">
        <v>815</v>
      </c>
      <c r="B84" s="5" t="s">
        <v>1029</v>
      </c>
      <c r="C84" s="5" t="s">
        <v>236</v>
      </c>
      <c r="D84" s="5" t="s">
        <v>816</v>
      </c>
      <c r="E84" s="5" t="s">
        <v>0</v>
      </c>
      <c r="F84" s="5" t="s">
        <v>0</v>
      </c>
      <c r="G84" s="5" t="s">
        <v>238</v>
      </c>
      <c r="H84" s="8">
        <v>37.75</v>
      </c>
      <c r="I84" s="7">
        <f>ROUND(80928.8199999999,2)</f>
        <v>80928.820000000007</v>
      </c>
      <c r="J84" s="6"/>
      <c r="K84" s="6"/>
      <c r="L84" s="7">
        <f>ROUND(1848,2)</f>
        <v>1848</v>
      </c>
      <c r="M84" s="7">
        <f>ROUND(0.53,2)</f>
        <v>0.53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7">
        <f t="shared" si="4"/>
        <v>56</v>
      </c>
      <c r="AV84" s="6"/>
      <c r="AW84" s="7">
        <f>ROUND(32,2)</f>
        <v>32</v>
      </c>
      <c r="AX84" s="6"/>
      <c r="AY84" s="7">
        <f>ROUND(120,2)</f>
        <v>120</v>
      </c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7">
        <f>ROUND(32,2)</f>
        <v>32</v>
      </c>
      <c r="BT84" s="6"/>
      <c r="BU84" s="6"/>
      <c r="BV84" s="6"/>
      <c r="BW84" s="6"/>
      <c r="BX84" s="6"/>
      <c r="BY84" s="7">
        <f>ROUND(16,2)</f>
        <v>16</v>
      </c>
      <c r="BZ84" s="6"/>
      <c r="CA84" s="6"/>
      <c r="CB84" s="6"/>
      <c r="CC84" s="7">
        <f>ROUND(16,2)</f>
        <v>16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7">
        <f>ROUND(2120.52999999999,2)</f>
        <v>2120.5300000000002</v>
      </c>
      <c r="CR84" s="6"/>
      <c r="CS84" s="6"/>
      <c r="CT84" s="7">
        <f>ROUND(68404.3999999999,2)</f>
        <v>68404.399999999994</v>
      </c>
      <c r="CU84" s="7">
        <f>ROUND(28.86,2)</f>
        <v>28.86</v>
      </c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7">
        <f>ROUND(2063.12,2)</f>
        <v>2063.12</v>
      </c>
      <c r="EE84" s="6"/>
      <c r="EF84" s="7">
        <f>ROUND(1174.08,2)</f>
        <v>1174.08</v>
      </c>
      <c r="EG84" s="6"/>
      <c r="EH84" s="7">
        <f>ROUND(4433.36,2)</f>
        <v>4433.3599999999997</v>
      </c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7">
        <f>ROUND(500,2)</f>
        <v>500</v>
      </c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7">
        <f>ROUND(1325,2)</f>
        <v>1325</v>
      </c>
      <c r="FK84" s="6"/>
      <c r="FL84" s="6"/>
      <c r="FM84" s="6"/>
      <c r="FN84" s="6"/>
      <c r="FO84" s="6"/>
      <c r="FP84" s="6"/>
      <c r="FQ84" s="6"/>
      <c r="FR84" s="6"/>
      <c r="FS84" s="6"/>
      <c r="FT84" s="7">
        <f t="shared" si="3"/>
        <v>3000</v>
      </c>
      <c r="FU84" s="6"/>
      <c r="FV84" s="6"/>
      <c r="FW84" s="6"/>
      <c r="FX84" s="6"/>
      <c r="FY84" s="7">
        <f>ROUND(80928.8199999999,2)</f>
        <v>80928.820000000007</v>
      </c>
    </row>
    <row r="85" spans="1:181" x14ac:dyDescent="0.3">
      <c r="A85" s="4" t="s">
        <v>838</v>
      </c>
      <c r="B85" s="5" t="s">
        <v>1029</v>
      </c>
      <c r="C85" s="5" t="s">
        <v>236</v>
      </c>
      <c r="D85" s="5" t="s">
        <v>839</v>
      </c>
      <c r="E85" s="5" t="s">
        <v>0</v>
      </c>
      <c r="F85" s="5" t="s">
        <v>0</v>
      </c>
      <c r="G85" s="5" t="s">
        <v>238</v>
      </c>
      <c r="H85" s="8">
        <v>37.75</v>
      </c>
      <c r="I85" s="7">
        <f>ROUND(158709.33,2)</f>
        <v>158709.32999999999</v>
      </c>
      <c r="J85" s="6"/>
      <c r="K85" s="6"/>
      <c r="L85" s="7">
        <f>ROUND(1960,2)</f>
        <v>1960</v>
      </c>
      <c r="M85" s="7">
        <f>ROUND(1340.05,2)</f>
        <v>1340.05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7">
        <f t="shared" si="4"/>
        <v>56</v>
      </c>
      <c r="AV85" s="6"/>
      <c r="AW85" s="7">
        <f>ROUND(64,2)</f>
        <v>64</v>
      </c>
      <c r="AX85" s="6"/>
      <c r="AY85" s="7">
        <f>ROUND(48,2)</f>
        <v>48</v>
      </c>
      <c r="AZ85" s="7">
        <f>ROUND(32,2)</f>
        <v>32</v>
      </c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7">
        <f>ROUND(0.5,2)</f>
        <v>0.5</v>
      </c>
      <c r="BU85" s="6"/>
      <c r="BV85" s="6"/>
      <c r="BW85" s="6"/>
      <c r="BX85" s="6"/>
      <c r="BY85" s="6"/>
      <c r="BZ85" s="6"/>
      <c r="CA85" s="7">
        <f>ROUND(8,2)</f>
        <v>8</v>
      </c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7">
        <f>ROUND(3508.55,2)</f>
        <v>3508.55</v>
      </c>
      <c r="CR85" s="6"/>
      <c r="CS85" s="6"/>
      <c r="CT85" s="7">
        <f>ROUND(72421.7799999999,2)</f>
        <v>72421.78</v>
      </c>
      <c r="CU85" s="7">
        <f>ROUND(74189.6299999999,2)</f>
        <v>74189.63</v>
      </c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7">
        <f>ROUND(2063.12,2)</f>
        <v>2063.12</v>
      </c>
      <c r="EE85" s="6"/>
      <c r="EF85" s="7">
        <f>ROUND(2368.08,2)</f>
        <v>2368.08</v>
      </c>
      <c r="EG85" s="6"/>
      <c r="EH85" s="7">
        <f>ROUND(1772.16,2)</f>
        <v>1772.16</v>
      </c>
      <c r="EI85" s="7">
        <f>ROUND(1744.56,2)</f>
        <v>1744.56</v>
      </c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7">
        <f>ROUND(1150,2)</f>
        <v>1150</v>
      </c>
      <c r="FK85" s="6"/>
      <c r="FL85" s="6"/>
      <c r="FM85" s="6"/>
      <c r="FN85" s="6"/>
      <c r="FO85" s="6"/>
      <c r="FP85" s="6"/>
      <c r="FQ85" s="6"/>
      <c r="FR85" s="6"/>
      <c r="FS85" s="6"/>
      <c r="FT85" s="7">
        <f t="shared" si="3"/>
        <v>3000</v>
      </c>
      <c r="FU85" s="6"/>
      <c r="FV85" s="6"/>
      <c r="FW85" s="6"/>
      <c r="FX85" s="6"/>
      <c r="FY85" s="7">
        <f>ROUND(158709.33,2)</f>
        <v>158709.32999999999</v>
      </c>
    </row>
    <row r="86" spans="1:181" x14ac:dyDescent="0.3">
      <c r="A86" s="4" t="s">
        <v>853</v>
      </c>
      <c r="B86" s="5" t="s">
        <v>1029</v>
      </c>
      <c r="C86" s="5" t="s">
        <v>236</v>
      </c>
      <c r="D86" s="5" t="s">
        <v>854</v>
      </c>
      <c r="E86" s="5" t="s">
        <v>0</v>
      </c>
      <c r="F86" s="5" t="s">
        <v>0</v>
      </c>
      <c r="G86" s="5" t="s">
        <v>330</v>
      </c>
      <c r="H86" s="8">
        <v>28.28</v>
      </c>
      <c r="I86" s="7">
        <f>ROUND(77851.64,2)</f>
        <v>77851.64</v>
      </c>
      <c r="J86" s="6"/>
      <c r="K86" s="6"/>
      <c r="L86" s="6"/>
      <c r="M86" s="6"/>
      <c r="N86" s="6"/>
      <c r="O86" s="6"/>
      <c r="P86" s="6"/>
      <c r="Q86" s="6"/>
      <c r="R86" s="7">
        <f>ROUND(1944,2)</f>
        <v>1944</v>
      </c>
      <c r="S86" s="7">
        <f>ROUND(312,2)</f>
        <v>312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7">
        <f t="shared" si="4"/>
        <v>56</v>
      </c>
      <c r="AV86" s="6"/>
      <c r="AW86" s="7">
        <f>ROUND(24,2)</f>
        <v>24</v>
      </c>
      <c r="AX86" s="7">
        <f>ROUND(24,2)</f>
        <v>24</v>
      </c>
      <c r="AY86" s="7">
        <f>ROUND(72,2)</f>
        <v>72</v>
      </c>
      <c r="AZ86" s="7">
        <f>ROUND(8,2)</f>
        <v>8</v>
      </c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7">
        <f>ROUND(24,2)</f>
        <v>24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7">
        <f>ROUND(2464,2)</f>
        <v>2464</v>
      </c>
      <c r="CR86" s="6"/>
      <c r="CS86" s="6"/>
      <c r="CT86" s="6"/>
      <c r="CU86" s="6"/>
      <c r="CV86" s="6"/>
      <c r="CW86" s="6"/>
      <c r="CX86" s="6"/>
      <c r="CY86" s="6"/>
      <c r="CZ86" s="7">
        <f>ROUND(54786.88,2)</f>
        <v>54786.879999999997</v>
      </c>
      <c r="DA86" s="7">
        <f>ROUND(13187.5199999999,2)</f>
        <v>13187.52</v>
      </c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7">
        <f>ROUND(1570.24,2)</f>
        <v>1570.24</v>
      </c>
      <c r="EE86" s="6"/>
      <c r="EF86" s="7">
        <f>ROUND(672,2)</f>
        <v>672</v>
      </c>
      <c r="EG86" s="7">
        <f>ROUND(1008,2)</f>
        <v>1008</v>
      </c>
      <c r="EH86" s="7">
        <f>ROUND(2016,2)</f>
        <v>2016</v>
      </c>
      <c r="EI86" s="7">
        <f>ROUND(336,2)</f>
        <v>336</v>
      </c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7">
        <f>ROUND(1275,2)</f>
        <v>1275</v>
      </c>
      <c r="FK86" s="6"/>
      <c r="FL86" s="6"/>
      <c r="FM86" s="6"/>
      <c r="FN86" s="6"/>
      <c r="FO86" s="6"/>
      <c r="FP86" s="6"/>
      <c r="FQ86" s="6"/>
      <c r="FR86" s="6"/>
      <c r="FS86" s="6"/>
      <c r="FT86" s="7">
        <f t="shared" si="3"/>
        <v>3000</v>
      </c>
      <c r="FU86" s="6"/>
      <c r="FV86" s="6"/>
      <c r="FW86" s="6"/>
      <c r="FX86" s="6"/>
      <c r="FY86" s="7">
        <f>ROUND(77851.64,2)</f>
        <v>77851.64</v>
      </c>
    </row>
    <row r="87" spans="1:181" x14ac:dyDescent="0.3">
      <c r="A87" s="4" t="s">
        <v>860</v>
      </c>
      <c r="B87" s="5" t="s">
        <v>1029</v>
      </c>
      <c r="C87" s="5" t="s">
        <v>236</v>
      </c>
      <c r="D87" s="5" t="s">
        <v>861</v>
      </c>
      <c r="E87" s="5" t="s">
        <v>0</v>
      </c>
      <c r="F87" s="5" t="s">
        <v>0</v>
      </c>
      <c r="G87" s="5" t="s">
        <v>238</v>
      </c>
      <c r="H87" s="8">
        <v>37.75</v>
      </c>
      <c r="I87" s="7">
        <f>ROUND(120999.51,2)</f>
        <v>120999.51</v>
      </c>
      <c r="J87" s="6"/>
      <c r="K87" s="6"/>
      <c r="L87" s="7">
        <f>ROUND(1942,2)</f>
        <v>1942</v>
      </c>
      <c r="M87" s="7">
        <f>ROUND(670,2)</f>
        <v>670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7">
        <f t="shared" si="4"/>
        <v>56</v>
      </c>
      <c r="AV87" s="6"/>
      <c r="AW87" s="7">
        <f>ROUND(24,2)</f>
        <v>24</v>
      </c>
      <c r="AX87" s="7">
        <f>ROUND(8,2)</f>
        <v>8</v>
      </c>
      <c r="AY87" s="7">
        <f>ROUND(98,2)</f>
        <v>98</v>
      </c>
      <c r="AZ87" s="7">
        <f>ROUND(6,2)</f>
        <v>6</v>
      </c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7">
        <f>ROUND(2804,2)</f>
        <v>2804</v>
      </c>
      <c r="CR87" s="6"/>
      <c r="CS87" s="6"/>
      <c r="CT87" s="7">
        <f>ROUND(71569.4699999999,2)</f>
        <v>71569.47</v>
      </c>
      <c r="CU87" s="7">
        <f>ROUND(37070.86,2)</f>
        <v>37070.86</v>
      </c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7">
        <f>ROUND(2063.12,2)</f>
        <v>2063.12</v>
      </c>
      <c r="EE87" s="6"/>
      <c r="EF87" s="7">
        <f>ROUND(886.08,2)</f>
        <v>886.08</v>
      </c>
      <c r="EG87" s="7">
        <f>ROUND(448.56,2)</f>
        <v>448.56</v>
      </c>
      <c r="EH87" s="7">
        <f>ROUND(3625,2)</f>
        <v>3625</v>
      </c>
      <c r="EI87" s="7">
        <f>ROUND(336.42,2)</f>
        <v>336.42</v>
      </c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7">
        <f>ROUND(2000,2)</f>
        <v>2000</v>
      </c>
      <c r="FK87" s="6"/>
      <c r="FL87" s="6"/>
      <c r="FM87" s="6"/>
      <c r="FN87" s="6"/>
      <c r="FO87" s="6"/>
      <c r="FP87" s="6"/>
      <c r="FQ87" s="6"/>
      <c r="FR87" s="6"/>
      <c r="FS87" s="6"/>
      <c r="FT87" s="7">
        <f t="shared" si="3"/>
        <v>3000</v>
      </c>
      <c r="FU87" s="6"/>
      <c r="FV87" s="6"/>
      <c r="FW87" s="6"/>
      <c r="FX87" s="6"/>
      <c r="FY87" s="7">
        <f>ROUND(120999.51,2)</f>
        <v>120999.51</v>
      </c>
    </row>
    <row r="88" spans="1:181" x14ac:dyDescent="0.3">
      <c r="A88" s="4" t="s">
        <v>873</v>
      </c>
      <c r="B88" s="5" t="s">
        <v>1029</v>
      </c>
      <c r="C88" s="5" t="s">
        <v>236</v>
      </c>
      <c r="D88" s="5" t="s">
        <v>837</v>
      </c>
      <c r="E88" s="5" t="s">
        <v>0</v>
      </c>
      <c r="F88" s="5" t="s">
        <v>0</v>
      </c>
      <c r="G88" s="5" t="s">
        <v>330</v>
      </c>
      <c r="H88" s="9">
        <v>24.03</v>
      </c>
      <c r="I88" s="7">
        <f>ROUND(43124.6599999999,2)</f>
        <v>43124.66</v>
      </c>
      <c r="J88" s="6"/>
      <c r="K88" s="6"/>
      <c r="L88" s="6"/>
      <c r="M88" s="6"/>
      <c r="N88" s="6"/>
      <c r="O88" s="6"/>
      <c r="P88" s="6"/>
      <c r="Q88" s="6"/>
      <c r="R88" s="7">
        <f>ROUND(1600,2)</f>
        <v>1600</v>
      </c>
      <c r="S88" s="7">
        <f>ROUND(88.21,2)</f>
        <v>88.21</v>
      </c>
      <c r="T88" s="7">
        <f>ROUND(0.42,2)</f>
        <v>0.42</v>
      </c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7">
        <f>ROUND(48,2)</f>
        <v>48</v>
      </c>
      <c r="AV88" s="6"/>
      <c r="AW88" s="7">
        <f>ROUND(16,2)</f>
        <v>16</v>
      </c>
      <c r="AX88" s="6"/>
      <c r="AY88" s="7">
        <f>ROUND(24,2)</f>
        <v>24</v>
      </c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7">
        <f>ROUND(1776.63,2)</f>
        <v>1776.63</v>
      </c>
      <c r="CR88" s="6"/>
      <c r="CS88" s="6"/>
      <c r="CT88" s="6"/>
      <c r="CU88" s="6"/>
      <c r="CV88" s="6"/>
      <c r="CW88" s="6"/>
      <c r="CX88" s="6"/>
      <c r="CY88" s="6"/>
      <c r="CZ88" s="7">
        <f>ROUND(34365.44,2)</f>
        <v>34365.440000000002</v>
      </c>
      <c r="DA88" s="7">
        <f>ROUND(3068.41,2)</f>
        <v>3068.41</v>
      </c>
      <c r="DB88" s="7">
        <f>ROUND(14.09,2)</f>
        <v>14.09</v>
      </c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7">
        <f>ROUND(1021.04,2)</f>
        <v>1021.04</v>
      </c>
      <c r="EE88" s="6"/>
      <c r="EF88" s="7">
        <f>ROUND(380.8,2)</f>
        <v>380.8</v>
      </c>
      <c r="EG88" s="6"/>
      <c r="EH88" s="7">
        <f>ROUND(574.88,2)</f>
        <v>574.88</v>
      </c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7">
        <f>ROUND(700,2)</f>
        <v>700</v>
      </c>
      <c r="FK88" s="6"/>
      <c r="FL88" s="6"/>
      <c r="FM88" s="6"/>
      <c r="FN88" s="6"/>
      <c r="FO88" s="6"/>
      <c r="FP88" s="6"/>
      <c r="FQ88" s="6"/>
      <c r="FR88" s="6"/>
      <c r="FS88" s="6"/>
      <c r="FT88" s="7">
        <f t="shared" si="3"/>
        <v>3000</v>
      </c>
      <c r="FU88" s="6"/>
      <c r="FV88" s="6"/>
      <c r="FW88" s="6"/>
      <c r="FX88" s="6"/>
      <c r="FY88" s="7">
        <f>ROUND(43124.6599999999,2)</f>
        <v>43124.66</v>
      </c>
    </row>
    <row r="89" spans="1:181" x14ac:dyDescent="0.3">
      <c r="A89" s="4" t="s">
        <v>878</v>
      </c>
      <c r="B89" s="5" t="s">
        <v>1029</v>
      </c>
      <c r="C89" s="5" t="s">
        <v>236</v>
      </c>
      <c r="D89" s="5" t="s">
        <v>879</v>
      </c>
      <c r="E89" s="5" t="s">
        <v>0</v>
      </c>
      <c r="F89" s="5" t="s">
        <v>0</v>
      </c>
      <c r="G89" s="5" t="s">
        <v>238</v>
      </c>
      <c r="H89" s="8">
        <v>37.75</v>
      </c>
      <c r="I89" s="7">
        <f>ROUND(126070.129999999,2)</f>
        <v>126070.13</v>
      </c>
      <c r="J89" s="6"/>
      <c r="K89" s="6"/>
      <c r="L89" s="7">
        <f>ROUND(1963.5,2)</f>
        <v>1963.5</v>
      </c>
      <c r="M89" s="7">
        <f>ROUND(710.5,2)</f>
        <v>710.5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7">
        <f>ROUND(64,2)</f>
        <v>64</v>
      </c>
      <c r="AV89" s="6"/>
      <c r="AW89" s="7">
        <f>ROUND(32,2)</f>
        <v>32</v>
      </c>
      <c r="AX89" s="7">
        <f>ROUND(24,2)</f>
        <v>24</v>
      </c>
      <c r="AY89" s="7">
        <f>ROUND(64,2)</f>
        <v>64</v>
      </c>
      <c r="AZ89" s="7">
        <f>ROUND(56,2)</f>
        <v>56</v>
      </c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7">
        <f>ROUND(2914,2)</f>
        <v>2914</v>
      </c>
      <c r="CR89" s="6"/>
      <c r="CS89" s="6"/>
      <c r="CT89" s="7">
        <f>ROUND(72187.74,2)</f>
        <v>72187.740000000005</v>
      </c>
      <c r="CU89" s="7">
        <f>ROUND(39201.79,2)</f>
        <v>39201.79</v>
      </c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7">
        <f>ROUND(2351.12,2)</f>
        <v>2351.12</v>
      </c>
      <c r="EE89" s="6"/>
      <c r="EF89" s="7">
        <f>ROUND(1185.12,2)</f>
        <v>1185.1199999999999</v>
      </c>
      <c r="EG89" s="7">
        <f>ROUND(1350.12,2)</f>
        <v>1350.12</v>
      </c>
      <c r="EH89" s="7">
        <f>ROUND(2370.24,2)</f>
        <v>2370.2399999999998</v>
      </c>
      <c r="EI89" s="7">
        <f>ROUND(3024,2)</f>
        <v>3024</v>
      </c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7">
        <f>ROUND(1400,2)</f>
        <v>1400</v>
      </c>
      <c r="FK89" s="6"/>
      <c r="FL89" s="6"/>
      <c r="FM89" s="6"/>
      <c r="FN89" s="6"/>
      <c r="FO89" s="6"/>
      <c r="FP89" s="6"/>
      <c r="FQ89" s="6"/>
      <c r="FR89" s="6"/>
      <c r="FS89" s="6"/>
      <c r="FT89" s="7">
        <f t="shared" si="3"/>
        <v>3000</v>
      </c>
      <c r="FU89" s="6"/>
      <c r="FV89" s="6"/>
      <c r="FW89" s="6"/>
      <c r="FX89" s="6"/>
      <c r="FY89" s="7">
        <f>ROUND(126070.129999999,2)</f>
        <v>126070.13</v>
      </c>
    </row>
    <row r="90" spans="1:181" x14ac:dyDescent="0.3">
      <c r="A90" s="4" t="s">
        <v>902</v>
      </c>
      <c r="B90" s="5" t="s">
        <v>1029</v>
      </c>
      <c r="C90" s="5" t="s">
        <v>236</v>
      </c>
      <c r="D90" s="5" t="s">
        <v>903</v>
      </c>
      <c r="E90" s="5" t="s">
        <v>0</v>
      </c>
      <c r="F90" s="5" t="s">
        <v>0</v>
      </c>
      <c r="G90" s="5" t="s">
        <v>330</v>
      </c>
      <c r="H90" s="9">
        <v>25.45</v>
      </c>
      <c r="I90" s="7">
        <f>ROUND(50760.48,2)</f>
        <v>50760.480000000003</v>
      </c>
      <c r="J90" s="6"/>
      <c r="K90" s="6"/>
      <c r="L90" s="6"/>
      <c r="M90" s="6"/>
      <c r="N90" s="6"/>
      <c r="O90" s="6"/>
      <c r="P90" s="6"/>
      <c r="Q90" s="6"/>
      <c r="R90" s="7">
        <f>ROUND(1944,2)</f>
        <v>1944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7">
        <f>ROUND(56,2)</f>
        <v>56</v>
      </c>
      <c r="AV90" s="6"/>
      <c r="AW90" s="7">
        <f>ROUND(48,2)</f>
        <v>48</v>
      </c>
      <c r="AX90" s="6"/>
      <c r="AY90" s="7">
        <f>ROUND(40,2)</f>
        <v>40</v>
      </c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7">
        <f>ROUND(2088,2)</f>
        <v>2088</v>
      </c>
      <c r="CR90" s="6"/>
      <c r="CS90" s="6"/>
      <c r="CT90" s="6"/>
      <c r="CU90" s="6"/>
      <c r="CV90" s="6"/>
      <c r="CW90" s="6"/>
      <c r="CX90" s="6"/>
      <c r="CY90" s="6"/>
      <c r="CZ90" s="7">
        <f>ROUND(43476.24,2)</f>
        <v>43476.24</v>
      </c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7">
        <f>ROUND(1284.39999999999,2)</f>
        <v>1284.4000000000001</v>
      </c>
      <c r="EE90" s="6"/>
      <c r="EF90" s="7">
        <f>ROUND(1105.2,2)</f>
        <v>1105.2</v>
      </c>
      <c r="EG90" s="6"/>
      <c r="EH90" s="7">
        <f>ROUND(944.64,2)</f>
        <v>944.64</v>
      </c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7">
        <f>ROUND(950,2)</f>
        <v>950</v>
      </c>
      <c r="FK90" s="6"/>
      <c r="FL90" s="6"/>
      <c r="FM90" s="6"/>
      <c r="FN90" s="6"/>
      <c r="FO90" s="6"/>
      <c r="FP90" s="6"/>
      <c r="FQ90" s="6"/>
      <c r="FR90" s="6"/>
      <c r="FS90" s="6"/>
      <c r="FT90" s="7">
        <f t="shared" si="3"/>
        <v>3000</v>
      </c>
      <c r="FU90" s="6"/>
      <c r="FV90" s="6"/>
      <c r="FW90" s="6"/>
      <c r="FX90" s="6"/>
      <c r="FY90" s="7">
        <f>ROUND(50760.48,2)</f>
        <v>50760.480000000003</v>
      </c>
    </row>
    <row r="91" spans="1:181" x14ac:dyDescent="0.3">
      <c r="A91" s="4" t="s">
        <v>970</v>
      </c>
      <c r="B91" s="5" t="s">
        <v>1029</v>
      </c>
      <c r="C91" s="5" t="s">
        <v>236</v>
      </c>
      <c r="D91" s="5" t="s">
        <v>435</v>
      </c>
      <c r="E91" s="5" t="s">
        <v>0</v>
      </c>
      <c r="F91" s="5" t="s">
        <v>0</v>
      </c>
      <c r="G91" s="5" t="s">
        <v>330</v>
      </c>
      <c r="H91" s="8">
        <v>28.28</v>
      </c>
      <c r="I91" s="7">
        <f>ROUND(64932.88,2)</f>
        <v>64932.88</v>
      </c>
      <c r="J91" s="6"/>
      <c r="K91" s="6"/>
      <c r="L91" s="6"/>
      <c r="M91" s="6"/>
      <c r="N91" s="6"/>
      <c r="O91" s="6"/>
      <c r="P91" s="6"/>
      <c r="Q91" s="6"/>
      <c r="R91" s="7">
        <f>ROUND(1904,2)</f>
        <v>1904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7">
        <f>ROUND(56,2)</f>
        <v>56</v>
      </c>
      <c r="AV91" s="6"/>
      <c r="AW91" s="7">
        <f>ROUND(48,2)</f>
        <v>48</v>
      </c>
      <c r="AX91" s="6"/>
      <c r="AY91" s="7">
        <f>ROUND(120,2)</f>
        <v>120</v>
      </c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7">
        <f>ROUND(2128,2)</f>
        <v>2128</v>
      </c>
      <c r="CR91" s="6"/>
      <c r="CS91" s="6"/>
      <c r="CT91" s="6"/>
      <c r="CU91" s="6"/>
      <c r="CV91" s="6"/>
      <c r="CW91" s="6"/>
      <c r="CX91" s="6"/>
      <c r="CY91" s="6"/>
      <c r="CZ91" s="7">
        <f>ROUND(53656.4,2)</f>
        <v>53656.4</v>
      </c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7">
        <f>ROUND(1570.24,2)</f>
        <v>1570.24</v>
      </c>
      <c r="EE91" s="6"/>
      <c r="EF91" s="7">
        <f>ROUND(1346.24,2)</f>
        <v>1346.24</v>
      </c>
      <c r="EG91" s="6"/>
      <c r="EH91" s="7">
        <f>ROUND(3360,2)</f>
        <v>3360</v>
      </c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7">
        <f>ROUND(2000,2)</f>
        <v>2000</v>
      </c>
      <c r="FK91" s="6"/>
      <c r="FL91" s="6"/>
      <c r="FM91" s="6"/>
      <c r="FN91" s="6"/>
      <c r="FO91" s="6"/>
      <c r="FP91" s="6"/>
      <c r="FQ91" s="6"/>
      <c r="FR91" s="6"/>
      <c r="FS91" s="6"/>
      <c r="FT91" s="7">
        <f t="shared" si="3"/>
        <v>3000</v>
      </c>
      <c r="FU91" s="6"/>
      <c r="FV91" s="6"/>
      <c r="FW91" s="6"/>
      <c r="FX91" s="6"/>
      <c r="FY91" s="7">
        <f>ROUND(64932.88,2)</f>
        <v>64932.88</v>
      </c>
    </row>
    <row r="92" spans="1:181" x14ac:dyDescent="0.3">
      <c r="A92" s="4" t="s">
        <v>985</v>
      </c>
      <c r="B92" s="5" t="s">
        <v>1029</v>
      </c>
      <c r="C92" s="5" t="s">
        <v>236</v>
      </c>
      <c r="D92" s="5" t="s">
        <v>986</v>
      </c>
      <c r="E92" s="5" t="s">
        <v>0</v>
      </c>
      <c r="F92" s="5" t="s">
        <v>0</v>
      </c>
      <c r="G92" s="5" t="s">
        <v>238</v>
      </c>
      <c r="H92" s="8">
        <v>37.75</v>
      </c>
      <c r="I92" s="7">
        <f>ROUND(110725.419999999,2)</f>
        <v>110725.42</v>
      </c>
      <c r="J92" s="6"/>
      <c r="K92" s="6"/>
      <c r="L92" s="7">
        <f>ROUND(1994,2)</f>
        <v>1994</v>
      </c>
      <c r="M92" s="7">
        <f>ROUND(423,2)</f>
        <v>423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7">
        <f>ROUND(56,2)</f>
        <v>56</v>
      </c>
      <c r="AV92" s="6"/>
      <c r="AW92" s="7">
        <f>ROUND(10,2)</f>
        <v>10</v>
      </c>
      <c r="AX92" s="7">
        <f>ROUND(38,2)</f>
        <v>38</v>
      </c>
      <c r="AY92" s="7">
        <f>ROUND(60,2)</f>
        <v>60</v>
      </c>
      <c r="AZ92" s="7">
        <f>ROUND(60,2)</f>
        <v>60</v>
      </c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7">
        <f>ROUND(8,2)</f>
        <v>8</v>
      </c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7">
        <f>ROUND(2649,2)</f>
        <v>2649</v>
      </c>
      <c r="CR92" s="6"/>
      <c r="CS92" s="6"/>
      <c r="CT92" s="7">
        <f>ROUND(73152.55,2)</f>
        <v>73152.55</v>
      </c>
      <c r="CU92" s="7">
        <f>ROUND(23238.71,2)</f>
        <v>23238.71</v>
      </c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7">
        <f>ROUND(2063.12,2)</f>
        <v>2063.12</v>
      </c>
      <c r="EE92" s="6"/>
      <c r="EF92" s="7">
        <f>ROUND(360,2)</f>
        <v>360</v>
      </c>
      <c r="EG92" s="7">
        <f>ROUND(2106.12,2)</f>
        <v>2106.12</v>
      </c>
      <c r="EH92" s="7">
        <f>ROUND(2240.24,2)</f>
        <v>2240.2399999999998</v>
      </c>
      <c r="EI92" s="7">
        <f>ROUND(3289.68,2)</f>
        <v>3289.68</v>
      </c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7">
        <f>ROUND(1275,2)</f>
        <v>1275</v>
      </c>
      <c r="FK92" s="6"/>
      <c r="FL92" s="6"/>
      <c r="FM92" s="6"/>
      <c r="FN92" s="6"/>
      <c r="FO92" s="6"/>
      <c r="FP92" s="6"/>
      <c r="FQ92" s="6"/>
      <c r="FR92" s="6"/>
      <c r="FS92" s="6"/>
      <c r="FT92" s="7">
        <f t="shared" si="3"/>
        <v>3000</v>
      </c>
      <c r="FU92" s="6"/>
      <c r="FV92" s="6"/>
      <c r="FW92" s="6"/>
      <c r="FX92" s="6"/>
      <c r="FY92" s="7">
        <f>ROUND(110725.419999999,2)</f>
        <v>110725.42</v>
      </c>
    </row>
    <row r="93" spans="1:181" x14ac:dyDescent="0.3">
      <c r="A93" s="4" t="s">
        <v>987</v>
      </c>
      <c r="B93" s="5" t="s">
        <v>1029</v>
      </c>
      <c r="C93" s="5" t="s">
        <v>236</v>
      </c>
      <c r="D93" s="5" t="s">
        <v>988</v>
      </c>
      <c r="E93" s="5" t="s">
        <v>989</v>
      </c>
      <c r="F93" s="5" t="s">
        <v>990</v>
      </c>
      <c r="G93" s="5" t="s">
        <v>508</v>
      </c>
      <c r="H93" s="8">
        <v>42.5</v>
      </c>
      <c r="I93" s="7">
        <f>ROUND(88767.38,2)</f>
        <v>88767.38</v>
      </c>
      <c r="J93" s="6"/>
      <c r="K93" s="6"/>
      <c r="L93" s="7">
        <f>ROUND(1354,2)</f>
        <v>1354</v>
      </c>
      <c r="M93" s="7">
        <f>ROUND(332.5,2)</f>
        <v>332.5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7">
        <f>ROUND(40,2)</f>
        <v>40</v>
      </c>
      <c r="AV93" s="6"/>
      <c r="AW93" s="7">
        <f>ROUND(41,2)</f>
        <v>41</v>
      </c>
      <c r="AX93" s="7">
        <f>ROUND(15,2)</f>
        <v>15</v>
      </c>
      <c r="AY93" s="7">
        <f>ROUND(184,2)</f>
        <v>184</v>
      </c>
      <c r="AZ93" s="7">
        <f>ROUND(56,2)</f>
        <v>56</v>
      </c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7">
        <f>ROUND(312,2)</f>
        <v>312</v>
      </c>
      <c r="BT93" s="6"/>
      <c r="BU93" s="7">
        <f>ROUND(40,2)</f>
        <v>40</v>
      </c>
      <c r="BV93" s="7">
        <f>ROUND(160,2)</f>
        <v>160</v>
      </c>
      <c r="BW93" s="7">
        <f>ROUND(24,2)</f>
        <v>24</v>
      </c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7">
        <f>ROUND(2558.5,2)</f>
        <v>2558.5</v>
      </c>
      <c r="CR93" s="6"/>
      <c r="CS93" s="6"/>
      <c r="CT93" s="7">
        <f>ROUND(51679.14,2)</f>
        <v>51679.14</v>
      </c>
      <c r="CU93" s="7">
        <f>ROUND(18970.05,2)</f>
        <v>18970.05</v>
      </c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7">
        <f>ROUND(1552.48,2)</f>
        <v>1552.48</v>
      </c>
      <c r="EE93" s="6"/>
      <c r="EF93" s="7">
        <f>ROUND(1559.69999999999,2)</f>
        <v>1559.7</v>
      </c>
      <c r="EG93" s="7">
        <f>ROUND(915.089999999999,2)</f>
        <v>915.09</v>
      </c>
      <c r="EH93" s="7">
        <f>ROUND(7074.88,2)</f>
        <v>7074.88</v>
      </c>
      <c r="EI93" s="7">
        <f>ROUND(3191.04,2)</f>
        <v>3191.04</v>
      </c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7">
        <f>ROUND(825,2)</f>
        <v>825</v>
      </c>
      <c r="FK93" s="6"/>
      <c r="FL93" s="6"/>
      <c r="FM93" s="6"/>
      <c r="FN93" s="6"/>
      <c r="FO93" s="6"/>
      <c r="FP93" s="6"/>
      <c r="FQ93" s="6"/>
      <c r="FR93" s="6"/>
      <c r="FS93" s="6"/>
      <c r="FT93" s="7">
        <f t="shared" si="3"/>
        <v>3000</v>
      </c>
      <c r="FU93" s="6"/>
      <c r="FV93" s="6"/>
      <c r="FW93" s="6"/>
      <c r="FX93" s="6"/>
      <c r="FY93" s="7">
        <f>ROUND(88767.38,2)</f>
        <v>88767.38</v>
      </c>
    </row>
    <row r="94" spans="1:181" x14ac:dyDescent="0.3">
      <c r="A94" s="4" t="s">
        <v>1011</v>
      </c>
      <c r="B94" s="5" t="s">
        <v>1029</v>
      </c>
      <c r="C94" s="5" t="s">
        <v>236</v>
      </c>
      <c r="D94" s="5" t="s">
        <v>1012</v>
      </c>
      <c r="E94" s="5" t="s">
        <v>0</v>
      </c>
      <c r="F94" s="5" t="s">
        <v>0</v>
      </c>
      <c r="G94" s="5" t="s">
        <v>330</v>
      </c>
      <c r="H94" s="8">
        <v>28.56</v>
      </c>
      <c r="I94" s="7">
        <f>ROUND(63251.12,2)</f>
        <v>63251.12</v>
      </c>
      <c r="J94" s="6"/>
      <c r="K94" s="6"/>
      <c r="L94" s="6"/>
      <c r="M94" s="6"/>
      <c r="N94" s="6"/>
      <c r="O94" s="6"/>
      <c r="P94" s="6"/>
      <c r="Q94" s="6"/>
      <c r="R94" s="7">
        <f>ROUND(1472,2)</f>
        <v>1472</v>
      </c>
      <c r="S94" s="7">
        <f>ROUND(232,2)</f>
        <v>232</v>
      </c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7">
        <f>ROUND(48,2)</f>
        <v>48</v>
      </c>
      <c r="AV94" s="6"/>
      <c r="AW94" s="7">
        <f>ROUND(24,2)</f>
        <v>24</v>
      </c>
      <c r="AX94" s="7">
        <f>ROUND(16,2)</f>
        <v>16</v>
      </c>
      <c r="AY94" s="7">
        <f>ROUND(80,2)</f>
        <v>80</v>
      </c>
      <c r="AZ94" s="7">
        <f>ROUND(56,2)</f>
        <v>56</v>
      </c>
      <c r="BA94" s="6"/>
      <c r="BB94" s="7">
        <f>ROUND(24,2)</f>
        <v>24</v>
      </c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7">
        <f>ROUND(376,2)</f>
        <v>376</v>
      </c>
      <c r="BT94" s="6"/>
      <c r="BU94" s="6"/>
      <c r="BV94" s="7">
        <f>ROUND(96,2)</f>
        <v>96</v>
      </c>
      <c r="BW94" s="7">
        <f>ROUND(8,2)</f>
        <v>8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7">
        <f>ROUND(2432,2)</f>
        <v>2432</v>
      </c>
      <c r="CR94" s="6"/>
      <c r="CS94" s="6"/>
      <c r="CT94" s="6"/>
      <c r="CU94" s="6"/>
      <c r="CV94" s="6"/>
      <c r="CW94" s="6"/>
      <c r="CX94" s="6"/>
      <c r="CY94" s="6"/>
      <c r="CZ94" s="7">
        <f>ROUND(41525.2799999999,2)</f>
        <v>41525.279999999999</v>
      </c>
      <c r="DA94" s="7">
        <f>ROUND(9812.64,2)</f>
        <v>9812.64</v>
      </c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7">
        <f>ROUND(1348.48,2)</f>
        <v>1348.48</v>
      </c>
      <c r="EE94" s="6"/>
      <c r="EF94" s="7">
        <f>ROUND(672,2)</f>
        <v>672</v>
      </c>
      <c r="EG94" s="7">
        <f>ROUND(672,2)</f>
        <v>672</v>
      </c>
      <c r="EH94" s="7">
        <f>ROUND(2240,2)</f>
        <v>2240</v>
      </c>
      <c r="EI94" s="7">
        <f>ROUND(2358.72,2)</f>
        <v>2358.7199999999998</v>
      </c>
      <c r="EJ94" s="6"/>
      <c r="EK94" s="7">
        <f>ROUND(672,2)</f>
        <v>672</v>
      </c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7">
        <f>ROUND(950,2)</f>
        <v>950</v>
      </c>
      <c r="FK94" s="6"/>
      <c r="FL94" s="6"/>
      <c r="FM94" s="6"/>
      <c r="FN94" s="6"/>
      <c r="FO94" s="6"/>
      <c r="FP94" s="6"/>
      <c r="FQ94" s="6"/>
      <c r="FR94" s="6"/>
      <c r="FS94" s="6"/>
      <c r="FT94" s="7">
        <f t="shared" si="3"/>
        <v>3000</v>
      </c>
      <c r="FU94" s="6"/>
      <c r="FV94" s="6"/>
      <c r="FW94" s="6"/>
      <c r="FX94" s="6"/>
      <c r="FY94" s="7">
        <f>ROUND(63251.12,2)</f>
        <v>63251.12</v>
      </c>
    </row>
    <row r="95" spans="1:181" x14ac:dyDescent="0.3">
      <c r="A95" s="4" t="s">
        <v>222</v>
      </c>
      <c r="B95" s="5"/>
      <c r="C95" s="5" t="s">
        <v>223</v>
      </c>
      <c r="D95" s="5" t="s">
        <v>224</v>
      </c>
      <c r="E95" s="5" t="s">
        <v>225</v>
      </c>
      <c r="F95" s="5" t="s">
        <v>0</v>
      </c>
      <c r="G95" s="5" t="s">
        <v>226</v>
      </c>
      <c r="H95" s="8">
        <f>ROUND(17.23,2)</f>
        <v>17.23</v>
      </c>
      <c r="I95" s="7">
        <f>ROUND(13921.86,2)</f>
        <v>13921.86</v>
      </c>
      <c r="J95" s="7">
        <f>ROUND(798,2)</f>
        <v>798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7">
        <f>ROUND(10,2)</f>
        <v>10</v>
      </c>
      <c r="CI95" s="6"/>
      <c r="CJ95" s="6"/>
      <c r="CK95" s="6"/>
      <c r="CL95" s="6"/>
      <c r="CM95" s="6"/>
      <c r="CN95" s="6"/>
      <c r="CO95" s="6"/>
      <c r="CP95" s="6"/>
      <c r="CQ95" s="7">
        <f>ROUND(808,2)</f>
        <v>808</v>
      </c>
      <c r="CR95" s="7">
        <f>ROUND(13749.56,2)</f>
        <v>13749.56</v>
      </c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7">
        <f>ROUND(172.3,2)</f>
        <v>172.3</v>
      </c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7">
        <f>ROUND(13921.86,2)</f>
        <v>13921.86</v>
      </c>
    </row>
    <row r="96" spans="1:181" ht="26.4" x14ac:dyDescent="0.3">
      <c r="A96" s="4" t="s">
        <v>654</v>
      </c>
      <c r="B96" s="5"/>
      <c r="C96" s="5" t="s">
        <v>223</v>
      </c>
      <c r="D96" s="5" t="s">
        <v>655</v>
      </c>
      <c r="E96" s="5" t="s">
        <v>0</v>
      </c>
      <c r="F96" s="5" t="s">
        <v>0</v>
      </c>
      <c r="G96" s="5" t="s">
        <v>656</v>
      </c>
      <c r="H96" s="8">
        <f>ROUND(31.25,2)</f>
        <v>31.25</v>
      </c>
      <c r="I96" s="7">
        <f>ROUND(66000,2)</f>
        <v>66000</v>
      </c>
      <c r="J96" s="7">
        <f>ROUND(1861,2)</f>
        <v>1861</v>
      </c>
      <c r="K96" s="7">
        <f>ROUND(8,2)</f>
        <v>8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7">
        <f>ROUND(8,2)</f>
        <v>8</v>
      </c>
      <c r="BX96" s="6"/>
      <c r="BY96" s="6"/>
      <c r="BZ96" s="6"/>
      <c r="CA96" s="6"/>
      <c r="CB96" s="6"/>
      <c r="CC96" s="6"/>
      <c r="CD96" s="6"/>
      <c r="CE96" s="6"/>
      <c r="CF96" s="6"/>
      <c r="CG96" s="7">
        <f>ROUND(39,2)</f>
        <v>39</v>
      </c>
      <c r="CH96" s="7">
        <f>ROUND(40,2)</f>
        <v>40</v>
      </c>
      <c r="CI96" s="7">
        <f>ROUND(16,2)</f>
        <v>16</v>
      </c>
      <c r="CJ96" s="6"/>
      <c r="CK96" s="6"/>
      <c r="CL96" s="6"/>
      <c r="CM96" s="6"/>
      <c r="CN96" s="7">
        <f>ROUND(80,2)</f>
        <v>80</v>
      </c>
      <c r="CO96" s="6"/>
      <c r="CP96" s="6"/>
      <c r="CQ96" s="7">
        <f>ROUND(2052,2)</f>
        <v>2052</v>
      </c>
      <c r="CR96" s="7">
        <f>ROUND(58156.25,2)</f>
        <v>58156.25</v>
      </c>
      <c r="CS96" s="7">
        <f>ROUND(375,2)</f>
        <v>375</v>
      </c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7">
        <f>ROUND(250,2)</f>
        <v>250</v>
      </c>
      <c r="FH96" s="6"/>
      <c r="FI96" s="6"/>
      <c r="FJ96" s="7">
        <f>ROUND(1750,2)</f>
        <v>1750</v>
      </c>
      <c r="FK96" s="6"/>
      <c r="FL96" s="6"/>
      <c r="FM96" s="7">
        <f>ROUND(1218.75,2)</f>
        <v>1218.75</v>
      </c>
      <c r="FN96" s="7">
        <f>ROUND(1250,2)</f>
        <v>1250</v>
      </c>
      <c r="FO96" s="7">
        <f>ROUND(500,2)</f>
        <v>500</v>
      </c>
      <c r="FP96" s="6"/>
      <c r="FQ96" s="6"/>
      <c r="FR96" s="6"/>
      <c r="FS96" s="6"/>
      <c r="FT96" s="6"/>
      <c r="FU96" s="6"/>
      <c r="FV96" s="7">
        <f>ROUND(2500,2)</f>
        <v>2500</v>
      </c>
      <c r="FW96" s="6"/>
      <c r="FX96" s="6"/>
      <c r="FY96" s="7">
        <f>ROUND(66000,2)</f>
        <v>66000</v>
      </c>
    </row>
    <row r="97" spans="1:181" x14ac:dyDescent="0.3">
      <c r="A97" s="4" t="s">
        <v>674</v>
      </c>
      <c r="B97" s="5" t="s">
        <v>1029</v>
      </c>
      <c r="C97" s="5" t="s">
        <v>223</v>
      </c>
      <c r="D97" s="5" t="s">
        <v>675</v>
      </c>
      <c r="E97" s="5" t="s">
        <v>0</v>
      </c>
      <c r="F97" s="5" t="s">
        <v>676</v>
      </c>
      <c r="G97" s="5" t="s">
        <v>677</v>
      </c>
      <c r="H97" s="8">
        <f>ROUND(50,2)</f>
        <v>50</v>
      </c>
      <c r="I97" s="7">
        <f>ROUND(56575,2)</f>
        <v>56575</v>
      </c>
      <c r="J97" s="7">
        <f>ROUND(1131.5,2)</f>
        <v>1131.5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7">
        <f>ROUND(1131.5,2)</f>
        <v>1131.5</v>
      </c>
      <c r="CR97" s="7">
        <f>ROUND(56575,2)</f>
        <v>56575</v>
      </c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7">
        <f>ROUND(56575,2)</f>
        <v>56575</v>
      </c>
    </row>
    <row r="98" spans="1:181" ht="26.4" x14ac:dyDescent="0.3">
      <c r="A98" s="4" t="s">
        <v>684</v>
      </c>
      <c r="B98" s="5"/>
      <c r="C98" s="5" t="s">
        <v>223</v>
      </c>
      <c r="D98" s="5" t="s">
        <v>685</v>
      </c>
      <c r="E98" s="5" t="s">
        <v>0</v>
      </c>
      <c r="F98" s="5" t="s">
        <v>0</v>
      </c>
      <c r="G98" s="5" t="s">
        <v>686</v>
      </c>
      <c r="H98" s="8">
        <f>ROUND(1392.69,2)</f>
        <v>1392.69</v>
      </c>
      <c r="I98" s="7">
        <f>ROUND(77155.03,2)</f>
        <v>77155.03</v>
      </c>
      <c r="J98" s="7">
        <f>ROUND(1648,2)</f>
        <v>1648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>
        <f>ROUND(-8,2)</f>
        <v>-8</v>
      </c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7">
        <f>ROUND(8,2)</f>
        <v>8</v>
      </c>
      <c r="BX98" s="6"/>
      <c r="BY98" s="6"/>
      <c r="BZ98" s="6"/>
      <c r="CA98" s="6"/>
      <c r="CB98" s="6"/>
      <c r="CC98" s="6"/>
      <c r="CD98" s="6"/>
      <c r="CE98" s="6"/>
      <c r="CF98" s="7">
        <f>ROUND(24,2)</f>
        <v>24</v>
      </c>
      <c r="CG98" s="7">
        <f>ROUND(16,2)</f>
        <v>16</v>
      </c>
      <c r="CH98" s="7">
        <f>ROUND(56,2)</f>
        <v>56</v>
      </c>
      <c r="CI98" s="7">
        <f>ROUND(32,2)</f>
        <v>32</v>
      </c>
      <c r="CJ98" s="6"/>
      <c r="CK98" s="6"/>
      <c r="CL98" s="6"/>
      <c r="CM98" s="6"/>
      <c r="CN98" s="7">
        <f>ROUND(120,2)</f>
        <v>120</v>
      </c>
      <c r="CO98" s="6"/>
      <c r="CP98" s="6"/>
      <c r="CQ98" s="7">
        <f>ROUND(1896,2)</f>
        <v>1896</v>
      </c>
      <c r="CR98" s="7">
        <f>ROUND(69913.01,2)</f>
        <v>69913.009999999995</v>
      </c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7">
        <f>ROUND(-278.54,2)</f>
        <v>-278.54000000000002</v>
      </c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7">
        <f>ROUND(3342.46,2)</f>
        <v>3342.46</v>
      </c>
      <c r="FK98" s="6"/>
      <c r="FL98" s="6"/>
      <c r="FM98" s="7">
        <f>ROUND(557.08,2)</f>
        <v>557.08000000000004</v>
      </c>
      <c r="FN98" s="7">
        <f>ROUND(835.62,2)</f>
        <v>835.62</v>
      </c>
      <c r="FO98" s="6"/>
      <c r="FP98" s="6"/>
      <c r="FQ98" s="6"/>
      <c r="FR98" s="6"/>
      <c r="FS98" s="6"/>
      <c r="FT98" s="6"/>
      <c r="FU98" s="6"/>
      <c r="FV98" s="7">
        <f>ROUND(2785.4,2)</f>
        <v>2785.4</v>
      </c>
      <c r="FW98" s="6"/>
      <c r="FX98" s="6"/>
      <c r="FY98" s="7">
        <f>ROUND(77155.03,2)</f>
        <v>77155.03</v>
      </c>
    </row>
    <row r="99" spans="1:181" ht="26.4" x14ac:dyDescent="0.3">
      <c r="A99" s="4" t="s">
        <v>752</v>
      </c>
      <c r="B99" s="5"/>
      <c r="C99" s="5" t="s">
        <v>223</v>
      </c>
      <c r="D99" s="5" t="s">
        <v>753</v>
      </c>
      <c r="E99" s="5" t="s">
        <v>0</v>
      </c>
      <c r="F99" s="5" t="s">
        <v>0</v>
      </c>
      <c r="G99" s="5" t="s">
        <v>754</v>
      </c>
      <c r="H99" s="8">
        <f>ROUND(1538.46,2)</f>
        <v>1538.46</v>
      </c>
      <c r="I99" s="7">
        <f>ROUND(84615.3,2)</f>
        <v>84615.3</v>
      </c>
      <c r="J99" s="7">
        <f>ROUND(1656,2)</f>
        <v>1656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>
        <f>ROUND(-24,2)</f>
        <v>-24</v>
      </c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7">
        <f>ROUND(8,2)</f>
        <v>8</v>
      </c>
      <c r="BX99" s="6"/>
      <c r="BY99" s="6"/>
      <c r="BZ99" s="6"/>
      <c r="CA99" s="6"/>
      <c r="CB99" s="6"/>
      <c r="CC99" s="6"/>
      <c r="CD99" s="6"/>
      <c r="CE99" s="6"/>
      <c r="CF99" s="7">
        <f>ROUND(24,2)</f>
        <v>24</v>
      </c>
      <c r="CG99" s="7">
        <f>ROUND(16,2)</f>
        <v>16</v>
      </c>
      <c r="CH99" s="7">
        <f>ROUND(56,2)</f>
        <v>56</v>
      </c>
      <c r="CI99" s="7">
        <f>ROUND(32,2)</f>
        <v>32</v>
      </c>
      <c r="CJ99" s="6"/>
      <c r="CK99" s="6"/>
      <c r="CL99" s="6"/>
      <c r="CM99" s="6"/>
      <c r="CN99" s="7">
        <f>ROUND(80,2)</f>
        <v>80</v>
      </c>
      <c r="CO99" s="6"/>
      <c r="CP99" s="6"/>
      <c r="CQ99" s="7">
        <f>ROUND(1848,2)</f>
        <v>1848</v>
      </c>
      <c r="CR99" s="7">
        <f>ROUND(77538.4,2)</f>
        <v>77538.399999999994</v>
      </c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7">
        <f>ROUND(-923.069999999999,2)</f>
        <v>-923.07</v>
      </c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7">
        <f>ROUND(307.69,2)</f>
        <v>307.69</v>
      </c>
      <c r="FH99" s="6"/>
      <c r="FI99" s="6"/>
      <c r="FJ99" s="7">
        <f>ROUND(3076.92,2)</f>
        <v>3076.92</v>
      </c>
      <c r="FK99" s="6"/>
      <c r="FL99" s="7">
        <f>ROUND(923.069999999999,2)</f>
        <v>923.07</v>
      </c>
      <c r="FM99" s="7">
        <f>ROUND(307.69,2)</f>
        <v>307.69</v>
      </c>
      <c r="FN99" s="7">
        <f>ROUND(923.069999999999,2)</f>
        <v>923.07</v>
      </c>
      <c r="FO99" s="7">
        <f>ROUND(1230.77,2)</f>
        <v>1230.77</v>
      </c>
      <c r="FP99" s="6"/>
      <c r="FQ99" s="6"/>
      <c r="FR99" s="6"/>
      <c r="FS99" s="6"/>
      <c r="FT99" s="6"/>
      <c r="FU99" s="6"/>
      <c r="FV99" s="7">
        <f>ROUND(1230.76,2)</f>
        <v>1230.76</v>
      </c>
      <c r="FW99" s="6"/>
      <c r="FX99" s="6"/>
      <c r="FY99" s="7">
        <f>ROUND(84615.3,2)</f>
        <v>84615.3</v>
      </c>
    </row>
    <row r="100" spans="1:181" x14ac:dyDescent="0.3">
      <c r="A100" s="4" t="s">
        <v>776</v>
      </c>
      <c r="B100" s="5"/>
      <c r="C100" s="5" t="s">
        <v>223</v>
      </c>
      <c r="D100" s="5" t="s">
        <v>777</v>
      </c>
      <c r="E100" s="5" t="s">
        <v>778</v>
      </c>
      <c r="F100" s="5" t="s">
        <v>0</v>
      </c>
      <c r="G100" s="5" t="s">
        <v>226</v>
      </c>
      <c r="H100" s="8">
        <f>ROUND(17.23,2)</f>
        <v>17.23</v>
      </c>
      <c r="I100" s="7">
        <f>ROUND(19883.4799999999,2)</f>
        <v>19883.48</v>
      </c>
      <c r="J100" s="7">
        <f>ROUND(1139,2)</f>
        <v>1139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7">
        <f>ROUND(15,2)</f>
        <v>15</v>
      </c>
      <c r="CI100" s="6"/>
      <c r="CJ100" s="6"/>
      <c r="CK100" s="6"/>
      <c r="CL100" s="6"/>
      <c r="CM100" s="6"/>
      <c r="CN100" s="6"/>
      <c r="CO100" s="6"/>
      <c r="CP100" s="6"/>
      <c r="CQ100" s="7">
        <f>ROUND(1154,2)</f>
        <v>1154</v>
      </c>
      <c r="CR100" s="7">
        <f>ROUND(19625.0299999999,2)</f>
        <v>19625.03</v>
      </c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7">
        <f>ROUND(258.45,2)</f>
        <v>258.45</v>
      </c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7">
        <f>ROUND(19883.4799999999,2)</f>
        <v>19883.48</v>
      </c>
    </row>
    <row r="101" spans="1:181" ht="26.4" x14ac:dyDescent="0.3">
      <c r="A101" s="4" t="s">
        <v>855</v>
      </c>
      <c r="B101" s="5"/>
      <c r="C101" s="5" t="s">
        <v>223</v>
      </c>
      <c r="D101" s="5" t="s">
        <v>856</v>
      </c>
      <c r="E101" s="5" t="s">
        <v>857</v>
      </c>
      <c r="F101" s="5" t="s">
        <v>856</v>
      </c>
      <c r="G101" s="5" t="s">
        <v>858</v>
      </c>
      <c r="H101" s="8">
        <f>ROUND(2997.05,2)</f>
        <v>2997.05</v>
      </c>
      <c r="I101" s="7">
        <f>ROUND(115595.93,2)</f>
        <v>115595.93</v>
      </c>
      <c r="J101" s="7">
        <f>ROUND(800,2)</f>
        <v>800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7">
        <f>ROUND(32,2)</f>
        <v>32</v>
      </c>
      <c r="CI101" s="6"/>
      <c r="CJ101" s="6"/>
      <c r="CK101" s="6"/>
      <c r="CL101" s="6"/>
      <c r="CM101" s="6"/>
      <c r="CN101" s="7">
        <f>ROUND(40,2)</f>
        <v>40</v>
      </c>
      <c r="CO101" s="6"/>
      <c r="CP101" s="7">
        <f>ROUND(320,2)</f>
        <v>320</v>
      </c>
      <c r="CQ101" s="7">
        <f>ROUND(1192,2)</f>
        <v>1192</v>
      </c>
      <c r="CR101" s="7">
        <f>ROUND(86914.45,2)</f>
        <v>86914.45</v>
      </c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7">
        <f>ROUND(295,2)</f>
        <v>295</v>
      </c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7">
        <f>ROUND(4408.88,2)</f>
        <v>4408.88</v>
      </c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7">
        <f>ROUND(23977.6,2)</f>
        <v>23977.599999999999</v>
      </c>
      <c r="FY101" s="7">
        <f>ROUND(115595.93,2)</f>
        <v>115595.93</v>
      </c>
    </row>
    <row r="102" spans="1:181" ht="26.4" x14ac:dyDescent="0.3">
      <c r="A102" s="4" t="s">
        <v>915</v>
      </c>
      <c r="B102" s="5"/>
      <c r="C102" s="5" t="s">
        <v>223</v>
      </c>
      <c r="D102" s="5" t="s">
        <v>916</v>
      </c>
      <c r="E102" s="5" t="s">
        <v>0</v>
      </c>
      <c r="F102" s="5" t="s">
        <v>0</v>
      </c>
      <c r="G102" s="5" t="s">
        <v>917</v>
      </c>
      <c r="H102" s="8">
        <f>ROUND(1122.32,2)</f>
        <v>1122.32</v>
      </c>
      <c r="I102" s="7">
        <f>ROUND(62676.5299999999,2)</f>
        <v>62676.53</v>
      </c>
      <c r="J102" s="7">
        <f>ROUND(1661,2)</f>
        <v>1661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>
        <f>ROUND(-16,2)</f>
        <v>-16</v>
      </c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7">
        <f>ROUND(8,2)</f>
        <v>8</v>
      </c>
      <c r="BX102" s="6"/>
      <c r="BY102" s="6"/>
      <c r="BZ102" s="6"/>
      <c r="CA102" s="6"/>
      <c r="CB102" s="6"/>
      <c r="CC102" s="6"/>
      <c r="CD102" s="6"/>
      <c r="CE102" s="6"/>
      <c r="CF102" s="6"/>
      <c r="CG102" s="7">
        <f>ROUND(19,2)</f>
        <v>19</v>
      </c>
      <c r="CH102" s="7">
        <f>ROUND(56,2)</f>
        <v>56</v>
      </c>
      <c r="CI102" s="7">
        <f>ROUND(16,2)</f>
        <v>16</v>
      </c>
      <c r="CJ102" s="6"/>
      <c r="CK102" s="6"/>
      <c r="CL102" s="6"/>
      <c r="CM102" s="6"/>
      <c r="CN102" s="7">
        <f>ROUND(144,2)</f>
        <v>144</v>
      </c>
      <c r="CO102" s="6"/>
      <c r="CP102" s="6"/>
      <c r="CQ102" s="7">
        <f>ROUND(1888,2)</f>
        <v>1888</v>
      </c>
      <c r="CR102" s="7">
        <f>ROUND(56705.2499999999,2)</f>
        <v>56705.25</v>
      </c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7">
        <f>ROUND(-448.919999999999,2)</f>
        <v>-448.92</v>
      </c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7">
        <f>ROUND(500,2)</f>
        <v>500</v>
      </c>
      <c r="EX102" s="6"/>
      <c r="EY102" s="6"/>
      <c r="EZ102" s="6"/>
      <c r="FA102" s="6"/>
      <c r="FB102" s="6"/>
      <c r="FC102" s="6"/>
      <c r="FD102" s="6"/>
      <c r="FE102" s="6"/>
      <c r="FF102" s="6"/>
      <c r="FG102" s="7">
        <f>ROUND(224.46,2)</f>
        <v>224.46</v>
      </c>
      <c r="FH102" s="6"/>
      <c r="FI102" s="6"/>
      <c r="FJ102" s="7">
        <f>ROUND(2693.57,2)</f>
        <v>2693.57</v>
      </c>
      <c r="FK102" s="6"/>
      <c r="FL102" s="6"/>
      <c r="FM102" s="7">
        <f>ROUND(533.09,2)</f>
        <v>533.09</v>
      </c>
      <c r="FN102" s="7">
        <f>ROUND(673.38,2)</f>
        <v>673.38</v>
      </c>
      <c r="FO102" s="7">
        <f>ROUND(224.46,2)</f>
        <v>224.46</v>
      </c>
      <c r="FP102" s="6"/>
      <c r="FQ102" s="6"/>
      <c r="FR102" s="6"/>
      <c r="FS102" s="6"/>
      <c r="FT102" s="6"/>
      <c r="FU102" s="6"/>
      <c r="FV102" s="7">
        <f>ROUND(1571.24,2)</f>
        <v>1571.24</v>
      </c>
      <c r="FW102" s="6"/>
      <c r="FX102" s="6"/>
      <c r="FY102" s="7">
        <f>ROUND(62676.5299999999,2)</f>
        <v>62676.53</v>
      </c>
    </row>
    <row r="103" spans="1:181" x14ac:dyDescent="0.3">
      <c r="A103" s="4" t="s">
        <v>1023</v>
      </c>
      <c r="B103" s="5"/>
      <c r="C103" s="5" t="s">
        <v>223</v>
      </c>
      <c r="D103" s="5" t="s">
        <v>621</v>
      </c>
      <c r="E103" s="5" t="s">
        <v>0</v>
      </c>
      <c r="F103" s="5" t="s">
        <v>0</v>
      </c>
      <c r="G103" s="5" t="s">
        <v>1024</v>
      </c>
      <c r="H103" s="8">
        <f>ROUND(1875.49,2)</f>
        <v>1875.49</v>
      </c>
      <c r="I103" s="7">
        <f>ROUND(101812.16,2)</f>
        <v>101812.16</v>
      </c>
      <c r="J103" s="7">
        <f>ROUND(1656,2)</f>
        <v>1656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>
        <f>ROUND(-12,2)</f>
        <v>-12</v>
      </c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7">
        <f>ROUND(16,2)</f>
        <v>16</v>
      </c>
      <c r="BX103" s="6"/>
      <c r="BY103" s="6"/>
      <c r="BZ103" s="6"/>
      <c r="CA103" s="6"/>
      <c r="CB103" s="6"/>
      <c r="CC103" s="6"/>
      <c r="CD103" s="6"/>
      <c r="CE103" s="6"/>
      <c r="CF103" s="6"/>
      <c r="CG103" s="7">
        <f>ROUND(4,2)</f>
        <v>4</v>
      </c>
      <c r="CH103" s="7">
        <f>ROUND(56,2)</f>
        <v>56</v>
      </c>
      <c r="CI103" s="7">
        <f>ROUND(20,2)</f>
        <v>20</v>
      </c>
      <c r="CJ103" s="6"/>
      <c r="CK103" s="6"/>
      <c r="CL103" s="6"/>
      <c r="CM103" s="6"/>
      <c r="CN103" s="7">
        <f>ROUND(140,2)</f>
        <v>140</v>
      </c>
      <c r="CO103" s="6"/>
      <c r="CP103" s="6"/>
      <c r="CQ103" s="7">
        <f>ROUND(1880,2)</f>
        <v>1880</v>
      </c>
      <c r="CR103" s="7">
        <f>ROUND(91934.69,2)</f>
        <v>91934.69</v>
      </c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7">
        <f>ROUND(-562.65,2)</f>
        <v>-562.65</v>
      </c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7">
        <f>ROUND(500,2)</f>
        <v>500</v>
      </c>
      <c r="EX103" s="6"/>
      <c r="EY103" s="6"/>
      <c r="EZ103" s="6"/>
      <c r="FA103" s="6"/>
      <c r="FB103" s="6"/>
      <c r="FC103" s="6"/>
      <c r="FD103" s="6"/>
      <c r="FE103" s="6"/>
      <c r="FF103" s="6"/>
      <c r="FG103" s="7">
        <f>ROUND(750.2,2)</f>
        <v>750.2</v>
      </c>
      <c r="FH103" s="6"/>
      <c r="FI103" s="6"/>
      <c r="FJ103" s="7">
        <f>ROUND(4501.18,2)</f>
        <v>4501.18</v>
      </c>
      <c r="FK103" s="6"/>
      <c r="FL103" s="6"/>
      <c r="FM103" s="7">
        <f>ROUND(187.54,2)</f>
        <v>187.54</v>
      </c>
      <c r="FN103" s="7">
        <f>ROUND(1125.3,2)</f>
        <v>1125.3</v>
      </c>
      <c r="FO103" s="7">
        <f>ROUND(375.1,2)</f>
        <v>375.1</v>
      </c>
      <c r="FP103" s="6"/>
      <c r="FQ103" s="6"/>
      <c r="FR103" s="6"/>
      <c r="FS103" s="6"/>
      <c r="FT103" s="6"/>
      <c r="FU103" s="6"/>
      <c r="FV103" s="7">
        <f>ROUND(3000.8,2)</f>
        <v>3000.8</v>
      </c>
      <c r="FW103" s="6"/>
      <c r="FX103" s="6"/>
      <c r="FY103" s="7">
        <f>ROUND(101812.16,2)</f>
        <v>101812.16</v>
      </c>
    </row>
    <row r="104" spans="1:181" ht="26.4" x14ac:dyDescent="0.3">
      <c r="A104" s="4" t="s">
        <v>475</v>
      </c>
      <c r="B104" s="5"/>
      <c r="C104" s="5" t="s">
        <v>476</v>
      </c>
      <c r="D104" s="5" t="s">
        <v>477</v>
      </c>
      <c r="E104" s="5" t="s">
        <v>0</v>
      </c>
      <c r="F104" s="5" t="s">
        <v>0</v>
      </c>
      <c r="G104" s="5" t="s">
        <v>478</v>
      </c>
      <c r="H104" s="8">
        <f>ROUND(1400.06,2)</f>
        <v>1400.06</v>
      </c>
      <c r="I104" s="7">
        <f>ROUND(90063.3199999999,2)</f>
        <v>90063.32</v>
      </c>
      <c r="J104" s="7">
        <f>ROUND(1640,2)</f>
        <v>1640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7">
        <f>ROUND(-8,2)</f>
        <v>-8</v>
      </c>
      <c r="AJ104" s="7">
        <f>ROUND(32,2)</f>
        <v>32</v>
      </c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7">
        <f>ROUND(24,2)</f>
        <v>24</v>
      </c>
      <c r="BX104" s="6"/>
      <c r="BY104" s="6"/>
      <c r="BZ104" s="6"/>
      <c r="CA104" s="6"/>
      <c r="CB104" s="6"/>
      <c r="CC104" s="6"/>
      <c r="CD104" s="6"/>
      <c r="CE104" s="6"/>
      <c r="CF104" s="6"/>
      <c r="CG104" s="7">
        <f>ROUND(8,2)</f>
        <v>8</v>
      </c>
      <c r="CH104" s="7">
        <f>ROUND(48,2)</f>
        <v>48</v>
      </c>
      <c r="CI104" s="7">
        <f>ROUND(32,2)</f>
        <v>32</v>
      </c>
      <c r="CJ104" s="6"/>
      <c r="CK104" s="6"/>
      <c r="CL104" s="6"/>
      <c r="CM104" s="6"/>
      <c r="CN104" s="7">
        <f>ROUND(152,2)</f>
        <v>152</v>
      </c>
      <c r="CO104" s="6"/>
      <c r="CP104" s="6"/>
      <c r="CQ104" s="7">
        <f>ROUND(1928,2)</f>
        <v>1928</v>
      </c>
      <c r="CR104" s="7">
        <f>ROUND(70003.0199999999,2)</f>
        <v>70003.02</v>
      </c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7">
        <f>ROUND(-280.01,2)</f>
        <v>-280.01</v>
      </c>
      <c r="DS104" s="7">
        <f>ROUND(12000,2)</f>
        <v>12000</v>
      </c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7">
        <f>ROUND(500,2)</f>
        <v>500</v>
      </c>
      <c r="EX104" s="6"/>
      <c r="EY104" s="6"/>
      <c r="EZ104" s="6"/>
      <c r="FA104" s="6"/>
      <c r="FB104" s="6"/>
      <c r="FC104" s="6"/>
      <c r="FD104" s="6"/>
      <c r="FE104" s="6"/>
      <c r="FF104" s="6"/>
      <c r="FG104" s="7">
        <f>ROUND(280.01,2)</f>
        <v>280.01</v>
      </c>
      <c r="FH104" s="6"/>
      <c r="FI104" s="6"/>
      <c r="FJ104" s="7">
        <f>ROUND(3360.14,2)</f>
        <v>3360.14</v>
      </c>
      <c r="FK104" s="6"/>
      <c r="FL104" s="6"/>
      <c r="FM104" s="7">
        <f>ROUND(280.01,2)</f>
        <v>280.01</v>
      </c>
      <c r="FN104" s="7">
        <f>ROUND(840.03,2)</f>
        <v>840.03</v>
      </c>
      <c r="FO104" s="7">
        <f>ROUND(840.03,2)</f>
        <v>840.03</v>
      </c>
      <c r="FP104" s="6"/>
      <c r="FQ104" s="6"/>
      <c r="FR104" s="6"/>
      <c r="FS104" s="6"/>
      <c r="FT104" s="6"/>
      <c r="FU104" s="6"/>
      <c r="FV104" s="7">
        <f>ROUND(2240.09,2)</f>
        <v>2240.09</v>
      </c>
      <c r="FW104" s="6"/>
      <c r="FX104" s="6"/>
      <c r="FY104" s="7">
        <f>ROUND(90063.3199999999,2)</f>
        <v>90063.32</v>
      </c>
    </row>
    <row r="105" spans="1:181" ht="26.4" x14ac:dyDescent="0.3">
      <c r="A105" s="4" t="s">
        <v>495</v>
      </c>
      <c r="B105" s="5"/>
      <c r="C105" s="5" t="s">
        <v>476</v>
      </c>
      <c r="D105" s="5" t="s">
        <v>496</v>
      </c>
      <c r="E105" s="5" t="s">
        <v>0</v>
      </c>
      <c r="F105" s="5" t="s">
        <v>0</v>
      </c>
      <c r="G105" s="5" t="s">
        <v>497</v>
      </c>
      <c r="H105" s="8">
        <f>ROUND(1809.3,2)</f>
        <v>1809.3</v>
      </c>
      <c r="I105" s="7">
        <f>ROUND(106103.62,2)</f>
        <v>106103.62</v>
      </c>
      <c r="J105" s="7">
        <f>ROUND(1664,2)</f>
        <v>1664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7">
        <f>ROUND(-16,2)</f>
        <v>-16</v>
      </c>
      <c r="AJ105" s="7">
        <f>ROUND(6,2)</f>
        <v>6</v>
      </c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7">
        <f>ROUND(24,2)</f>
        <v>24</v>
      </c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7">
        <f>ROUND(40,2)</f>
        <v>40</v>
      </c>
      <c r="CI105" s="7">
        <f>ROUND(32,2)</f>
        <v>32</v>
      </c>
      <c r="CJ105" s="6"/>
      <c r="CK105" s="6"/>
      <c r="CL105" s="6"/>
      <c r="CM105" s="6"/>
      <c r="CN105" s="7">
        <f>ROUND(184,2)</f>
        <v>184</v>
      </c>
      <c r="CO105" s="7">
        <f>ROUND(8,2)</f>
        <v>8</v>
      </c>
      <c r="CP105" s="7">
        <f>ROUND(80,2)</f>
        <v>80</v>
      </c>
      <c r="CQ105" s="7">
        <f>ROUND(2022,2)</f>
        <v>2022</v>
      </c>
      <c r="CR105" s="7">
        <f>ROUND(91550.58,2)</f>
        <v>91550.58</v>
      </c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7">
        <f>ROUND(-723.719999999999,2)</f>
        <v>-723.72</v>
      </c>
      <c r="DS105" s="7">
        <f>ROUND(2250,2)</f>
        <v>2250</v>
      </c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7">
        <f>ROUND(361.86,2)</f>
        <v>361.86</v>
      </c>
      <c r="FH105" s="6"/>
      <c r="FI105" s="6"/>
      <c r="FJ105" s="7">
        <f>ROUND(4342.32,2)</f>
        <v>4342.32</v>
      </c>
      <c r="FK105" s="6"/>
      <c r="FL105" s="6"/>
      <c r="FM105" s="6"/>
      <c r="FN105" s="7">
        <f>ROUND(723.72,2)</f>
        <v>723.72</v>
      </c>
      <c r="FO105" s="6"/>
      <c r="FP105" s="6"/>
      <c r="FQ105" s="6"/>
      <c r="FR105" s="6"/>
      <c r="FS105" s="6"/>
      <c r="FT105" s="6"/>
      <c r="FU105" s="6"/>
      <c r="FV105" s="7">
        <f>ROUND(3980.46,2)</f>
        <v>3980.46</v>
      </c>
      <c r="FW105" s="6"/>
      <c r="FX105" s="7">
        <f>ROUND(3618.4,2)</f>
        <v>3618.4</v>
      </c>
      <c r="FY105" s="7">
        <f>ROUND(106103.62,2)</f>
        <v>106103.62</v>
      </c>
    </row>
    <row r="106" spans="1:181" ht="26.4" x14ac:dyDescent="0.3">
      <c r="A106" s="4" t="s">
        <v>540</v>
      </c>
      <c r="B106" s="5"/>
      <c r="C106" s="5" t="s">
        <v>476</v>
      </c>
      <c r="D106" s="5" t="s">
        <v>541</v>
      </c>
      <c r="E106" s="5" t="s">
        <v>542</v>
      </c>
      <c r="F106" s="5" t="s">
        <v>0</v>
      </c>
      <c r="G106" s="5" t="s">
        <v>543</v>
      </c>
      <c r="H106" s="8">
        <f>ROUND(1470.22,2)</f>
        <v>1470.22</v>
      </c>
      <c r="I106" s="7">
        <f>ROUND(1470.22,2)</f>
        <v>1470.22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7">
        <f>ROUND(40,2)</f>
        <v>40</v>
      </c>
      <c r="CF106" s="6"/>
      <c r="CG106" s="6"/>
      <c r="CH106" s="7">
        <f>ROUND(0,2)</f>
        <v>0</v>
      </c>
      <c r="CI106" s="6"/>
      <c r="CJ106" s="6"/>
      <c r="CK106" s="6"/>
      <c r="CL106" s="6"/>
      <c r="CM106" s="6"/>
      <c r="CN106" s="6"/>
      <c r="CO106" s="6"/>
      <c r="CP106" s="6"/>
      <c r="CQ106" s="7">
        <f>ROUND(40,2)</f>
        <v>40</v>
      </c>
      <c r="CR106" s="7">
        <f>ROUND(0,2)</f>
        <v>0</v>
      </c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7">
        <f>ROUND(1470.22,2)</f>
        <v>1470.22</v>
      </c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7">
        <f>ROUND(1470.22,2)</f>
        <v>1470.22</v>
      </c>
    </row>
    <row r="107" spans="1:181" ht="26.4" x14ac:dyDescent="0.3">
      <c r="A107" s="4" t="s">
        <v>564</v>
      </c>
      <c r="B107" s="5"/>
      <c r="C107" s="5" t="s">
        <v>476</v>
      </c>
      <c r="D107" s="5" t="s">
        <v>565</v>
      </c>
      <c r="E107" s="5" t="s">
        <v>566</v>
      </c>
      <c r="F107" s="5" t="s">
        <v>0</v>
      </c>
      <c r="G107" s="5" t="s">
        <v>478</v>
      </c>
      <c r="H107" s="8">
        <f>ROUND(1449.55,2)</f>
        <v>1449.55</v>
      </c>
      <c r="I107" s="7">
        <f>ROUND(50646.18,2)</f>
        <v>50646.18</v>
      </c>
      <c r="J107" s="7">
        <f>ROUND(840,2)</f>
        <v>840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7">
        <f>ROUND(16,2)</f>
        <v>16</v>
      </c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7">
        <f>ROUND(8,2)</f>
        <v>8</v>
      </c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7">
        <f>ROUND(8,2)</f>
        <v>8</v>
      </c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7">
        <f>ROUND(32,2)</f>
        <v>32</v>
      </c>
      <c r="CI107" s="7">
        <f>ROUND(32,2)</f>
        <v>32</v>
      </c>
      <c r="CJ107" s="6"/>
      <c r="CK107" s="6"/>
      <c r="CL107" s="6"/>
      <c r="CM107" s="6"/>
      <c r="CN107" s="7">
        <f>ROUND(56,2)</f>
        <v>56</v>
      </c>
      <c r="CO107" s="6"/>
      <c r="CP107" s="7">
        <f>ROUND(24,2)</f>
        <v>24</v>
      </c>
      <c r="CQ107" s="7">
        <f>ROUND(1016,2)</f>
        <v>1016</v>
      </c>
      <c r="CR107" s="7">
        <f>ROUND(43486.5,2)</f>
        <v>43486.5</v>
      </c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7">
        <f>ROUND(6000,2)</f>
        <v>6000</v>
      </c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7">
        <f>ROUND(289.92,2)</f>
        <v>289.92</v>
      </c>
      <c r="FP107" s="6"/>
      <c r="FQ107" s="6"/>
      <c r="FR107" s="6"/>
      <c r="FS107" s="6"/>
      <c r="FT107" s="6"/>
      <c r="FU107" s="6"/>
      <c r="FV107" s="6"/>
      <c r="FW107" s="6"/>
      <c r="FX107" s="7">
        <f>ROUND(869.76,2)</f>
        <v>869.76</v>
      </c>
      <c r="FY107" s="7">
        <f>ROUND(50646.18,2)</f>
        <v>50646.18</v>
      </c>
    </row>
    <row r="108" spans="1:181" ht="26.4" x14ac:dyDescent="0.3">
      <c r="A108" s="4" t="s">
        <v>601</v>
      </c>
      <c r="B108" s="5"/>
      <c r="C108" s="5" t="s">
        <v>476</v>
      </c>
      <c r="D108" s="5" t="s">
        <v>602</v>
      </c>
      <c r="E108" s="5" t="s">
        <v>0</v>
      </c>
      <c r="F108" s="5" t="s">
        <v>0</v>
      </c>
      <c r="G108" s="5" t="s">
        <v>603</v>
      </c>
      <c r="H108" s="8">
        <f>ROUND(2625.7,2)</f>
        <v>2625.7</v>
      </c>
      <c r="I108" s="7">
        <f>ROUND(144938.639999999,2)</f>
        <v>144938.64000000001</v>
      </c>
      <c r="J108" s="7">
        <f>ROUND(1680,2)</f>
        <v>1680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7">
        <f>ROUND(-16,2)</f>
        <v>-16</v>
      </c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>
        <f>ROUND(8,2)</f>
        <v>8</v>
      </c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7">
        <f>ROUND(56,2)</f>
        <v>56</v>
      </c>
      <c r="CI108" s="7">
        <f>ROUND(32,2)</f>
        <v>32</v>
      </c>
      <c r="CJ108" s="6"/>
      <c r="CK108" s="6"/>
      <c r="CL108" s="6"/>
      <c r="CM108" s="6"/>
      <c r="CN108" s="7">
        <f>ROUND(136,2)</f>
        <v>136</v>
      </c>
      <c r="CO108" s="6"/>
      <c r="CP108" s="6"/>
      <c r="CQ108" s="7">
        <f>ROUND(1896,2)</f>
        <v>1896</v>
      </c>
      <c r="CR108" s="7">
        <f>ROUND(133910.699999999,2)</f>
        <v>133910.70000000001</v>
      </c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7">
        <f>ROUND(-1050.28,2)</f>
        <v>-1050.28</v>
      </c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7">
        <f>ROUND(6301.68,2)</f>
        <v>6301.68</v>
      </c>
      <c r="FK108" s="6"/>
      <c r="FL108" s="6"/>
      <c r="FM108" s="6"/>
      <c r="FN108" s="7">
        <f>ROUND(1575.42,2)</f>
        <v>1575.42</v>
      </c>
      <c r="FO108" s="7">
        <f>ROUND(1050.28,2)</f>
        <v>1050.28</v>
      </c>
      <c r="FP108" s="6"/>
      <c r="FQ108" s="6"/>
      <c r="FR108" s="6"/>
      <c r="FS108" s="6"/>
      <c r="FT108" s="6"/>
      <c r="FU108" s="6"/>
      <c r="FV108" s="7">
        <f>ROUND(3150.84,2)</f>
        <v>3150.84</v>
      </c>
      <c r="FW108" s="6"/>
      <c r="FX108" s="6"/>
      <c r="FY108" s="7">
        <f>ROUND(144938.639999999,2)</f>
        <v>144938.64000000001</v>
      </c>
    </row>
    <row r="109" spans="1:181" ht="26.4" x14ac:dyDescent="0.3">
      <c r="A109" s="4" t="s">
        <v>760</v>
      </c>
      <c r="B109" s="5"/>
      <c r="C109" s="5" t="s">
        <v>476</v>
      </c>
      <c r="D109" s="5" t="s">
        <v>317</v>
      </c>
      <c r="E109" s="5" t="s">
        <v>0</v>
      </c>
      <c r="F109" s="5" t="s">
        <v>0</v>
      </c>
      <c r="G109" s="5" t="s">
        <v>478</v>
      </c>
      <c r="H109" s="8">
        <f>ROUND(1442.31,2)</f>
        <v>1442.31</v>
      </c>
      <c r="I109" s="7">
        <f>ROUND(30288.15,2)</f>
        <v>30288.15</v>
      </c>
      <c r="J109" s="7">
        <f>ROUND(738.75,2)</f>
        <v>738.75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7">
        <f>ROUND(7,2)</f>
        <v>7</v>
      </c>
      <c r="CH109" s="7">
        <f>ROUND(16,2)</f>
        <v>16</v>
      </c>
      <c r="CI109" s="6"/>
      <c r="CJ109" s="6"/>
      <c r="CK109" s="6"/>
      <c r="CL109" s="6"/>
      <c r="CM109" s="6"/>
      <c r="CN109" s="7">
        <f>ROUND(72,2)</f>
        <v>72</v>
      </c>
      <c r="CO109" s="6"/>
      <c r="CP109" s="6"/>
      <c r="CQ109" s="7">
        <f>ROUND(833.75,2)</f>
        <v>833.75</v>
      </c>
      <c r="CR109" s="7">
        <f>ROUND(26637.67,2)</f>
        <v>26637.67</v>
      </c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7">
        <f>ROUND(225,2)</f>
        <v>225</v>
      </c>
      <c r="FK109" s="6"/>
      <c r="FL109" s="6"/>
      <c r="FM109" s="7">
        <f>ROUND(252.4,2)</f>
        <v>252.4</v>
      </c>
      <c r="FN109" s="7">
        <f>ROUND(576.92,2)</f>
        <v>576.91999999999996</v>
      </c>
      <c r="FO109" s="6"/>
      <c r="FP109" s="6"/>
      <c r="FQ109" s="6"/>
      <c r="FR109" s="6"/>
      <c r="FS109" s="6"/>
      <c r="FT109" s="6"/>
      <c r="FU109" s="6"/>
      <c r="FV109" s="7">
        <f>ROUND(2596.16,2)</f>
        <v>2596.16</v>
      </c>
      <c r="FW109" s="6"/>
      <c r="FX109" s="6"/>
      <c r="FY109" s="7">
        <f>ROUND(30288.15,2)</f>
        <v>30288.15</v>
      </c>
    </row>
    <row r="110" spans="1:181" ht="26.4" x14ac:dyDescent="0.3">
      <c r="A110" s="4" t="s">
        <v>817</v>
      </c>
      <c r="B110" s="5"/>
      <c r="C110" s="5" t="s">
        <v>476</v>
      </c>
      <c r="D110" s="5" t="s">
        <v>818</v>
      </c>
      <c r="E110" s="5" t="s">
        <v>0</v>
      </c>
      <c r="F110" s="5" t="s">
        <v>0</v>
      </c>
      <c r="G110" s="5" t="s">
        <v>478</v>
      </c>
      <c r="H110" s="8">
        <f>ROUND(1403.85,2)</f>
        <v>1403.85</v>
      </c>
      <c r="I110" s="7">
        <f>ROUND(9841.5,2)</f>
        <v>9841.5</v>
      </c>
      <c r="J110" s="7">
        <f>ROUND(266,2)</f>
        <v>266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7">
        <f>ROUND(8,2)</f>
        <v>8</v>
      </c>
      <c r="CI110" s="6"/>
      <c r="CJ110" s="6"/>
      <c r="CK110" s="6"/>
      <c r="CL110" s="6"/>
      <c r="CM110" s="6"/>
      <c r="CN110" s="6"/>
      <c r="CO110" s="6"/>
      <c r="CP110" s="6"/>
      <c r="CQ110" s="7">
        <f>ROUND(274,2)</f>
        <v>274</v>
      </c>
      <c r="CR110" s="7">
        <f>ROUND(9335.73,2)</f>
        <v>9335.73</v>
      </c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7">
        <f>ROUND(225,2)</f>
        <v>225</v>
      </c>
      <c r="FK110" s="6"/>
      <c r="FL110" s="6"/>
      <c r="FM110" s="6"/>
      <c r="FN110" s="7">
        <f>ROUND(280.77,2)</f>
        <v>280.77</v>
      </c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7">
        <f>ROUND(9841.5,2)</f>
        <v>9841.5</v>
      </c>
    </row>
    <row r="111" spans="1:181" ht="26.4" x14ac:dyDescent="0.3">
      <c r="A111" s="4" t="s">
        <v>820</v>
      </c>
      <c r="B111" s="5"/>
      <c r="C111" s="5" t="s">
        <v>476</v>
      </c>
      <c r="D111" s="5" t="s">
        <v>821</v>
      </c>
      <c r="E111" s="5" t="s">
        <v>0</v>
      </c>
      <c r="F111" s="5" t="s">
        <v>0</v>
      </c>
      <c r="G111" s="5" t="s">
        <v>822</v>
      </c>
      <c r="H111" s="8">
        <f>ROUND(1397.44,2)</f>
        <v>1397.44</v>
      </c>
      <c r="I111" s="7">
        <f>ROUND(81168.18,2)</f>
        <v>81168.179999999993</v>
      </c>
      <c r="J111" s="7">
        <f>ROUND(1622,2)</f>
        <v>1622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7">
        <f>ROUND(-19,2)</f>
        <v>-19</v>
      </c>
      <c r="AJ111" s="7">
        <f>ROUND(10,2)</f>
        <v>10</v>
      </c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7">
        <f>ROUND(16,2)</f>
        <v>16</v>
      </c>
      <c r="BX111" s="6"/>
      <c r="BY111" s="6"/>
      <c r="BZ111" s="6"/>
      <c r="CA111" s="6"/>
      <c r="CB111" s="6"/>
      <c r="CC111" s="6"/>
      <c r="CD111" s="6"/>
      <c r="CE111" s="6"/>
      <c r="CF111" s="7">
        <f>ROUND(24,2)</f>
        <v>24</v>
      </c>
      <c r="CG111" s="7">
        <f>ROUND(13,2)</f>
        <v>13</v>
      </c>
      <c r="CH111" s="7">
        <f>ROUND(48,2)</f>
        <v>48</v>
      </c>
      <c r="CI111" s="7">
        <f>ROUND(32,2)</f>
        <v>32</v>
      </c>
      <c r="CJ111" s="7">
        <f>ROUND(0,2)</f>
        <v>0</v>
      </c>
      <c r="CK111" s="6"/>
      <c r="CL111" s="6"/>
      <c r="CM111" s="6"/>
      <c r="CN111" s="7">
        <f>ROUND(80,2)</f>
        <v>80</v>
      </c>
      <c r="CO111" s="6"/>
      <c r="CP111" s="6"/>
      <c r="CQ111" s="7">
        <f>ROUND(1826,2)</f>
        <v>1826</v>
      </c>
      <c r="CR111" s="7">
        <f>ROUND(69243.13,2)</f>
        <v>69243.13</v>
      </c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7">
        <f>ROUND(-663.79,2)</f>
        <v>-663.79</v>
      </c>
      <c r="DS111" s="7">
        <f>ROUND(3750,2)</f>
        <v>3750</v>
      </c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7">
        <f>ROUND(279.49,2)</f>
        <v>279.49</v>
      </c>
      <c r="FH111" s="6"/>
      <c r="FI111" s="6"/>
      <c r="FJ111" s="7">
        <f>ROUND(3353.86,2)</f>
        <v>3353.86</v>
      </c>
      <c r="FK111" s="6"/>
      <c r="FL111" s="7">
        <f>ROUND(838.47,2)</f>
        <v>838.47</v>
      </c>
      <c r="FM111" s="7">
        <f>ROUND(454.17,2)</f>
        <v>454.17</v>
      </c>
      <c r="FN111" s="7">
        <f>ROUND(558.98,2)</f>
        <v>558.98</v>
      </c>
      <c r="FO111" s="7">
        <f>ROUND(1117.95,2)</f>
        <v>1117.95</v>
      </c>
      <c r="FP111" s="7">
        <f>ROUND(0,2)</f>
        <v>0</v>
      </c>
      <c r="FQ111" s="6"/>
      <c r="FR111" s="6"/>
      <c r="FS111" s="6"/>
      <c r="FT111" s="6"/>
      <c r="FU111" s="6"/>
      <c r="FV111" s="7">
        <f>ROUND(2235.92,2)</f>
        <v>2235.92</v>
      </c>
      <c r="FW111" s="6"/>
      <c r="FX111" s="6"/>
      <c r="FY111" s="7">
        <f>ROUND(81168.18,2)</f>
        <v>81168.179999999993</v>
      </c>
    </row>
    <row r="112" spans="1:181" ht="26.4" x14ac:dyDescent="0.3">
      <c r="A112" s="4" t="s">
        <v>825</v>
      </c>
      <c r="B112" s="5"/>
      <c r="C112" s="5" t="s">
        <v>476</v>
      </c>
      <c r="D112" s="5" t="s">
        <v>826</v>
      </c>
      <c r="E112" s="5" t="s">
        <v>0</v>
      </c>
      <c r="F112" s="5" t="s">
        <v>0</v>
      </c>
      <c r="G112" s="5" t="s">
        <v>478</v>
      </c>
      <c r="H112" s="8">
        <f>ROUND(1445.97,2)</f>
        <v>1445.97</v>
      </c>
      <c r="I112" s="7">
        <f>ROUND(76607.09,2)</f>
        <v>76607.09</v>
      </c>
      <c r="J112" s="7">
        <f>ROUND(1403.25,2)</f>
        <v>1403.25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7">
        <f>ROUND(34.5,2)</f>
        <v>34.5</v>
      </c>
      <c r="AI112" s="7">
        <f>ROUND(-8,2)</f>
        <v>-8</v>
      </c>
      <c r="AJ112" s="7">
        <f>ROUND(15,2)</f>
        <v>15</v>
      </c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7">
        <f>ROUND(8,2)</f>
        <v>8</v>
      </c>
      <c r="BX112" s="6"/>
      <c r="BY112" s="6"/>
      <c r="BZ112" s="6"/>
      <c r="CA112" s="6"/>
      <c r="CB112" s="6"/>
      <c r="CC112" s="6"/>
      <c r="CD112" s="6"/>
      <c r="CE112" s="6"/>
      <c r="CF112" s="6"/>
      <c r="CG112" s="7">
        <f>ROUND(8,2)</f>
        <v>8</v>
      </c>
      <c r="CH112" s="7">
        <f>ROUND(56,2)</f>
        <v>56</v>
      </c>
      <c r="CI112" s="7">
        <f>ROUND(32,2)</f>
        <v>32</v>
      </c>
      <c r="CJ112" s="6"/>
      <c r="CK112" s="6"/>
      <c r="CL112" s="6"/>
      <c r="CM112" s="6"/>
      <c r="CN112" s="7">
        <f>ROUND(40,2)</f>
        <v>40</v>
      </c>
      <c r="CO112" s="6"/>
      <c r="CP112" s="6"/>
      <c r="CQ112" s="7">
        <f>ROUND(1588.75,2)</f>
        <v>1588.75</v>
      </c>
      <c r="CR112" s="7">
        <f>ROUND(63740.23,2)</f>
        <v>63740.23</v>
      </c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7">
        <f>ROUND(1247.18,2)</f>
        <v>1247.18</v>
      </c>
      <c r="DR112" s="7">
        <f>ROUND(-289.19,2)</f>
        <v>-289.19</v>
      </c>
      <c r="DS112" s="7">
        <f>ROUND(5625,2)</f>
        <v>5625</v>
      </c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7">
        <f>ROUND(500,2)</f>
        <v>500</v>
      </c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7">
        <f>ROUND(3470.33,2)</f>
        <v>3470.33</v>
      </c>
      <c r="FK112" s="6"/>
      <c r="FL112" s="6"/>
      <c r="FM112" s="6"/>
      <c r="FN112" s="7">
        <f>ROUND(867.569999999999,2)</f>
        <v>867.57</v>
      </c>
      <c r="FO112" s="7">
        <f>ROUND(289.19,2)</f>
        <v>289.19</v>
      </c>
      <c r="FP112" s="6"/>
      <c r="FQ112" s="6"/>
      <c r="FR112" s="6"/>
      <c r="FS112" s="6"/>
      <c r="FT112" s="6"/>
      <c r="FU112" s="6"/>
      <c r="FV112" s="7">
        <f>ROUND(1156.78,2)</f>
        <v>1156.78</v>
      </c>
      <c r="FW112" s="6"/>
      <c r="FX112" s="6"/>
      <c r="FY112" s="7">
        <f>ROUND(76607.09,2)</f>
        <v>76607.09</v>
      </c>
    </row>
    <row r="113" spans="1:181" ht="26.4" x14ac:dyDescent="0.3">
      <c r="A113" s="4" t="s">
        <v>956</v>
      </c>
      <c r="B113" s="5"/>
      <c r="C113" s="5" t="s">
        <v>476</v>
      </c>
      <c r="D113" s="5" t="s">
        <v>957</v>
      </c>
      <c r="E113" s="5" t="s">
        <v>0</v>
      </c>
      <c r="F113" s="5" t="s">
        <v>0</v>
      </c>
      <c r="G113" s="5" t="s">
        <v>543</v>
      </c>
      <c r="H113" s="8">
        <f>ROUND(1318.21,2)</f>
        <v>1318.21</v>
      </c>
      <c r="I113" s="7">
        <f>ROUND(71142.56,2)</f>
        <v>71142.559999999998</v>
      </c>
      <c r="J113" s="7">
        <f>ROUND(1736,2)</f>
        <v>1736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7">
        <f>ROUND(-16,2)</f>
        <v>-16</v>
      </c>
      <c r="AJ113" s="7">
        <f>ROUND(2,2)</f>
        <v>2</v>
      </c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7">
        <f>ROUND(120,2)</f>
        <v>120</v>
      </c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7">
        <f>ROUND(8,2)</f>
        <v>8</v>
      </c>
      <c r="BX113" s="6"/>
      <c r="BY113" s="6"/>
      <c r="BZ113" s="6"/>
      <c r="CA113" s="6"/>
      <c r="CB113" s="6"/>
      <c r="CC113" s="6"/>
      <c r="CD113" s="6"/>
      <c r="CE113" s="6"/>
      <c r="CF113" s="6"/>
      <c r="CG113" s="7">
        <f>ROUND(48,2)</f>
        <v>48</v>
      </c>
      <c r="CH113" s="7">
        <f>ROUND(48,2)</f>
        <v>48</v>
      </c>
      <c r="CI113" s="7">
        <f>ROUND(32,2)</f>
        <v>32</v>
      </c>
      <c r="CJ113" s="6"/>
      <c r="CK113" s="6"/>
      <c r="CL113" s="6"/>
      <c r="CM113" s="6"/>
      <c r="CN113" s="7">
        <f>ROUND(112,2)</f>
        <v>112</v>
      </c>
      <c r="CO113" s="6"/>
      <c r="CP113" s="6"/>
      <c r="CQ113" s="7">
        <f>ROUND(2090,2)</f>
        <v>2090</v>
      </c>
      <c r="CR113" s="7">
        <f>ROUND(66437.9599999999,2)</f>
        <v>66437.960000000006</v>
      </c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7">
        <f>ROUND(-527.28,2)</f>
        <v>-527.28</v>
      </c>
      <c r="DS113" s="7">
        <f>ROUND(750,2)</f>
        <v>750</v>
      </c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7">
        <f>ROUND(1318.19999999999,2)</f>
        <v>1318.2</v>
      </c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7">
        <f>ROUND(527.28,2)</f>
        <v>527.28</v>
      </c>
      <c r="FK113" s="6"/>
      <c r="FL113" s="6"/>
      <c r="FM113" s="7">
        <f>ROUND(790.92,2)</f>
        <v>790.92</v>
      </c>
      <c r="FN113" s="7">
        <f>ROUND(790.92,2)</f>
        <v>790.92</v>
      </c>
      <c r="FO113" s="7">
        <f>ROUND(527.28,2)</f>
        <v>527.28</v>
      </c>
      <c r="FP113" s="6"/>
      <c r="FQ113" s="6"/>
      <c r="FR113" s="6"/>
      <c r="FS113" s="6"/>
      <c r="FT113" s="6"/>
      <c r="FU113" s="6"/>
      <c r="FV113" s="7">
        <f>ROUND(527.28,2)</f>
        <v>527.28</v>
      </c>
      <c r="FW113" s="6"/>
      <c r="FX113" s="6"/>
      <c r="FY113" s="7">
        <f>ROUND(71142.56,2)</f>
        <v>71142.559999999998</v>
      </c>
    </row>
    <row r="114" spans="1:181" x14ac:dyDescent="0.3">
      <c r="A114" s="4" t="s">
        <v>293</v>
      </c>
      <c r="B114" s="5"/>
      <c r="C114" s="5" t="s">
        <v>294</v>
      </c>
      <c r="D114" s="5" t="s">
        <v>295</v>
      </c>
      <c r="E114" s="5" t="s">
        <v>0</v>
      </c>
      <c r="F114" s="5" t="s">
        <v>0</v>
      </c>
      <c r="G114" s="5" t="s">
        <v>296</v>
      </c>
      <c r="H114" s="8">
        <f>ROUND(2916.21,2)</f>
        <v>2916.21</v>
      </c>
      <c r="I114" s="7">
        <f>ROUND(157283.52,2)</f>
        <v>157283.51999999999</v>
      </c>
      <c r="J114" s="7">
        <f>ROUND(1684,2)</f>
        <v>1684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7">
        <f>ROUND(-8,2)</f>
        <v>-8</v>
      </c>
      <c r="AC114" s="7">
        <f>ROUND(9,2)</f>
        <v>9</v>
      </c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7">
        <f>ROUND(56,2)</f>
        <v>56</v>
      </c>
      <c r="BX114" s="6"/>
      <c r="BY114" s="6"/>
      <c r="BZ114" s="6"/>
      <c r="CA114" s="6"/>
      <c r="CB114" s="6"/>
      <c r="CC114" s="6"/>
      <c r="CD114" s="6"/>
      <c r="CE114" s="6"/>
      <c r="CF114" s="6"/>
      <c r="CG114" s="7">
        <f>ROUND(4,2)</f>
        <v>4</v>
      </c>
      <c r="CH114" s="7">
        <f>ROUND(48,2)</f>
        <v>48</v>
      </c>
      <c r="CI114" s="7">
        <f>ROUND(32,2)</f>
        <v>32</v>
      </c>
      <c r="CJ114" s="6"/>
      <c r="CK114" s="6"/>
      <c r="CL114" s="6"/>
      <c r="CM114" s="6"/>
      <c r="CN114" s="7">
        <f>ROUND(144,2)</f>
        <v>144</v>
      </c>
      <c r="CO114" s="7">
        <f>ROUND(8,2)</f>
        <v>8</v>
      </c>
      <c r="CP114" s="7">
        <f>ROUND(40,2)</f>
        <v>40</v>
      </c>
      <c r="CQ114" s="7">
        <f>ROUND(2017,2)</f>
        <v>2017</v>
      </c>
      <c r="CR114" s="7">
        <f>ROUND(138892.82,2)</f>
        <v>138892.82</v>
      </c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7">
        <f>ROUND(-583.24,2)</f>
        <v>-583.24</v>
      </c>
      <c r="DL114" s="7">
        <f>ROUND(3375,2)</f>
        <v>3375</v>
      </c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7">
        <f>ROUND(6998.91,2)</f>
        <v>6998.91</v>
      </c>
      <c r="FK114" s="6"/>
      <c r="FL114" s="6"/>
      <c r="FM114" s="7">
        <f>ROUND(291.62,2)</f>
        <v>291.62</v>
      </c>
      <c r="FN114" s="7">
        <f>ROUND(1166.48,2)</f>
        <v>1166.48</v>
      </c>
      <c r="FO114" s="6"/>
      <c r="FP114" s="6"/>
      <c r="FQ114" s="6"/>
      <c r="FR114" s="6"/>
      <c r="FS114" s="6"/>
      <c r="FT114" s="6"/>
      <c r="FU114" s="6"/>
      <c r="FV114" s="7">
        <f>ROUND(4665.93,2)</f>
        <v>4665.93</v>
      </c>
      <c r="FW114" s="6"/>
      <c r="FX114" s="7">
        <f>ROUND(2476,2)</f>
        <v>2476</v>
      </c>
      <c r="FY114" s="7">
        <f>ROUND(157283.52,2)</f>
        <v>157283.51999999999</v>
      </c>
    </row>
    <row r="115" spans="1:181" ht="26.4" x14ac:dyDescent="0.3">
      <c r="A115" s="4" t="s">
        <v>313</v>
      </c>
      <c r="B115" s="5"/>
      <c r="C115" s="5" t="s">
        <v>294</v>
      </c>
      <c r="D115" s="5" t="s">
        <v>295</v>
      </c>
      <c r="E115" s="5" t="s">
        <v>314</v>
      </c>
      <c r="F115" s="5" t="s">
        <v>0</v>
      </c>
      <c r="G115" s="5" t="s">
        <v>315</v>
      </c>
      <c r="H115" s="8">
        <f>ROUND(1506.16,2)</f>
        <v>1506.16</v>
      </c>
      <c r="I115" s="7">
        <f>ROUND(58532.37,2)</f>
        <v>58532.37</v>
      </c>
      <c r="J115" s="7">
        <f>ROUND(800,2)</f>
        <v>800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>
        <f>ROUND(8,2)</f>
        <v>8</v>
      </c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7">
        <f>ROUND(12,2)</f>
        <v>12</v>
      </c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7">
        <f>ROUND(32,2)</f>
        <v>32</v>
      </c>
      <c r="CI115" s="7">
        <f>ROUND(32,2)</f>
        <v>32</v>
      </c>
      <c r="CJ115" s="6"/>
      <c r="CK115" s="6"/>
      <c r="CL115" s="6"/>
      <c r="CM115" s="6"/>
      <c r="CN115" s="6"/>
      <c r="CO115" s="6"/>
      <c r="CP115" s="7">
        <f>ROUND(256,2)</f>
        <v>256</v>
      </c>
      <c r="CQ115" s="7">
        <f>ROUND(1140,2)</f>
        <v>1140</v>
      </c>
      <c r="CR115" s="7">
        <f>ROUND(43678.64,2)</f>
        <v>43678.64</v>
      </c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7">
        <f>ROUND(3000,2)</f>
        <v>3000</v>
      </c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7">
        <f>ROUND(2215.33,2)</f>
        <v>2215.33</v>
      </c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7">
        <f>ROUND(9638.4,2)</f>
        <v>9638.4</v>
      </c>
      <c r="FY115" s="7">
        <f>ROUND(58532.37,2)</f>
        <v>58532.37</v>
      </c>
    </row>
    <row r="116" spans="1:181" x14ac:dyDescent="0.3">
      <c r="A116" s="4" t="s">
        <v>331</v>
      </c>
      <c r="B116" s="5"/>
      <c r="C116" s="5" t="s">
        <v>294</v>
      </c>
      <c r="D116" s="5" t="s">
        <v>332</v>
      </c>
      <c r="E116" s="5" t="s">
        <v>0</v>
      </c>
      <c r="F116" s="5" t="s">
        <v>0</v>
      </c>
      <c r="G116" s="5" t="s">
        <v>333</v>
      </c>
      <c r="H116" s="8">
        <f>ROUND(1649.49,2)</f>
        <v>1649.49</v>
      </c>
      <c r="I116" s="7">
        <f>ROUND(47835.21,2)</f>
        <v>47835.21</v>
      </c>
      <c r="J116" s="7">
        <f>ROUND(800,2)</f>
        <v>800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7">
        <f>ROUND(200,2)</f>
        <v>200</v>
      </c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7">
        <f>ROUND(8,2)</f>
        <v>8</v>
      </c>
      <c r="BX116" s="6"/>
      <c r="BY116" s="6"/>
      <c r="BZ116" s="6"/>
      <c r="CA116" s="6"/>
      <c r="CB116" s="6"/>
      <c r="CC116" s="6"/>
      <c r="CD116" s="6"/>
      <c r="CE116" s="6"/>
      <c r="CF116" s="6"/>
      <c r="CG116" s="7">
        <f>ROUND(18.5,2)</f>
        <v>18.5</v>
      </c>
      <c r="CH116" s="7">
        <f>ROUND(24,2)</f>
        <v>24</v>
      </c>
      <c r="CI116" s="7">
        <f>ROUND(56,2)</f>
        <v>56</v>
      </c>
      <c r="CJ116" s="6"/>
      <c r="CK116" s="6"/>
      <c r="CL116" s="6"/>
      <c r="CM116" s="6"/>
      <c r="CN116" s="7">
        <f>ROUND(160,2)</f>
        <v>160</v>
      </c>
      <c r="CO116" s="6"/>
      <c r="CP116" s="6"/>
      <c r="CQ116" s="7">
        <f>ROUND(1266.5,2)</f>
        <v>1266.5</v>
      </c>
      <c r="CR116" s="7">
        <f>ROUND(47835.21,2)</f>
        <v>47835.21</v>
      </c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7">
        <f>ROUND(47835.21,2)</f>
        <v>47835.21</v>
      </c>
    </row>
    <row r="117" spans="1:181" x14ac:dyDescent="0.3">
      <c r="A117" s="4" t="s">
        <v>348</v>
      </c>
      <c r="B117" s="5"/>
      <c r="C117" s="5" t="s">
        <v>294</v>
      </c>
      <c r="D117" s="5" t="s">
        <v>349</v>
      </c>
      <c r="E117" s="5" t="s">
        <v>350</v>
      </c>
      <c r="F117" s="5" t="s">
        <v>0</v>
      </c>
      <c r="G117" s="5" t="s">
        <v>351</v>
      </c>
      <c r="H117" s="8">
        <f>ROUND(1412.13,2)</f>
        <v>1412.13</v>
      </c>
      <c r="I117" s="7">
        <f>ROUND(12709.17,2)</f>
        <v>12709.17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7">
        <f>ROUND(16,2)</f>
        <v>16</v>
      </c>
      <c r="CI117" s="7">
        <f>ROUND(24,2)</f>
        <v>24</v>
      </c>
      <c r="CJ117" s="6"/>
      <c r="CK117" s="6"/>
      <c r="CL117" s="6"/>
      <c r="CM117" s="6"/>
      <c r="CN117" s="7">
        <f>ROUND(24,2)</f>
        <v>24</v>
      </c>
      <c r="CO117" s="6"/>
      <c r="CP117" s="6"/>
      <c r="CQ117" s="7">
        <f>ROUND(64,2)</f>
        <v>64</v>
      </c>
      <c r="CR117" s="7">
        <f>ROUND(12709.17,2)</f>
        <v>12709.17</v>
      </c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7">
        <f>ROUND(12709.17,2)</f>
        <v>12709.17</v>
      </c>
    </row>
    <row r="118" spans="1:181" ht="26.4" x14ac:dyDescent="0.3">
      <c r="A118" s="4" t="s">
        <v>383</v>
      </c>
      <c r="B118" s="5"/>
      <c r="C118" s="5" t="s">
        <v>294</v>
      </c>
      <c r="D118" s="5" t="s">
        <v>384</v>
      </c>
      <c r="E118" s="5" t="s">
        <v>0</v>
      </c>
      <c r="F118" s="5" t="s">
        <v>0</v>
      </c>
      <c r="G118" s="5" t="s">
        <v>315</v>
      </c>
      <c r="H118" s="8">
        <f>ROUND(1366.92,2)</f>
        <v>1366.92</v>
      </c>
      <c r="I118" s="7">
        <f>ROUND(76235.3999999999,2)</f>
        <v>76235.399999999994</v>
      </c>
      <c r="J118" s="7">
        <f>ROUND(1672,2)</f>
        <v>1672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7">
        <f>ROUND(-8,2)</f>
        <v>-8</v>
      </c>
      <c r="AC118" s="7">
        <f>ROUND(2,2)</f>
        <v>2</v>
      </c>
      <c r="AD118" s="7">
        <f>ROUND(3,2)</f>
        <v>3</v>
      </c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7">
        <f>ROUND(56,2)</f>
        <v>56</v>
      </c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7">
        <f>ROUND(24,2)</f>
        <v>24</v>
      </c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7">
        <f>ROUND(64,2)</f>
        <v>64</v>
      </c>
      <c r="CI118" s="7">
        <f>ROUND(32,2)</f>
        <v>32</v>
      </c>
      <c r="CJ118" s="6"/>
      <c r="CK118" s="6"/>
      <c r="CL118" s="6"/>
      <c r="CM118" s="6"/>
      <c r="CN118" s="7">
        <f>ROUND(96,2)</f>
        <v>96</v>
      </c>
      <c r="CO118" s="6"/>
      <c r="CP118" s="6"/>
      <c r="CQ118" s="7">
        <f>ROUND(1941,2)</f>
        <v>1941</v>
      </c>
      <c r="CR118" s="7">
        <f>ROUND(69439.4999999999,2)</f>
        <v>69439.5</v>
      </c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>
        <f>ROUND(-273.38,2)</f>
        <v>-273.38</v>
      </c>
      <c r="DL118" s="7">
        <f>ROUND(750,2)</f>
        <v>750</v>
      </c>
      <c r="DM118" s="7">
        <f>ROUND(1125,2)</f>
        <v>1125</v>
      </c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7">
        <f>ROUND(273.38,2)</f>
        <v>273.38</v>
      </c>
      <c r="FH118" s="6"/>
      <c r="FI118" s="6"/>
      <c r="FJ118" s="7">
        <f>ROUND(2733.84,2)</f>
        <v>2733.84</v>
      </c>
      <c r="FK118" s="6"/>
      <c r="FL118" s="6"/>
      <c r="FM118" s="6"/>
      <c r="FN118" s="7">
        <f>ROUND(820.14,2)</f>
        <v>820.14</v>
      </c>
      <c r="FO118" s="6"/>
      <c r="FP118" s="6"/>
      <c r="FQ118" s="6"/>
      <c r="FR118" s="6"/>
      <c r="FS118" s="6"/>
      <c r="FT118" s="6"/>
      <c r="FU118" s="6"/>
      <c r="FV118" s="7">
        <f>ROUND(1366.92,2)</f>
        <v>1366.92</v>
      </c>
      <c r="FW118" s="6"/>
      <c r="FX118" s="6"/>
      <c r="FY118" s="7">
        <f>ROUND(76235.3999999999,2)</f>
        <v>76235.399999999994</v>
      </c>
    </row>
    <row r="119" spans="1:181" ht="26.4" x14ac:dyDescent="0.3">
      <c r="A119" s="4" t="s">
        <v>409</v>
      </c>
      <c r="B119" s="5"/>
      <c r="C119" s="5" t="s">
        <v>294</v>
      </c>
      <c r="D119" s="5" t="s">
        <v>410</v>
      </c>
      <c r="E119" s="5" t="s">
        <v>411</v>
      </c>
      <c r="F119" s="5" t="s">
        <v>0</v>
      </c>
      <c r="G119" s="5" t="s">
        <v>315</v>
      </c>
      <c r="H119" s="8">
        <f>ROUND(1365.39,2)</f>
        <v>1365.39</v>
      </c>
      <c r="I119" s="7">
        <f>ROUND(33177.0499999999,2)</f>
        <v>33177.050000000003</v>
      </c>
      <c r="J119" s="7">
        <f>ROUND(824,2)</f>
        <v>824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7">
        <f>ROUND(-16,2)</f>
        <v>-16</v>
      </c>
      <c r="AC119" s="7">
        <f>ROUND(4,2)</f>
        <v>4</v>
      </c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7">
        <f>ROUND(8,2)</f>
        <v>8</v>
      </c>
      <c r="BX119" s="6"/>
      <c r="BY119" s="6"/>
      <c r="BZ119" s="6"/>
      <c r="CA119" s="6"/>
      <c r="CB119" s="6"/>
      <c r="CC119" s="6"/>
      <c r="CD119" s="6"/>
      <c r="CE119" s="6"/>
      <c r="CF119" s="6"/>
      <c r="CG119" s="7">
        <f>ROUND(16,2)</f>
        <v>16</v>
      </c>
      <c r="CH119" s="7">
        <f>ROUND(24,2)</f>
        <v>24</v>
      </c>
      <c r="CI119" s="6"/>
      <c r="CJ119" s="6"/>
      <c r="CK119" s="6"/>
      <c r="CL119" s="6"/>
      <c r="CM119" s="6"/>
      <c r="CN119" s="7">
        <f>ROUND(64,2)</f>
        <v>64</v>
      </c>
      <c r="CO119" s="6"/>
      <c r="CP119" s="6"/>
      <c r="CQ119" s="7">
        <f>ROUND(924,2)</f>
        <v>924</v>
      </c>
      <c r="CR119" s="7">
        <f>ROUND(28127.0099999999,2)</f>
        <v>28127.01</v>
      </c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>
        <f>ROUND(-546.16,2)</f>
        <v>-546.16</v>
      </c>
      <c r="DL119" s="7">
        <f>ROUND(1500,2)</f>
        <v>1500</v>
      </c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7">
        <f>ROUND(273.08,2)</f>
        <v>273.08</v>
      </c>
      <c r="FH119" s="6"/>
      <c r="FI119" s="6"/>
      <c r="FJ119" s="7">
        <f>ROUND(273.08,2)</f>
        <v>273.08</v>
      </c>
      <c r="FK119" s="6"/>
      <c r="FL119" s="6"/>
      <c r="FM119" s="7">
        <f>ROUND(546.16,2)</f>
        <v>546.16</v>
      </c>
      <c r="FN119" s="7">
        <f>ROUND(819.24,2)</f>
        <v>819.24</v>
      </c>
      <c r="FO119" s="6"/>
      <c r="FP119" s="6"/>
      <c r="FQ119" s="6"/>
      <c r="FR119" s="6"/>
      <c r="FS119" s="6"/>
      <c r="FT119" s="6"/>
      <c r="FU119" s="6"/>
      <c r="FV119" s="7">
        <f>ROUND(2184.64,2)</f>
        <v>2184.64</v>
      </c>
      <c r="FW119" s="6"/>
      <c r="FX119" s="6"/>
      <c r="FY119" s="7">
        <f>ROUND(33177.0499999999,2)</f>
        <v>33177.050000000003</v>
      </c>
    </row>
    <row r="120" spans="1:181" x14ac:dyDescent="0.3">
      <c r="A120" s="4" t="s">
        <v>472</v>
      </c>
      <c r="B120" s="5"/>
      <c r="C120" s="5" t="s">
        <v>294</v>
      </c>
      <c r="D120" s="5" t="s">
        <v>368</v>
      </c>
      <c r="E120" s="5" t="s">
        <v>473</v>
      </c>
      <c r="F120" s="5" t="s">
        <v>0</v>
      </c>
      <c r="G120" s="5" t="s">
        <v>474</v>
      </c>
      <c r="H120" s="8">
        <f>ROUND(1406.89,2)</f>
        <v>1406.89</v>
      </c>
      <c r="I120" s="7">
        <f>ROUND(47833.3599999999,2)</f>
        <v>47833.36</v>
      </c>
      <c r="J120" s="7">
        <f>ROUND(720,2)</f>
        <v>720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7">
        <f>ROUND(3,2)</f>
        <v>3</v>
      </c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7">
        <f>ROUND(24,2)</f>
        <v>24</v>
      </c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7">
        <f>ROUND(208,2)</f>
        <v>208</v>
      </c>
      <c r="CF120" s="6"/>
      <c r="CG120" s="6"/>
      <c r="CH120" s="7">
        <f>ROUND(32,2)</f>
        <v>32</v>
      </c>
      <c r="CI120" s="6"/>
      <c r="CJ120" s="6"/>
      <c r="CK120" s="6"/>
      <c r="CL120" s="6"/>
      <c r="CM120" s="6"/>
      <c r="CN120" s="7">
        <f>ROUND(32,2)</f>
        <v>32</v>
      </c>
      <c r="CO120" s="6"/>
      <c r="CP120" s="7">
        <f>ROUND(40,2)</f>
        <v>40</v>
      </c>
      <c r="CQ120" s="7">
        <f>ROUND(1059,2)</f>
        <v>1059</v>
      </c>
      <c r="CR120" s="7">
        <f>ROUND(37986.0299999999,2)</f>
        <v>37986.03</v>
      </c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7">
        <f>ROUND(1125,2)</f>
        <v>1125</v>
      </c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7">
        <f>ROUND(7315.53,2)</f>
        <v>7315.53</v>
      </c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7">
        <f>ROUND(1406.8,2)</f>
        <v>1406.8</v>
      </c>
      <c r="FY120" s="7">
        <f>ROUND(47833.3599999999,2)</f>
        <v>47833.36</v>
      </c>
    </row>
    <row r="121" spans="1:181" ht="26.4" x14ac:dyDescent="0.3">
      <c r="A121" s="4" t="s">
        <v>500</v>
      </c>
      <c r="B121" s="5"/>
      <c r="C121" s="5" t="s">
        <v>294</v>
      </c>
      <c r="D121" s="5" t="s">
        <v>501</v>
      </c>
      <c r="E121" s="5" t="s">
        <v>0</v>
      </c>
      <c r="F121" s="5" t="s">
        <v>0</v>
      </c>
      <c r="G121" s="5" t="s">
        <v>502</v>
      </c>
      <c r="H121" s="8">
        <f>ROUND(1709.9,2)</f>
        <v>1709.9</v>
      </c>
      <c r="I121" s="7">
        <f>ROUND(96603.4599999999,2)</f>
        <v>96603.46</v>
      </c>
      <c r="J121" s="7">
        <f>ROUND(1728,2)</f>
        <v>1728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7">
        <f>ROUND(5,2)</f>
        <v>5</v>
      </c>
      <c r="AD121" s="6"/>
      <c r="AE121" s="6"/>
      <c r="AF121" s="7">
        <f>ROUND(-8,2)</f>
        <v>-8</v>
      </c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7">
        <f>ROUND(48,2)</f>
        <v>48</v>
      </c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7">
        <f>ROUND(32,2)</f>
        <v>32</v>
      </c>
      <c r="CI121" s="7">
        <f t="shared" ref="CI121:CI126" si="5">ROUND(32,2)</f>
        <v>32</v>
      </c>
      <c r="CJ121" s="6"/>
      <c r="CK121" s="6"/>
      <c r="CL121" s="6"/>
      <c r="CM121" s="6"/>
      <c r="CN121" s="7">
        <f>ROUND(48,2)</f>
        <v>48</v>
      </c>
      <c r="CO121" s="6"/>
      <c r="CP121" s="6"/>
      <c r="CQ121" s="7">
        <f>ROUND(1885,2)</f>
        <v>1885</v>
      </c>
      <c r="CR121" s="7">
        <f>ROUND(89256.7799999999,2)</f>
        <v>89256.78</v>
      </c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7">
        <f>ROUND(1875,2)</f>
        <v>1875</v>
      </c>
      <c r="DM121" s="6"/>
      <c r="DN121" s="6"/>
      <c r="DO121" s="7">
        <f>ROUND(-341.98,2)</f>
        <v>-341.98</v>
      </c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7">
        <f>ROUND(683.96,2)</f>
        <v>683.96</v>
      </c>
      <c r="FH121" s="6"/>
      <c r="FI121" s="6"/>
      <c r="FJ121" s="7">
        <f>ROUND(4103.76,2)</f>
        <v>4103.76</v>
      </c>
      <c r="FK121" s="6"/>
      <c r="FL121" s="6"/>
      <c r="FM121" s="6"/>
      <c r="FN121" s="7">
        <f>ROUND(683.96,2)</f>
        <v>683.96</v>
      </c>
      <c r="FO121" s="6"/>
      <c r="FP121" s="6"/>
      <c r="FQ121" s="6"/>
      <c r="FR121" s="6"/>
      <c r="FS121" s="6"/>
      <c r="FT121" s="6"/>
      <c r="FU121" s="6"/>
      <c r="FV121" s="7">
        <f>ROUND(341.98,2)</f>
        <v>341.98</v>
      </c>
      <c r="FW121" s="6"/>
      <c r="FX121" s="6"/>
      <c r="FY121" s="7">
        <f>ROUND(96603.4599999999,2)</f>
        <v>96603.46</v>
      </c>
    </row>
    <row r="122" spans="1:181" x14ac:dyDescent="0.3">
      <c r="A122" s="4" t="s">
        <v>546</v>
      </c>
      <c r="B122" s="5"/>
      <c r="C122" s="5" t="s">
        <v>294</v>
      </c>
      <c r="D122" s="5" t="s">
        <v>547</v>
      </c>
      <c r="E122" s="5" t="s">
        <v>0</v>
      </c>
      <c r="F122" s="5" t="s">
        <v>0</v>
      </c>
      <c r="G122" s="5" t="s">
        <v>474</v>
      </c>
      <c r="H122" s="8">
        <f>ROUND(1387.33,2)</f>
        <v>1387.33</v>
      </c>
      <c r="I122" s="7">
        <f>ROUND(98885.53,2)</f>
        <v>98885.53</v>
      </c>
      <c r="J122" s="7">
        <f>ROUND(1688,2)</f>
        <v>1688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7">
        <f>ROUND(-16,2)</f>
        <v>-16</v>
      </c>
      <c r="AC122" s="7">
        <f>ROUND(11,2)</f>
        <v>11</v>
      </c>
      <c r="AD122" s="7">
        <f>ROUND(47,2)</f>
        <v>47</v>
      </c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7">
        <f>ROUND(32,2)</f>
        <v>32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7">
        <f>ROUND(56,2)</f>
        <v>56</v>
      </c>
      <c r="CI122" s="7">
        <f t="shared" si="5"/>
        <v>32</v>
      </c>
      <c r="CJ122" s="6"/>
      <c r="CK122" s="6"/>
      <c r="CL122" s="6"/>
      <c r="CM122" s="6"/>
      <c r="CN122" s="7">
        <f>ROUND(136,2)</f>
        <v>136</v>
      </c>
      <c r="CO122" s="6"/>
      <c r="CP122" s="7">
        <f>ROUND(8,2)</f>
        <v>8</v>
      </c>
      <c r="CQ122" s="7">
        <f>ROUND(1994,2)</f>
        <v>1994</v>
      </c>
      <c r="CR122" s="7">
        <f>ROUND(71031.28,2)</f>
        <v>71031.28</v>
      </c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7">
        <f>ROUND(-554.94,2)</f>
        <v>-554.94000000000005</v>
      </c>
      <c r="DL122" s="7">
        <f>ROUND(4125,2)</f>
        <v>4125</v>
      </c>
      <c r="DM122" s="7">
        <f>ROUND(17625,2)</f>
        <v>17625</v>
      </c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7">
        <f>ROUND(554.94,2)</f>
        <v>554.94000000000005</v>
      </c>
      <c r="FH122" s="6"/>
      <c r="FI122" s="6"/>
      <c r="FJ122" s="7">
        <f>ROUND(3329.6,2)</f>
        <v>3329.6</v>
      </c>
      <c r="FK122" s="6"/>
      <c r="FL122" s="6"/>
      <c r="FM122" s="6"/>
      <c r="FN122" s="7">
        <f>ROUND(832.41,2)</f>
        <v>832.41</v>
      </c>
      <c r="FO122" s="6"/>
      <c r="FP122" s="6"/>
      <c r="FQ122" s="6"/>
      <c r="FR122" s="6"/>
      <c r="FS122" s="6"/>
      <c r="FT122" s="6"/>
      <c r="FU122" s="6"/>
      <c r="FV122" s="7">
        <f>ROUND(1664.8,2)</f>
        <v>1664.8</v>
      </c>
      <c r="FW122" s="6"/>
      <c r="FX122" s="7">
        <f>ROUND(277.44,2)</f>
        <v>277.44</v>
      </c>
      <c r="FY122" s="7">
        <f>ROUND(98885.53,2)</f>
        <v>98885.53</v>
      </c>
    </row>
    <row r="123" spans="1:181" ht="26.4" x14ac:dyDescent="0.3">
      <c r="A123" s="4" t="s">
        <v>599</v>
      </c>
      <c r="B123" s="5"/>
      <c r="C123" s="5" t="s">
        <v>294</v>
      </c>
      <c r="D123" s="5" t="s">
        <v>194</v>
      </c>
      <c r="E123" s="5" t="s">
        <v>0</v>
      </c>
      <c r="F123" s="5" t="s">
        <v>0</v>
      </c>
      <c r="G123" s="5" t="s">
        <v>315</v>
      </c>
      <c r="H123" s="8">
        <f>ROUND(1386.53,2)</f>
        <v>1386.53</v>
      </c>
      <c r="I123" s="7">
        <f>ROUND(88813.7699999999,2)</f>
        <v>88813.77</v>
      </c>
      <c r="J123" s="7">
        <f>ROUND(1688,2)</f>
        <v>1688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7">
        <f>ROUND(-40,2)</f>
        <v>-40</v>
      </c>
      <c r="AC123" s="7">
        <f>ROUND(6,2)</f>
        <v>6</v>
      </c>
      <c r="AD123" s="7">
        <f>ROUND(26,2)</f>
        <v>26</v>
      </c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7">
        <f>ROUND(16,2)</f>
        <v>16</v>
      </c>
      <c r="BX123" s="6"/>
      <c r="BY123" s="6"/>
      <c r="BZ123" s="6"/>
      <c r="CA123" s="6"/>
      <c r="CB123" s="6"/>
      <c r="CC123" s="6"/>
      <c r="CD123" s="6"/>
      <c r="CE123" s="6"/>
      <c r="CF123" s="6"/>
      <c r="CG123" s="7">
        <f>ROUND(32,2)</f>
        <v>32</v>
      </c>
      <c r="CH123" s="7">
        <f>ROUND(48,2)</f>
        <v>48</v>
      </c>
      <c r="CI123" s="7">
        <f t="shared" si="5"/>
        <v>32</v>
      </c>
      <c r="CJ123" s="6"/>
      <c r="CK123" s="6"/>
      <c r="CL123" s="6"/>
      <c r="CM123" s="6"/>
      <c r="CN123" s="7">
        <f>ROUND(136,2)</f>
        <v>136</v>
      </c>
      <c r="CO123" s="6"/>
      <c r="CP123" s="6"/>
      <c r="CQ123" s="7">
        <f>ROUND(1944,2)</f>
        <v>1944</v>
      </c>
      <c r="CR123" s="7">
        <f>ROUND(70990.3099999999,2)</f>
        <v>70990.31</v>
      </c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7">
        <f>ROUND(-1386.54,2)</f>
        <v>-1386.54</v>
      </c>
      <c r="DL123" s="7">
        <f>ROUND(2250,2)</f>
        <v>2250</v>
      </c>
      <c r="DM123" s="7">
        <f>ROUND(9750,2)</f>
        <v>9750</v>
      </c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7">
        <f>ROUND(3327.68,2)</f>
        <v>3327.68</v>
      </c>
      <c r="FK123" s="6"/>
      <c r="FL123" s="6"/>
      <c r="FM123" s="7">
        <f>ROUND(1109.23,2)</f>
        <v>1109.23</v>
      </c>
      <c r="FN123" s="7">
        <f>ROUND(554.62,2)</f>
        <v>554.62</v>
      </c>
      <c r="FO123" s="6"/>
      <c r="FP123" s="6"/>
      <c r="FQ123" s="6"/>
      <c r="FR123" s="6"/>
      <c r="FS123" s="6"/>
      <c r="FT123" s="6"/>
      <c r="FU123" s="6"/>
      <c r="FV123" s="7">
        <f>ROUND(2218.47,2)</f>
        <v>2218.4699999999998</v>
      </c>
      <c r="FW123" s="6"/>
      <c r="FX123" s="6"/>
      <c r="FY123" s="7">
        <f>ROUND(88813.7699999999,2)</f>
        <v>88813.77</v>
      </c>
    </row>
    <row r="124" spans="1:181" ht="26.4" x14ac:dyDescent="0.3">
      <c r="A124" s="4" t="s">
        <v>611</v>
      </c>
      <c r="B124" s="5"/>
      <c r="C124" s="5" t="s">
        <v>294</v>
      </c>
      <c r="D124" s="5" t="s">
        <v>289</v>
      </c>
      <c r="E124" s="5" t="s">
        <v>0</v>
      </c>
      <c r="F124" s="5" t="s">
        <v>0</v>
      </c>
      <c r="G124" s="5" t="s">
        <v>612</v>
      </c>
      <c r="H124" s="8">
        <f>ROUND(1387.33,2)</f>
        <v>1387.33</v>
      </c>
      <c r="I124" s="7">
        <f>ROUND(80983.09,2)</f>
        <v>80983.09</v>
      </c>
      <c r="J124" s="7">
        <f>ROUND(1682,2)</f>
        <v>1682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>
        <f>ROUND(11,2)</f>
        <v>11</v>
      </c>
      <c r="AE124" s="6"/>
      <c r="AF124" s="7">
        <f>ROUND(-16,2)</f>
        <v>-16</v>
      </c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7">
        <f>ROUND(8,2)</f>
        <v>8</v>
      </c>
      <c r="BX124" s="6"/>
      <c r="BY124" s="6"/>
      <c r="BZ124" s="6"/>
      <c r="CA124" s="6"/>
      <c r="CB124" s="6"/>
      <c r="CC124" s="6"/>
      <c r="CD124" s="6"/>
      <c r="CE124" s="6"/>
      <c r="CF124" s="6"/>
      <c r="CG124" s="7">
        <f>ROUND(43,2)</f>
        <v>43</v>
      </c>
      <c r="CH124" s="7">
        <f>ROUND(56,2)</f>
        <v>56</v>
      </c>
      <c r="CI124" s="7">
        <f t="shared" si="5"/>
        <v>32</v>
      </c>
      <c r="CJ124" s="6"/>
      <c r="CK124" s="6"/>
      <c r="CL124" s="6"/>
      <c r="CM124" s="6"/>
      <c r="CN124" s="7">
        <f>ROUND(80,2)</f>
        <v>80</v>
      </c>
      <c r="CO124" s="6"/>
      <c r="CP124" s="6"/>
      <c r="CQ124" s="7">
        <f>ROUND(1896,2)</f>
        <v>1896</v>
      </c>
      <c r="CR124" s="7">
        <f>ROUND(70823.16,2)</f>
        <v>70823.16</v>
      </c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7">
        <f>ROUND(4125,2)</f>
        <v>4125</v>
      </c>
      <c r="DN124" s="6"/>
      <c r="DO124" s="7">
        <f>ROUND(-554.93,2)</f>
        <v>-554.92999999999995</v>
      </c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7">
        <f>ROUND(138.73,2)</f>
        <v>138.72999999999999</v>
      </c>
      <c r="FH124" s="6"/>
      <c r="FI124" s="6"/>
      <c r="FJ124" s="7">
        <f>ROUND(3329.6,2)</f>
        <v>3329.6</v>
      </c>
      <c r="FK124" s="6"/>
      <c r="FL124" s="6"/>
      <c r="FM124" s="7">
        <f>ROUND(624.3,2)</f>
        <v>624.29999999999995</v>
      </c>
      <c r="FN124" s="7">
        <f>ROUND(832.41,2)</f>
        <v>832.41</v>
      </c>
      <c r="FO124" s="6"/>
      <c r="FP124" s="6"/>
      <c r="FQ124" s="6"/>
      <c r="FR124" s="6"/>
      <c r="FS124" s="6"/>
      <c r="FT124" s="6"/>
      <c r="FU124" s="6"/>
      <c r="FV124" s="7">
        <f>ROUND(1664.82,2)</f>
        <v>1664.82</v>
      </c>
      <c r="FW124" s="6"/>
      <c r="FX124" s="6"/>
      <c r="FY124" s="7">
        <f>ROUND(80983.09,2)</f>
        <v>80983.09</v>
      </c>
    </row>
    <row r="125" spans="1:181" x14ac:dyDescent="0.3">
      <c r="A125" s="4" t="s">
        <v>629</v>
      </c>
      <c r="B125" s="5"/>
      <c r="C125" s="5" t="s">
        <v>294</v>
      </c>
      <c r="D125" s="5" t="s">
        <v>400</v>
      </c>
      <c r="E125" s="5" t="s">
        <v>535</v>
      </c>
      <c r="F125" s="5" t="s">
        <v>0</v>
      </c>
      <c r="G125" s="5" t="s">
        <v>474</v>
      </c>
      <c r="H125" s="8">
        <f>ROUND(1420.79,2)</f>
        <v>1420.79</v>
      </c>
      <c r="I125" s="7">
        <f>ROUND(91836.7699999999,2)</f>
        <v>91836.77</v>
      </c>
      <c r="J125" s="7">
        <f>ROUND(1592,2)</f>
        <v>1592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7">
        <f>ROUND(-8,2)</f>
        <v>-8</v>
      </c>
      <c r="AC125" s="7">
        <f>ROUND(2,2)</f>
        <v>2</v>
      </c>
      <c r="AD125" s="7">
        <f>ROUND(33,2)</f>
        <v>33</v>
      </c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7">
        <f>ROUND(8,2)</f>
        <v>8</v>
      </c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7">
        <f>ROUND(8,2)</f>
        <v>8</v>
      </c>
      <c r="BX125" s="6"/>
      <c r="BY125" s="6"/>
      <c r="BZ125" s="6"/>
      <c r="CA125" s="6"/>
      <c r="CB125" s="6"/>
      <c r="CC125" s="6"/>
      <c r="CD125" s="6"/>
      <c r="CE125" s="6"/>
      <c r="CF125" s="6"/>
      <c r="CG125" s="7">
        <f>ROUND(56,2)</f>
        <v>56</v>
      </c>
      <c r="CH125" s="7">
        <f>ROUND(56,2)</f>
        <v>56</v>
      </c>
      <c r="CI125" s="7">
        <f t="shared" si="5"/>
        <v>32</v>
      </c>
      <c r="CJ125" s="6"/>
      <c r="CK125" s="6"/>
      <c r="CL125" s="6"/>
      <c r="CM125" s="6"/>
      <c r="CN125" s="7">
        <f>ROUND(216,2)</f>
        <v>216</v>
      </c>
      <c r="CO125" s="6"/>
      <c r="CP125" s="6"/>
      <c r="CQ125" s="7">
        <f>ROUND(1995,2)</f>
        <v>1995</v>
      </c>
      <c r="CR125" s="7">
        <f>ROUND(69334.52,2)</f>
        <v>69334.52</v>
      </c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7">
        <f>ROUND(-284.16,2)</f>
        <v>-284.16000000000003</v>
      </c>
      <c r="DL125" s="7">
        <f>ROUND(750,2)</f>
        <v>750</v>
      </c>
      <c r="DM125" s="7">
        <f>ROUND(12375,2)</f>
        <v>12375</v>
      </c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7">
        <f>ROUND(3409.9,2)</f>
        <v>3409.9</v>
      </c>
      <c r="FK125" s="6"/>
      <c r="FL125" s="6"/>
      <c r="FM125" s="7">
        <f>ROUND(1989.12,2)</f>
        <v>1989.12</v>
      </c>
      <c r="FN125" s="7">
        <f>ROUND(852.48,2)</f>
        <v>852.48</v>
      </c>
      <c r="FO125" s="6"/>
      <c r="FP125" s="6"/>
      <c r="FQ125" s="6"/>
      <c r="FR125" s="6"/>
      <c r="FS125" s="6"/>
      <c r="FT125" s="6"/>
      <c r="FU125" s="6"/>
      <c r="FV125" s="7">
        <f>ROUND(3409.91,2)</f>
        <v>3409.91</v>
      </c>
      <c r="FW125" s="6"/>
      <c r="FX125" s="6"/>
      <c r="FY125" s="7">
        <f>ROUND(91836.7699999999,2)</f>
        <v>91836.77</v>
      </c>
    </row>
    <row r="126" spans="1:181" x14ac:dyDescent="0.3">
      <c r="A126" s="4" t="s">
        <v>640</v>
      </c>
      <c r="B126" s="5"/>
      <c r="C126" s="5" t="s">
        <v>294</v>
      </c>
      <c r="D126" s="5" t="s">
        <v>461</v>
      </c>
      <c r="E126" s="5" t="s">
        <v>0</v>
      </c>
      <c r="F126" s="5" t="s">
        <v>0</v>
      </c>
      <c r="G126" s="5" t="s">
        <v>641</v>
      </c>
      <c r="H126" s="8">
        <f>ROUND(1335.25,2)</f>
        <v>1335.25</v>
      </c>
      <c r="I126" s="7">
        <f>ROUND(76972.85,2)</f>
        <v>76972.850000000006</v>
      </c>
      <c r="J126" s="7">
        <f>ROUND(1704,2)</f>
        <v>1704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>
        <f>ROUND(8,2)</f>
        <v>8</v>
      </c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>
        <f>ROUND(24,2)</f>
        <v>24</v>
      </c>
      <c r="BX126" s="6"/>
      <c r="BY126" s="6"/>
      <c r="BZ126" s="6"/>
      <c r="CA126" s="6"/>
      <c r="CB126" s="6"/>
      <c r="CC126" s="6"/>
      <c r="CD126" s="6"/>
      <c r="CE126" s="6"/>
      <c r="CF126" s="6"/>
      <c r="CG126" s="7">
        <f>ROUND(8,2)</f>
        <v>8</v>
      </c>
      <c r="CH126" s="7">
        <f>ROUND(40,2)</f>
        <v>40</v>
      </c>
      <c r="CI126" s="7">
        <f t="shared" si="5"/>
        <v>32</v>
      </c>
      <c r="CJ126" s="6"/>
      <c r="CK126" s="6"/>
      <c r="CL126" s="6"/>
      <c r="CM126" s="6"/>
      <c r="CN126" s="7">
        <f>ROUND(120,2)</f>
        <v>120</v>
      </c>
      <c r="CO126" s="6"/>
      <c r="CP126" s="6"/>
      <c r="CQ126" s="7">
        <f>ROUND(1936,2)</f>
        <v>1936</v>
      </c>
      <c r="CR126" s="7">
        <f>ROUND(68898.9,2)</f>
        <v>68898.899999999994</v>
      </c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7">
        <f>ROUND(3000,2)</f>
        <v>3000</v>
      </c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7">
        <f>ROUND(267.05,2)</f>
        <v>267.05</v>
      </c>
      <c r="FH126" s="6"/>
      <c r="FI126" s="6"/>
      <c r="FJ126" s="7">
        <f>ROUND(3204.6,2)</f>
        <v>3204.6</v>
      </c>
      <c r="FK126" s="6"/>
      <c r="FL126" s="6"/>
      <c r="FM126" s="7">
        <f>ROUND(267.05,2)</f>
        <v>267.05</v>
      </c>
      <c r="FN126" s="7">
        <f>ROUND(534.1,2)</f>
        <v>534.1</v>
      </c>
      <c r="FO126" s="6"/>
      <c r="FP126" s="6"/>
      <c r="FQ126" s="6"/>
      <c r="FR126" s="6"/>
      <c r="FS126" s="6"/>
      <c r="FT126" s="6"/>
      <c r="FU126" s="6"/>
      <c r="FV126" s="7">
        <f>ROUND(801.15,2)</f>
        <v>801.15</v>
      </c>
      <c r="FW126" s="6"/>
      <c r="FX126" s="6"/>
      <c r="FY126" s="7">
        <f>ROUND(76972.85,2)</f>
        <v>76972.850000000006</v>
      </c>
    </row>
    <row r="127" spans="1:181" ht="26.4" x14ac:dyDescent="0.3">
      <c r="A127" s="4" t="s">
        <v>644</v>
      </c>
      <c r="B127" s="5"/>
      <c r="C127" s="5" t="s">
        <v>294</v>
      </c>
      <c r="D127" s="5" t="s">
        <v>645</v>
      </c>
      <c r="E127" s="5" t="s">
        <v>0</v>
      </c>
      <c r="F127" s="5" t="s">
        <v>0</v>
      </c>
      <c r="G127" s="5" t="s">
        <v>646</v>
      </c>
      <c r="H127" s="8">
        <f>ROUND(1327.11,2)</f>
        <v>1327.11</v>
      </c>
      <c r="I127" s="7">
        <f>ROUND(75771.89,2)</f>
        <v>75771.89</v>
      </c>
      <c r="J127" s="7">
        <f>ROUND(1696,2)</f>
        <v>1696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7">
        <f>ROUND(-8,2)</f>
        <v>-8</v>
      </c>
      <c r="AC127" s="7">
        <f>ROUND(1,2)</f>
        <v>1</v>
      </c>
      <c r="AD127" s="7">
        <f>ROUND(5,2)</f>
        <v>5</v>
      </c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7">
        <f>ROUND(8,2)</f>
        <v>8</v>
      </c>
      <c r="BX127" s="6"/>
      <c r="BY127" s="6"/>
      <c r="BZ127" s="6"/>
      <c r="CA127" s="6"/>
      <c r="CB127" s="6"/>
      <c r="CC127" s="6"/>
      <c r="CD127" s="6"/>
      <c r="CE127" s="6"/>
      <c r="CF127" s="6"/>
      <c r="CG127" s="7">
        <f>ROUND(8,2)</f>
        <v>8</v>
      </c>
      <c r="CH127" s="7">
        <f>ROUND(56,2)</f>
        <v>56</v>
      </c>
      <c r="CI127" s="7">
        <f>ROUND(48,2)</f>
        <v>48</v>
      </c>
      <c r="CJ127" s="6"/>
      <c r="CK127" s="6"/>
      <c r="CL127" s="6"/>
      <c r="CM127" s="6"/>
      <c r="CN127" s="7">
        <f>ROUND(80,2)</f>
        <v>80</v>
      </c>
      <c r="CO127" s="6"/>
      <c r="CP127" s="6"/>
      <c r="CQ127" s="7">
        <f>ROUND(1894,2)</f>
        <v>1894</v>
      </c>
      <c r="CR127" s="7">
        <f>ROUND(68213.47,2)</f>
        <v>68213.47</v>
      </c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>
        <f>ROUND(-265.42,2)</f>
        <v>-265.42</v>
      </c>
      <c r="DL127" s="7">
        <f>ROUND(375,2)</f>
        <v>375</v>
      </c>
      <c r="DM127" s="7">
        <f>ROUND(1875,2)</f>
        <v>1875</v>
      </c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7">
        <f>ROUND(3185.06,2)</f>
        <v>3185.06</v>
      </c>
      <c r="FK127" s="6"/>
      <c r="FL127" s="6"/>
      <c r="FM127" s="7">
        <f>ROUND(265.42,2)</f>
        <v>265.42</v>
      </c>
      <c r="FN127" s="7">
        <f>ROUND(796.26,2)</f>
        <v>796.26</v>
      </c>
      <c r="FO127" s="6"/>
      <c r="FP127" s="6"/>
      <c r="FQ127" s="6"/>
      <c r="FR127" s="6"/>
      <c r="FS127" s="6"/>
      <c r="FT127" s="6"/>
      <c r="FU127" s="6"/>
      <c r="FV127" s="7">
        <f>ROUND(1327.1,2)</f>
        <v>1327.1</v>
      </c>
      <c r="FW127" s="6"/>
      <c r="FX127" s="6"/>
      <c r="FY127" s="7">
        <f>ROUND(75771.89,2)</f>
        <v>75771.89</v>
      </c>
    </row>
    <row r="128" spans="1:181" x14ac:dyDescent="0.3">
      <c r="A128" s="4" t="s">
        <v>689</v>
      </c>
      <c r="B128" s="5"/>
      <c r="C128" s="5" t="s">
        <v>294</v>
      </c>
      <c r="D128" s="5" t="s">
        <v>690</v>
      </c>
      <c r="E128" s="5" t="s">
        <v>0</v>
      </c>
      <c r="F128" s="5" t="s">
        <v>0</v>
      </c>
      <c r="G128" s="5" t="s">
        <v>691</v>
      </c>
      <c r="H128" s="8">
        <f>ROUND(1426.65,2)</f>
        <v>1426.65</v>
      </c>
      <c r="I128" s="7">
        <f>ROUND(85248.5699999999,2)</f>
        <v>85248.57</v>
      </c>
      <c r="J128" s="7">
        <f>ROUND(1656,2)</f>
        <v>1656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7">
        <f>ROUND(-8,2)</f>
        <v>-8</v>
      </c>
      <c r="AC128" s="7">
        <f>ROUND(5,2)</f>
        <v>5</v>
      </c>
      <c r="AD128" s="7">
        <f>ROUND(7,2)</f>
        <v>7</v>
      </c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7">
        <f>ROUND(8,2)</f>
        <v>8</v>
      </c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7">
        <f>ROUND(8,2)</f>
        <v>8</v>
      </c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7">
        <f>ROUND(56,2)</f>
        <v>56</v>
      </c>
      <c r="CI128" s="7">
        <f>ROUND(24,2)</f>
        <v>24</v>
      </c>
      <c r="CJ128" s="6"/>
      <c r="CK128" s="6"/>
      <c r="CL128" s="6"/>
      <c r="CM128" s="6"/>
      <c r="CN128" s="7">
        <f>ROUND(184,2)</f>
        <v>184</v>
      </c>
      <c r="CO128" s="6"/>
      <c r="CP128" s="7">
        <f>ROUND(48,2)</f>
        <v>48</v>
      </c>
      <c r="CQ128" s="7">
        <f>ROUND(1988,2)</f>
        <v>1988</v>
      </c>
      <c r="CR128" s="7">
        <f>ROUND(71903.16,2)</f>
        <v>71903.16</v>
      </c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>
        <f>ROUND(-285.33,2)</f>
        <v>-285.33</v>
      </c>
      <c r="DL128" s="7">
        <f>ROUND(1875,2)</f>
        <v>1875</v>
      </c>
      <c r="DM128" s="7">
        <f>ROUND(2625,2)</f>
        <v>2625</v>
      </c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7">
        <f>ROUND(3423.96,2)</f>
        <v>3423.96</v>
      </c>
      <c r="FK128" s="6"/>
      <c r="FL128" s="6"/>
      <c r="FM128" s="6"/>
      <c r="FN128" s="7">
        <f>ROUND(855.99,2)</f>
        <v>855.99</v>
      </c>
      <c r="FO128" s="7">
        <f>ROUND(570.66,2)</f>
        <v>570.66</v>
      </c>
      <c r="FP128" s="6"/>
      <c r="FQ128" s="6"/>
      <c r="FR128" s="6"/>
      <c r="FS128" s="6"/>
      <c r="FT128" s="6"/>
      <c r="FU128" s="6"/>
      <c r="FV128" s="7">
        <f>ROUND(2567.97,2)</f>
        <v>2567.9699999999998</v>
      </c>
      <c r="FW128" s="6"/>
      <c r="FX128" s="7">
        <f>ROUND(1712.16,2)</f>
        <v>1712.16</v>
      </c>
      <c r="FY128" s="7">
        <f>ROUND(85248.5699999999,2)</f>
        <v>85248.57</v>
      </c>
    </row>
    <row r="129" spans="1:181" x14ac:dyDescent="0.3">
      <c r="A129" s="4" t="s">
        <v>762</v>
      </c>
      <c r="B129" s="5"/>
      <c r="C129" s="5" t="s">
        <v>294</v>
      </c>
      <c r="D129" s="5" t="s">
        <v>267</v>
      </c>
      <c r="E129" s="5" t="s">
        <v>0</v>
      </c>
      <c r="F129" s="5" t="s">
        <v>0</v>
      </c>
      <c r="G129" s="5" t="s">
        <v>474</v>
      </c>
      <c r="H129" s="8">
        <f>ROUND(1365.38,2)</f>
        <v>1365.38</v>
      </c>
      <c r="I129" s="7">
        <f>ROUND(73556.04,2)</f>
        <v>73556.039999999994</v>
      </c>
      <c r="J129" s="7">
        <f>ROUND(360,2)</f>
        <v>360</v>
      </c>
      <c r="K129" s="6"/>
      <c r="L129" s="6"/>
      <c r="M129" s="6"/>
      <c r="N129" s="7">
        <f>ROUND(651.51,2)</f>
        <v>651.51</v>
      </c>
      <c r="O129" s="6"/>
      <c r="P129" s="6"/>
      <c r="Q129" s="7">
        <f>ROUND(79.81,2)</f>
        <v>79.81</v>
      </c>
      <c r="R129" s="6"/>
      <c r="S129" s="6"/>
      <c r="T129" s="6"/>
      <c r="U129" s="6"/>
      <c r="V129" s="7">
        <f>ROUND(6.25,2)</f>
        <v>6.25</v>
      </c>
      <c r="W129" s="6"/>
      <c r="X129" s="7">
        <f>ROUND(0.83,2)</f>
        <v>0.83</v>
      </c>
      <c r="Y129" s="6"/>
      <c r="Z129" s="6"/>
      <c r="AA129" s="6"/>
      <c r="AB129" s="6"/>
      <c r="AC129" s="6"/>
      <c r="AD129" s="6"/>
      <c r="AE129" s="7">
        <f>ROUND(288.22,2)</f>
        <v>288.22000000000003</v>
      </c>
      <c r="AF129" s="6"/>
      <c r="AG129" s="7">
        <f>ROUND(38.14,2)</f>
        <v>38.14</v>
      </c>
      <c r="AH129" s="6"/>
      <c r="AI129" s="6"/>
      <c r="AJ129" s="6"/>
      <c r="AK129" s="6"/>
      <c r="AL129" s="6"/>
      <c r="AM129" s="6"/>
      <c r="AN129" s="6"/>
      <c r="AO129" s="6"/>
      <c r="AP129" s="7">
        <f>ROUND(604.69,2)</f>
        <v>604.69000000000005</v>
      </c>
      <c r="AQ129" s="6"/>
      <c r="AR129" s="7">
        <f>ROUND(62.3699999999999,2)</f>
        <v>62.37</v>
      </c>
      <c r="AS129" s="6"/>
      <c r="AT129" s="6"/>
      <c r="AU129" s="7">
        <f>ROUND(56,2)</f>
        <v>56</v>
      </c>
      <c r="AV129" s="6"/>
      <c r="AW129" s="7">
        <f>ROUND(16,2)</f>
        <v>16</v>
      </c>
      <c r="AX129" s="6"/>
      <c r="AY129" s="7">
        <f>ROUND(18,2)</f>
        <v>18</v>
      </c>
      <c r="AZ129" s="6"/>
      <c r="BA129" s="6"/>
      <c r="BB129" s="6"/>
      <c r="BC129" s="6"/>
      <c r="BD129" s="7">
        <f>ROUND(8,2)</f>
        <v>8</v>
      </c>
      <c r="BE129" s="7">
        <f>ROUND(2.69,2)</f>
        <v>2.69</v>
      </c>
      <c r="BF129" s="6"/>
      <c r="BG129" s="6"/>
      <c r="BH129" s="6"/>
      <c r="BI129" s="6"/>
      <c r="BJ129" s="6"/>
      <c r="BK129" s="6"/>
      <c r="BL129" s="6"/>
      <c r="BM129" s="6"/>
      <c r="BN129" s="6"/>
      <c r="BO129" s="7">
        <f>ROUND(14.42,2)</f>
        <v>14.42</v>
      </c>
      <c r="BP129" s="6"/>
      <c r="BQ129" s="7">
        <f>ROUND(38.42,2)</f>
        <v>38.42</v>
      </c>
      <c r="BR129" s="6"/>
      <c r="BS129" s="6"/>
      <c r="BT129" s="7">
        <f>ROUND(6.75,2)</f>
        <v>6.75</v>
      </c>
      <c r="BU129" s="6"/>
      <c r="BV129" s="6"/>
      <c r="BW129" s="6"/>
      <c r="BX129" s="6"/>
      <c r="BY129" s="7">
        <f>ROUND(42,2)</f>
        <v>42</v>
      </c>
      <c r="BZ129" s="6"/>
      <c r="CA129" s="6"/>
      <c r="CB129" s="6"/>
      <c r="CC129" s="6"/>
      <c r="CD129" s="6"/>
      <c r="CE129" s="6"/>
      <c r="CF129" s="6"/>
      <c r="CG129" s="6"/>
      <c r="CH129" s="7">
        <f>ROUND(16,2)</f>
        <v>16</v>
      </c>
      <c r="CI129" s="7">
        <f>ROUND(8,2)</f>
        <v>8</v>
      </c>
      <c r="CJ129" s="6"/>
      <c r="CK129" s="6"/>
      <c r="CL129" s="6"/>
      <c r="CM129" s="6"/>
      <c r="CN129" s="7">
        <f>ROUND(16,2)</f>
        <v>16</v>
      </c>
      <c r="CO129" s="6"/>
      <c r="CP129" s="6"/>
      <c r="CQ129" s="7">
        <f>ROUND(2334.1,2)</f>
        <v>2334.1</v>
      </c>
      <c r="CR129" s="7">
        <f>ROUND(12288.4099999999,2)</f>
        <v>12288.41</v>
      </c>
      <c r="CS129" s="6"/>
      <c r="CT129" s="6"/>
      <c r="CU129" s="6"/>
      <c r="CV129" s="7">
        <f>ROUND(19474.54,2)</f>
        <v>19474.54</v>
      </c>
      <c r="CW129" s="6"/>
      <c r="CX129" s="6"/>
      <c r="CY129" s="7">
        <f>ROUND(3622.79,2)</f>
        <v>3622.79</v>
      </c>
      <c r="CZ129" s="6"/>
      <c r="DA129" s="6"/>
      <c r="DB129" s="6"/>
      <c r="DC129" s="6"/>
      <c r="DD129" s="7">
        <f>ROUND(180.5,2)</f>
        <v>180.5</v>
      </c>
      <c r="DE129" s="6"/>
      <c r="DF129" s="7">
        <f>ROUND(24.19,2)</f>
        <v>24.19</v>
      </c>
      <c r="DG129" s="6"/>
      <c r="DH129" s="6"/>
      <c r="DI129" s="6"/>
      <c r="DJ129" s="6"/>
      <c r="DK129" s="6"/>
      <c r="DL129" s="6"/>
      <c r="DM129" s="6"/>
      <c r="DN129" s="7">
        <f>ROUND(8541.34,2)</f>
        <v>8541.34</v>
      </c>
      <c r="DO129" s="6"/>
      <c r="DP129" s="7">
        <f>ROUND(1663.43,2)</f>
        <v>1663.43</v>
      </c>
      <c r="DQ129" s="6"/>
      <c r="DR129" s="6"/>
      <c r="DS129" s="6"/>
      <c r="DT129" s="6"/>
      <c r="DU129" s="6"/>
      <c r="DV129" s="6"/>
      <c r="DW129" s="6"/>
      <c r="DX129" s="6"/>
      <c r="DY129" s="7">
        <f>ROUND(17887.03,2)</f>
        <v>17887.03</v>
      </c>
      <c r="DZ129" s="6"/>
      <c r="EA129" s="7">
        <f>ROUND(2705.13,2)</f>
        <v>2705.13</v>
      </c>
      <c r="EB129" s="6"/>
      <c r="EC129" s="6"/>
      <c r="ED129" s="7">
        <f>ROUND(1614.14,2)</f>
        <v>1614.14</v>
      </c>
      <c r="EE129" s="6"/>
      <c r="EF129" s="7">
        <f>ROUND(482.24,2)</f>
        <v>482.24</v>
      </c>
      <c r="EG129" s="6"/>
      <c r="EH129" s="7">
        <f>ROUND(519.84,2)</f>
        <v>519.84</v>
      </c>
      <c r="EI129" s="6"/>
      <c r="EJ129" s="6"/>
      <c r="EK129" s="6"/>
      <c r="EL129" s="6"/>
      <c r="EM129" s="6"/>
      <c r="EN129" s="7">
        <f>ROUND(231.04,2)</f>
        <v>231.04</v>
      </c>
      <c r="EO129" s="7">
        <f>ROUND(81.27,2)</f>
        <v>81.27</v>
      </c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7">
        <f>ROUND(416.45,2)</f>
        <v>416.45</v>
      </c>
      <c r="FC129" s="6"/>
      <c r="FD129" s="7">
        <f>ROUND(1135.23,2)</f>
        <v>1135.23</v>
      </c>
      <c r="FE129" s="6"/>
      <c r="FF129" s="6"/>
      <c r="FG129" s="6"/>
      <c r="FH129" s="6"/>
      <c r="FI129" s="6"/>
      <c r="FJ129" s="7">
        <f>ROUND(1323.08,2)</f>
        <v>1323.08</v>
      </c>
      <c r="FK129" s="6"/>
      <c r="FL129" s="6"/>
      <c r="FM129" s="6"/>
      <c r="FN129" s="7">
        <f>ROUND(546.16,2)</f>
        <v>546.16</v>
      </c>
      <c r="FO129" s="7">
        <f>ROUND(273.08,2)</f>
        <v>273.08</v>
      </c>
      <c r="FP129" s="6"/>
      <c r="FQ129" s="6"/>
      <c r="FR129" s="6"/>
      <c r="FS129" s="6"/>
      <c r="FT129" s="6"/>
      <c r="FU129" s="6"/>
      <c r="FV129" s="7">
        <f>ROUND(546.15,2)</f>
        <v>546.15</v>
      </c>
      <c r="FW129" s="6"/>
      <c r="FX129" s="6"/>
      <c r="FY129" s="7">
        <f>ROUND(73556.04,2)</f>
        <v>73556.039999999994</v>
      </c>
    </row>
    <row r="130" spans="1:181" ht="26.4" x14ac:dyDescent="0.3">
      <c r="A130" s="4" t="s">
        <v>764</v>
      </c>
      <c r="B130" s="5"/>
      <c r="C130" s="5" t="s">
        <v>294</v>
      </c>
      <c r="D130" s="5" t="s">
        <v>765</v>
      </c>
      <c r="E130" s="5" t="s">
        <v>0</v>
      </c>
      <c r="F130" s="5" t="s">
        <v>0</v>
      </c>
      <c r="G130" s="5" t="s">
        <v>766</v>
      </c>
      <c r="H130" s="8">
        <f>ROUND(1468.94,2)</f>
        <v>1468.94</v>
      </c>
      <c r="I130" s="7">
        <f>ROUND(85348.48,2)</f>
        <v>85348.479999999996</v>
      </c>
      <c r="J130" s="7">
        <f>ROUND(1680,2)</f>
        <v>1680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7">
        <f>ROUND(-8,2)</f>
        <v>-8</v>
      </c>
      <c r="AC130" s="6"/>
      <c r="AD130" s="7">
        <f>ROUND(10,2)</f>
        <v>10</v>
      </c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7">
        <f>ROUND(8,2)</f>
        <v>8</v>
      </c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7">
        <f>ROUND(8,2)</f>
        <v>8</v>
      </c>
      <c r="BX130" s="6"/>
      <c r="BY130" s="6"/>
      <c r="BZ130" s="6"/>
      <c r="CA130" s="6"/>
      <c r="CB130" s="6"/>
      <c r="CC130" s="6"/>
      <c r="CD130" s="6"/>
      <c r="CE130" s="6"/>
      <c r="CF130" s="6"/>
      <c r="CG130" s="7">
        <f>ROUND(16,2)</f>
        <v>16</v>
      </c>
      <c r="CH130" s="7">
        <f>ROUND(56,2)</f>
        <v>56</v>
      </c>
      <c r="CI130" s="7">
        <f>ROUND(32,2)</f>
        <v>32</v>
      </c>
      <c r="CJ130" s="6"/>
      <c r="CK130" s="6"/>
      <c r="CL130" s="6"/>
      <c r="CM130" s="6"/>
      <c r="CN130" s="7">
        <f>ROUND(104,2)</f>
        <v>104</v>
      </c>
      <c r="CO130" s="6"/>
      <c r="CP130" s="6"/>
      <c r="CQ130" s="7">
        <f>ROUND(1906,2)</f>
        <v>1906</v>
      </c>
      <c r="CR130" s="7">
        <f>ROUND(74915.92,2)</f>
        <v>74915.92</v>
      </c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>
        <f>ROUND(-293.79,2)</f>
        <v>-293.79000000000002</v>
      </c>
      <c r="DL130" s="6"/>
      <c r="DM130" s="7">
        <f>ROUND(3750,2)</f>
        <v>3750</v>
      </c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7">
        <f>ROUND(219.2,2)</f>
        <v>219.2</v>
      </c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7">
        <f>ROUND(293.79,2)</f>
        <v>293.79000000000002</v>
      </c>
      <c r="FH130" s="6"/>
      <c r="FI130" s="6"/>
      <c r="FJ130" s="7">
        <f>ROUND(3525.46,2)</f>
        <v>3525.46</v>
      </c>
      <c r="FK130" s="6"/>
      <c r="FL130" s="6"/>
      <c r="FM130" s="7">
        <f>ROUND(587.58,2)</f>
        <v>587.58000000000004</v>
      </c>
      <c r="FN130" s="7">
        <f>ROUND(881.37,2)</f>
        <v>881.37</v>
      </c>
      <c r="FO130" s="7">
        <f>ROUND(587.58,2)</f>
        <v>587.58000000000004</v>
      </c>
      <c r="FP130" s="6"/>
      <c r="FQ130" s="6"/>
      <c r="FR130" s="6"/>
      <c r="FS130" s="6"/>
      <c r="FT130" s="6"/>
      <c r="FU130" s="6"/>
      <c r="FV130" s="7">
        <f>ROUND(881.37,2)</f>
        <v>881.37</v>
      </c>
      <c r="FW130" s="6"/>
      <c r="FX130" s="6"/>
      <c r="FY130" s="7">
        <f>ROUND(85348.48,2)</f>
        <v>85348.479999999996</v>
      </c>
    </row>
    <row r="131" spans="1:181" ht="26.4" x14ac:dyDescent="0.3">
      <c r="A131" s="4" t="s">
        <v>808</v>
      </c>
      <c r="B131" s="5"/>
      <c r="C131" s="5" t="s">
        <v>294</v>
      </c>
      <c r="D131" s="5" t="s">
        <v>770</v>
      </c>
      <c r="E131" s="5" t="s">
        <v>0</v>
      </c>
      <c r="F131" s="5" t="s">
        <v>0</v>
      </c>
      <c r="G131" s="5" t="s">
        <v>315</v>
      </c>
      <c r="H131" s="8">
        <f>ROUND(1366.74,2)</f>
        <v>1366.74</v>
      </c>
      <c r="I131" s="7">
        <f>ROUND(89217.4,2)</f>
        <v>89217.4</v>
      </c>
      <c r="J131" s="7">
        <f>ROUND(1672,2)</f>
        <v>1672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7">
        <f>ROUND(-8,2)</f>
        <v>-8</v>
      </c>
      <c r="AC131" s="7">
        <f>ROUND(7,2)</f>
        <v>7</v>
      </c>
      <c r="AD131" s="7">
        <f>ROUND(29,2)</f>
        <v>29</v>
      </c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7">
        <f>ROUND(16,2)</f>
        <v>16</v>
      </c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7">
        <f>ROUND(8,2)</f>
        <v>8</v>
      </c>
      <c r="BX131" s="6"/>
      <c r="BY131" s="6"/>
      <c r="BZ131" s="6"/>
      <c r="CA131" s="6"/>
      <c r="CB131" s="6"/>
      <c r="CC131" s="6"/>
      <c r="CD131" s="6"/>
      <c r="CE131" s="6"/>
      <c r="CF131" s="7">
        <f>ROUND(16,2)</f>
        <v>16</v>
      </c>
      <c r="CG131" s="6"/>
      <c r="CH131" s="7">
        <f>ROUND(56,2)</f>
        <v>56</v>
      </c>
      <c r="CI131" s="7">
        <f>ROUND(32,2)</f>
        <v>32</v>
      </c>
      <c r="CJ131" s="6"/>
      <c r="CK131" s="6"/>
      <c r="CL131" s="6"/>
      <c r="CM131" s="6"/>
      <c r="CN131" s="7">
        <f>ROUND(80,2)</f>
        <v>80</v>
      </c>
      <c r="CO131" s="6"/>
      <c r="CP131" s="6"/>
      <c r="CQ131" s="7">
        <f>ROUND(1908,2)</f>
        <v>1908</v>
      </c>
      <c r="CR131" s="7">
        <f>ROUND(69430.3799999999,2)</f>
        <v>69430.38</v>
      </c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>
        <f>ROUND(-273.35,2)</f>
        <v>-273.35000000000002</v>
      </c>
      <c r="DL131" s="7">
        <f>ROUND(2625,2)</f>
        <v>2625</v>
      </c>
      <c r="DM131" s="7">
        <f>ROUND(10875,2)</f>
        <v>10875</v>
      </c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7">
        <f>ROUND(273.35,2)</f>
        <v>273.35000000000002</v>
      </c>
      <c r="FH131" s="6"/>
      <c r="FI131" s="6"/>
      <c r="FJ131" s="7">
        <f>ROUND(3280.18,2)</f>
        <v>3280.18</v>
      </c>
      <c r="FK131" s="6"/>
      <c r="FL131" s="6"/>
      <c r="FM131" s="6"/>
      <c r="FN131" s="7">
        <f>ROUND(820.05,2)</f>
        <v>820.05</v>
      </c>
      <c r="FO131" s="7">
        <f>ROUND(546.7,2)</f>
        <v>546.70000000000005</v>
      </c>
      <c r="FP131" s="6"/>
      <c r="FQ131" s="6"/>
      <c r="FR131" s="6"/>
      <c r="FS131" s="6"/>
      <c r="FT131" s="6"/>
      <c r="FU131" s="6"/>
      <c r="FV131" s="7">
        <f>ROUND(1640.09,2)</f>
        <v>1640.09</v>
      </c>
      <c r="FW131" s="6"/>
      <c r="FX131" s="6"/>
      <c r="FY131" s="7">
        <f>ROUND(89217.4,2)</f>
        <v>89217.4</v>
      </c>
    </row>
    <row r="132" spans="1:181" x14ac:dyDescent="0.3">
      <c r="A132" s="4" t="s">
        <v>813</v>
      </c>
      <c r="B132" s="5"/>
      <c r="C132" s="5" t="s">
        <v>294</v>
      </c>
      <c r="D132" s="5" t="s">
        <v>461</v>
      </c>
      <c r="E132" s="5" t="s">
        <v>0</v>
      </c>
      <c r="F132" s="5" t="s">
        <v>0</v>
      </c>
      <c r="G132" s="5" t="s">
        <v>641</v>
      </c>
      <c r="H132" s="8">
        <f>ROUND(1468.94,2)</f>
        <v>1468.94</v>
      </c>
      <c r="I132" s="7">
        <f>ROUND(100129.28,2)</f>
        <v>100129.28</v>
      </c>
      <c r="J132" s="7">
        <f>ROUND(1680,2)</f>
        <v>1680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7">
        <f>ROUND(-8,2)</f>
        <v>-8</v>
      </c>
      <c r="AC132" s="7">
        <f>ROUND(26,2)</f>
        <v>26</v>
      </c>
      <c r="AD132" s="7">
        <f>ROUND(24,2)</f>
        <v>24</v>
      </c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7">
        <f>ROUND(48,2)</f>
        <v>48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7">
        <f>ROUND(48,2)</f>
        <v>48</v>
      </c>
      <c r="CI132" s="7">
        <f>ROUND(32,2)</f>
        <v>32</v>
      </c>
      <c r="CJ132" s="6"/>
      <c r="CK132" s="6"/>
      <c r="CL132" s="6"/>
      <c r="CM132" s="6"/>
      <c r="CN132" s="7">
        <f>ROUND(88,2)</f>
        <v>88</v>
      </c>
      <c r="CO132" s="6"/>
      <c r="CP132" s="6"/>
      <c r="CQ132" s="7">
        <f>ROUND(1938,2)</f>
        <v>1938</v>
      </c>
      <c r="CR132" s="7">
        <f>ROUND(74915.92,2)</f>
        <v>74915.92</v>
      </c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>
        <f>ROUND(-293.79,2)</f>
        <v>-293.79000000000002</v>
      </c>
      <c r="DL132" s="7">
        <f>ROUND(9750,2)</f>
        <v>9750</v>
      </c>
      <c r="DM132" s="7">
        <f>ROUND(9000,2)</f>
        <v>9000</v>
      </c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7">
        <f>ROUND(587.58,2)</f>
        <v>587.58000000000004</v>
      </c>
      <c r="FH132" s="6"/>
      <c r="FI132" s="6"/>
      <c r="FJ132" s="7">
        <f>ROUND(3525.46,2)</f>
        <v>3525.46</v>
      </c>
      <c r="FK132" s="6"/>
      <c r="FL132" s="6"/>
      <c r="FM132" s="6"/>
      <c r="FN132" s="7">
        <f>ROUND(587.58,2)</f>
        <v>587.58000000000004</v>
      </c>
      <c r="FO132" s="7">
        <f>ROUND(587.58,2)</f>
        <v>587.58000000000004</v>
      </c>
      <c r="FP132" s="6"/>
      <c r="FQ132" s="6"/>
      <c r="FR132" s="6"/>
      <c r="FS132" s="6"/>
      <c r="FT132" s="6"/>
      <c r="FU132" s="6"/>
      <c r="FV132" s="7">
        <f>ROUND(1468.95,2)</f>
        <v>1468.95</v>
      </c>
      <c r="FW132" s="6"/>
      <c r="FX132" s="6"/>
      <c r="FY132" s="7">
        <f>ROUND(100129.28,2)</f>
        <v>100129.28</v>
      </c>
    </row>
    <row r="133" spans="1:181" x14ac:dyDescent="0.3">
      <c r="A133" s="4" t="s">
        <v>834</v>
      </c>
      <c r="B133" s="5"/>
      <c r="C133" s="5" t="s">
        <v>294</v>
      </c>
      <c r="D133" s="5" t="s">
        <v>768</v>
      </c>
      <c r="E133" s="5" t="s">
        <v>0</v>
      </c>
      <c r="F133" s="5" t="s">
        <v>0</v>
      </c>
      <c r="G133" s="5" t="s">
        <v>474</v>
      </c>
      <c r="H133" s="8">
        <f>ROUND(1396.44,2)</f>
        <v>1396.44</v>
      </c>
      <c r="I133" s="7">
        <f>ROUND(90813.5,2)</f>
        <v>90813.5</v>
      </c>
      <c r="J133" s="7">
        <f>ROUND(1672,2)</f>
        <v>1672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7">
        <f>ROUND(-8,2)</f>
        <v>-8</v>
      </c>
      <c r="AC133" s="7">
        <f>ROUND(5,2)</f>
        <v>5</v>
      </c>
      <c r="AD133" s="7">
        <f>ROUND(30,2)</f>
        <v>30</v>
      </c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7">
        <f>ROUND(24,2)</f>
        <v>24</v>
      </c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7">
        <f>ROUND(56,2)</f>
        <v>56</v>
      </c>
      <c r="CI133" s="7">
        <f>ROUND(32,2)</f>
        <v>32</v>
      </c>
      <c r="CJ133" s="6"/>
      <c r="CK133" s="6"/>
      <c r="CL133" s="6"/>
      <c r="CM133" s="6"/>
      <c r="CN133" s="7">
        <f>ROUND(128,2)</f>
        <v>128</v>
      </c>
      <c r="CO133" s="6"/>
      <c r="CP133" s="6"/>
      <c r="CQ133" s="7">
        <f>ROUND(1939,2)</f>
        <v>1939</v>
      </c>
      <c r="CR133" s="7">
        <f>ROUND(70939.13,2)</f>
        <v>70939.13</v>
      </c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>
        <f>ROUND(-279.29,2)</f>
        <v>-279.29000000000002</v>
      </c>
      <c r="DL133" s="7">
        <f>ROUND(1875,2)</f>
        <v>1875</v>
      </c>
      <c r="DM133" s="7">
        <f>ROUND(11250,2)</f>
        <v>11250</v>
      </c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7">
        <f>ROUND(325.72,2)</f>
        <v>325.72000000000003</v>
      </c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7">
        <f>ROUND(3351.46,2)</f>
        <v>3351.46</v>
      </c>
      <c r="FK133" s="6"/>
      <c r="FL133" s="6"/>
      <c r="FM133" s="6"/>
      <c r="FN133" s="7">
        <f>ROUND(837.87,2)</f>
        <v>837.87</v>
      </c>
      <c r="FO133" s="6"/>
      <c r="FP133" s="6"/>
      <c r="FQ133" s="6"/>
      <c r="FR133" s="6"/>
      <c r="FS133" s="6"/>
      <c r="FT133" s="6"/>
      <c r="FU133" s="6"/>
      <c r="FV133" s="7">
        <f>ROUND(2513.61,2)</f>
        <v>2513.61</v>
      </c>
      <c r="FW133" s="6"/>
      <c r="FX133" s="6"/>
      <c r="FY133" s="7">
        <f>ROUND(90813.5,2)</f>
        <v>90813.5</v>
      </c>
    </row>
    <row r="134" spans="1:181" ht="26.4" x14ac:dyDescent="0.3">
      <c r="A134" s="4" t="s">
        <v>991</v>
      </c>
      <c r="B134" s="5"/>
      <c r="C134" s="5" t="s">
        <v>294</v>
      </c>
      <c r="D134" s="5" t="s">
        <v>992</v>
      </c>
      <c r="E134" s="5" t="s">
        <v>0</v>
      </c>
      <c r="F134" s="5" t="s">
        <v>0</v>
      </c>
      <c r="G134" s="5" t="s">
        <v>315</v>
      </c>
      <c r="H134" s="8">
        <f>ROUND(1326.92,2)</f>
        <v>1326.92</v>
      </c>
      <c r="I134" s="7">
        <f>ROUND(61355.6399999999,2)</f>
        <v>61355.64</v>
      </c>
      <c r="J134" s="7">
        <f>ROUND(1532,2)</f>
        <v>1532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7">
        <f>ROUND(-8,2)</f>
        <v>-8</v>
      </c>
      <c r="AC134" s="7">
        <f>ROUND(4,2)</f>
        <v>4</v>
      </c>
      <c r="AD134" s="7">
        <f>ROUND(11,2)</f>
        <v>11</v>
      </c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7">
        <f>ROUND(4,2)</f>
        <v>4</v>
      </c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7">
        <f>ROUND(8,2)</f>
        <v>8</v>
      </c>
      <c r="BX134" s="6"/>
      <c r="BY134" s="6"/>
      <c r="BZ134" s="6"/>
      <c r="CA134" s="6"/>
      <c r="CB134" s="6"/>
      <c r="CC134" s="6"/>
      <c r="CD134" s="6"/>
      <c r="CE134" s="6"/>
      <c r="CF134" s="6"/>
      <c r="CG134" s="7">
        <f>ROUND(8,2)</f>
        <v>8</v>
      </c>
      <c r="CH134" s="7">
        <f>ROUND(40,2)</f>
        <v>40</v>
      </c>
      <c r="CI134" s="6"/>
      <c r="CJ134" s="6"/>
      <c r="CK134" s="6"/>
      <c r="CL134" s="6"/>
      <c r="CM134" s="6"/>
      <c r="CN134" s="7">
        <f>ROUND(80,2)</f>
        <v>80</v>
      </c>
      <c r="CO134" s="6"/>
      <c r="CP134" s="6"/>
      <c r="CQ134" s="7">
        <f>ROUND(1679,2)</f>
        <v>1679</v>
      </c>
      <c r="CR134" s="7">
        <f>ROUND(50821.0599999999,2)</f>
        <v>50821.06</v>
      </c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>
        <f>ROUND(-265.38,2)</f>
        <v>-265.38</v>
      </c>
      <c r="DL134" s="7">
        <f>ROUND(1500,2)</f>
        <v>1500</v>
      </c>
      <c r="DM134" s="7">
        <f>ROUND(4125,2)</f>
        <v>4125</v>
      </c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7">
        <f>ROUND(132.69,2)</f>
        <v>132.69</v>
      </c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7">
        <f>ROUND(1326.92,2)</f>
        <v>1326.92</v>
      </c>
      <c r="FK134" s="6"/>
      <c r="FL134" s="6"/>
      <c r="FM134" s="7">
        <f>ROUND(265.38,2)</f>
        <v>265.38</v>
      </c>
      <c r="FN134" s="7">
        <f>ROUND(796.14,2)</f>
        <v>796.14</v>
      </c>
      <c r="FO134" s="6"/>
      <c r="FP134" s="6"/>
      <c r="FQ134" s="6"/>
      <c r="FR134" s="6"/>
      <c r="FS134" s="6"/>
      <c r="FT134" s="6"/>
      <c r="FU134" s="6"/>
      <c r="FV134" s="7">
        <f>ROUND(2653.83,2)</f>
        <v>2653.83</v>
      </c>
      <c r="FW134" s="6"/>
      <c r="FX134" s="6"/>
      <c r="FY134" s="7">
        <f>ROUND(61355.6399999999,2)</f>
        <v>61355.64</v>
      </c>
    </row>
    <row r="135" spans="1:181" x14ac:dyDescent="0.3">
      <c r="A135" s="4" t="s">
        <v>180</v>
      </c>
      <c r="B135" s="5" t="s">
        <v>1029</v>
      </c>
      <c r="C135" s="5" t="s">
        <v>181</v>
      </c>
      <c r="D135" s="5" t="s">
        <v>182</v>
      </c>
      <c r="E135" s="5" t="s">
        <v>0</v>
      </c>
      <c r="F135" s="5" t="s">
        <v>0</v>
      </c>
      <c r="G135" s="5" t="s">
        <v>183</v>
      </c>
      <c r="H135" s="9">
        <v>31.71</v>
      </c>
      <c r="I135" s="7">
        <f>ROUND(71330.76,2)</f>
        <v>71330.759999999995</v>
      </c>
      <c r="J135" s="6"/>
      <c r="K135" s="6"/>
      <c r="L135" s="6"/>
      <c r="M135" s="6"/>
      <c r="N135" s="7">
        <f>ROUND(786.15,2)</f>
        <v>786.15</v>
      </c>
      <c r="O135" s="6"/>
      <c r="P135" s="6"/>
      <c r="Q135" s="7">
        <f>ROUND(48.58,2)</f>
        <v>48.58</v>
      </c>
      <c r="R135" s="6"/>
      <c r="S135" s="6"/>
      <c r="T135" s="6"/>
      <c r="U135" s="6"/>
      <c r="V135" s="7">
        <f>ROUND(5.55,2)</f>
        <v>5.55</v>
      </c>
      <c r="W135" s="6"/>
      <c r="X135" s="6"/>
      <c r="Y135" s="6"/>
      <c r="Z135" s="6"/>
      <c r="AA135" s="6"/>
      <c r="AB135" s="6"/>
      <c r="AC135" s="6"/>
      <c r="AD135" s="6"/>
      <c r="AE135" s="7">
        <f>ROUND(200.14,2)</f>
        <v>200.14</v>
      </c>
      <c r="AF135" s="6"/>
      <c r="AG135" s="7">
        <f>ROUND(29.2099999999999,2)</f>
        <v>29.21</v>
      </c>
      <c r="AH135" s="6"/>
      <c r="AI135" s="6"/>
      <c r="AJ135" s="6"/>
      <c r="AK135" s="6"/>
      <c r="AL135" s="6"/>
      <c r="AM135" s="6"/>
      <c r="AN135" s="6"/>
      <c r="AO135" s="6"/>
      <c r="AP135" s="7">
        <f>ROUND(842.339999999999,2)</f>
        <v>842.34</v>
      </c>
      <c r="AQ135" s="6"/>
      <c r="AR135" s="7">
        <f>ROUND(115.99,2)</f>
        <v>115.99</v>
      </c>
      <c r="AS135" s="6"/>
      <c r="AT135" s="6"/>
      <c r="AU135" s="7">
        <f>ROUND(66,2)</f>
        <v>66</v>
      </c>
      <c r="AV135" s="6"/>
      <c r="AW135" s="7">
        <f>ROUND(33,2)</f>
        <v>33</v>
      </c>
      <c r="AX135" s="7">
        <f>ROUND(6,2)</f>
        <v>6</v>
      </c>
      <c r="AY135" s="7">
        <f>ROUND(16,2)</f>
        <v>16</v>
      </c>
      <c r="AZ135" s="6"/>
      <c r="BA135" s="6"/>
      <c r="BB135" s="6"/>
      <c r="BC135" s="6"/>
      <c r="BD135" s="7">
        <f>ROUND(8,2)</f>
        <v>8</v>
      </c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7">
        <f>ROUND(10.25,2)</f>
        <v>10.25</v>
      </c>
      <c r="BP135" s="6"/>
      <c r="BQ135" s="7">
        <f>ROUND(10,2)</f>
        <v>10</v>
      </c>
      <c r="BR135" s="6"/>
      <c r="BS135" s="6"/>
      <c r="BT135" s="7">
        <f>ROUND(1,2)</f>
        <v>1</v>
      </c>
      <c r="BU135" s="6"/>
      <c r="BV135" s="6"/>
      <c r="BW135" s="6"/>
      <c r="BX135" s="7">
        <f>ROUND(8,2)</f>
        <v>8</v>
      </c>
      <c r="BY135" s="7">
        <f>ROUND(5,2)</f>
        <v>5</v>
      </c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7">
        <f>ROUND(24,2)</f>
        <v>24</v>
      </c>
      <c r="CQ135" s="7">
        <f>ROUND(2215.21,2)</f>
        <v>2215.21</v>
      </c>
      <c r="CR135" s="6"/>
      <c r="CS135" s="6"/>
      <c r="CT135" s="6"/>
      <c r="CU135" s="6"/>
      <c r="CV135" s="7">
        <f>ROUND(22575.42,2)</f>
        <v>22575.42</v>
      </c>
      <c r="CW135" s="6"/>
      <c r="CX135" s="6"/>
      <c r="CY135" s="7">
        <f>ROUND(2170.57,2)</f>
        <v>2170.5700000000002</v>
      </c>
      <c r="CZ135" s="6"/>
      <c r="DA135" s="6"/>
      <c r="DB135" s="6"/>
      <c r="DC135" s="6"/>
      <c r="DD135" s="7">
        <f>ROUND(161.12,2)</f>
        <v>161.12</v>
      </c>
      <c r="DE135" s="6"/>
      <c r="DF135" s="6"/>
      <c r="DG135" s="6"/>
      <c r="DH135" s="6"/>
      <c r="DI135" s="6"/>
      <c r="DJ135" s="6"/>
      <c r="DK135" s="6"/>
      <c r="DL135" s="6"/>
      <c r="DM135" s="6"/>
      <c r="DN135" s="7">
        <f>ROUND(5829.08999999999,2)</f>
        <v>5829.09</v>
      </c>
      <c r="DO135" s="6"/>
      <c r="DP135" s="7">
        <f>ROUND(1307.05,2)</f>
        <v>1307.05</v>
      </c>
      <c r="DQ135" s="6"/>
      <c r="DR135" s="6"/>
      <c r="DS135" s="6"/>
      <c r="DT135" s="6"/>
      <c r="DU135" s="6"/>
      <c r="DV135" s="6"/>
      <c r="DW135" s="6"/>
      <c r="DX135" s="6"/>
      <c r="DY135" s="7">
        <f>ROUND(24602.07,2)</f>
        <v>24602.07</v>
      </c>
      <c r="DZ135" s="6"/>
      <c r="EA135" s="7">
        <f>ROUND(5205.03,2)</f>
        <v>5205.03</v>
      </c>
      <c r="EB135" s="6"/>
      <c r="EC135" s="6"/>
      <c r="ED135" s="7">
        <f>ROUND(1929.34,2)</f>
        <v>1929.34</v>
      </c>
      <c r="EE135" s="6"/>
      <c r="EF135" s="7">
        <f>ROUND(944.86,2)</f>
        <v>944.86</v>
      </c>
      <c r="EG135" s="7">
        <f>ROUND(285.39,2)</f>
        <v>285.39</v>
      </c>
      <c r="EH135" s="7">
        <f>ROUND(456.24,2)</f>
        <v>456.24</v>
      </c>
      <c r="EI135" s="6"/>
      <c r="EJ135" s="6"/>
      <c r="EK135" s="6"/>
      <c r="EL135" s="6"/>
      <c r="EM135" s="6"/>
      <c r="EN135" s="7">
        <f>ROUND(231.04,2)</f>
        <v>231.04</v>
      </c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7">
        <f>ROUND(304.94,2)</f>
        <v>304.94</v>
      </c>
      <c r="FC135" s="6"/>
      <c r="FD135" s="7">
        <f>ROUND(292.56,2)</f>
        <v>292.56</v>
      </c>
      <c r="FE135" s="6"/>
      <c r="FF135" s="6"/>
      <c r="FG135" s="6"/>
      <c r="FH135" s="6"/>
      <c r="FI135" s="6"/>
      <c r="FJ135" s="7">
        <f>ROUND(1275,2)</f>
        <v>1275</v>
      </c>
      <c r="FK135" s="6"/>
      <c r="FL135" s="6"/>
      <c r="FM135" s="6"/>
      <c r="FN135" s="6"/>
      <c r="FO135" s="6"/>
      <c r="FP135" s="6"/>
      <c r="FQ135" s="6"/>
      <c r="FR135" s="6"/>
      <c r="FS135" s="6"/>
      <c r="FT135" s="7">
        <f>ROUND(3000,2)</f>
        <v>3000</v>
      </c>
      <c r="FU135" s="6"/>
      <c r="FV135" s="6"/>
      <c r="FW135" s="6"/>
      <c r="FX135" s="7">
        <f>ROUND(761.04,2)</f>
        <v>761.04</v>
      </c>
      <c r="FY135" s="7">
        <f>ROUND(71330.76,2)</f>
        <v>71330.759999999995</v>
      </c>
    </row>
    <row r="136" spans="1:181" x14ac:dyDescent="0.3">
      <c r="A136" s="4" t="s">
        <v>184</v>
      </c>
      <c r="B136" s="5" t="s">
        <v>1029</v>
      </c>
      <c r="C136" s="5" t="s">
        <v>181</v>
      </c>
      <c r="D136" s="5" t="s">
        <v>185</v>
      </c>
      <c r="E136" s="5" t="s">
        <v>0</v>
      </c>
      <c r="F136" s="5" t="s">
        <v>186</v>
      </c>
      <c r="G136" s="5" t="s">
        <v>183</v>
      </c>
      <c r="H136" s="8">
        <v>34.04</v>
      </c>
      <c r="I136" s="7">
        <f>ROUND(130784.599999999,2)</f>
        <v>130784.6</v>
      </c>
      <c r="J136" s="6"/>
      <c r="K136" s="6"/>
      <c r="L136" s="6"/>
      <c r="M136" s="6"/>
      <c r="N136" s="7">
        <f>ROUND(1911.33,2)</f>
        <v>1911.33</v>
      </c>
      <c r="O136" s="6"/>
      <c r="P136" s="6"/>
      <c r="Q136" s="7">
        <f>ROUND(870.05,2)</f>
        <v>870.05</v>
      </c>
      <c r="R136" s="6"/>
      <c r="S136" s="6"/>
      <c r="T136" s="6"/>
      <c r="U136" s="6"/>
      <c r="V136" s="7">
        <f>ROUND(4.75,2)</f>
        <v>4.75</v>
      </c>
      <c r="W136" s="7">
        <f>ROUND(38.8399999999999,2)</f>
        <v>38.840000000000003</v>
      </c>
      <c r="X136" s="7">
        <f>ROUND(0.27,2)</f>
        <v>0.27</v>
      </c>
      <c r="Y136" s="6"/>
      <c r="Z136" s="6"/>
      <c r="AA136" s="6"/>
      <c r="AB136" s="6"/>
      <c r="AC136" s="6"/>
      <c r="AD136" s="6"/>
      <c r="AE136" s="6"/>
      <c r="AF136" s="6"/>
      <c r="AG136" s="7">
        <f>ROUND(5.25,2)</f>
        <v>5.25</v>
      </c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7">
        <f>ROUND(127.86,2)</f>
        <v>127.86</v>
      </c>
      <c r="AS136" s="6"/>
      <c r="AT136" s="6"/>
      <c r="AU136" s="7">
        <f>ROUND(61,2)</f>
        <v>61</v>
      </c>
      <c r="AV136" s="7">
        <f>ROUND(7,2)</f>
        <v>7</v>
      </c>
      <c r="AW136" s="7">
        <f>ROUND(32,2)</f>
        <v>32</v>
      </c>
      <c r="AX136" s="6"/>
      <c r="AY136" s="7">
        <f>ROUND(120,2)</f>
        <v>120</v>
      </c>
      <c r="AZ136" s="7">
        <f>ROUND(8,2)</f>
        <v>8</v>
      </c>
      <c r="BA136" s="6"/>
      <c r="BB136" s="6"/>
      <c r="BC136" s="6"/>
      <c r="BD136" s="7">
        <f>ROUND(8,2)</f>
        <v>8</v>
      </c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7">
        <f>ROUND(9,2)</f>
        <v>9</v>
      </c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7">
        <f>ROUND(112,2)</f>
        <v>112</v>
      </c>
      <c r="CQ136" s="7">
        <f>ROUND(3315.35,2)</f>
        <v>3315.35</v>
      </c>
      <c r="CR136" s="6"/>
      <c r="CS136" s="6"/>
      <c r="CT136" s="6"/>
      <c r="CU136" s="6"/>
      <c r="CV136" s="7">
        <f>ROUND(62316.3399999999,2)</f>
        <v>62316.34</v>
      </c>
      <c r="CW136" s="6"/>
      <c r="CX136" s="6"/>
      <c r="CY136" s="7">
        <f>ROUND(42561.64,2)</f>
        <v>42561.64</v>
      </c>
      <c r="CZ136" s="6"/>
      <c r="DA136" s="6"/>
      <c r="DB136" s="6"/>
      <c r="DC136" s="6"/>
      <c r="DD136" s="7">
        <f>ROUND(164.07,2)</f>
        <v>164.07</v>
      </c>
      <c r="DE136" s="7">
        <f>ROUND(1923.37,2)</f>
        <v>1923.37</v>
      </c>
      <c r="DF136" s="7">
        <f>ROUND(9.19,2)</f>
        <v>9.19</v>
      </c>
      <c r="DG136" s="6"/>
      <c r="DH136" s="6"/>
      <c r="DI136" s="6"/>
      <c r="DJ136" s="6"/>
      <c r="DK136" s="6"/>
      <c r="DL136" s="6"/>
      <c r="DM136" s="6"/>
      <c r="DN136" s="6"/>
      <c r="DO136" s="6"/>
      <c r="DP136" s="7">
        <f>ROUND(253.89,2)</f>
        <v>253.89</v>
      </c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7">
        <f>ROUND(6297.01,2)</f>
        <v>6297.01</v>
      </c>
      <c r="EB136" s="6"/>
      <c r="EC136" s="6"/>
      <c r="ED136" s="7">
        <f>ROUND(1989.41,2)</f>
        <v>1989.41</v>
      </c>
      <c r="EE136" s="7">
        <f>ROUND(347.06,2)</f>
        <v>347.06</v>
      </c>
      <c r="EF136" s="7">
        <f>ROUND(1057.6,2)</f>
        <v>1057.5999999999999</v>
      </c>
      <c r="EG136" s="6"/>
      <c r="EH136" s="7">
        <f>ROUND(3966,2)</f>
        <v>3966</v>
      </c>
      <c r="EI136" s="7">
        <f>ROUND(396.6,2)</f>
        <v>396.6</v>
      </c>
      <c r="EJ136" s="6"/>
      <c r="EK136" s="6"/>
      <c r="EL136" s="6"/>
      <c r="EM136" s="6"/>
      <c r="EN136" s="7">
        <f>ROUND(256.72,2)</f>
        <v>256.72000000000003</v>
      </c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7">
        <f>ROUND(433.22,2)</f>
        <v>433.22</v>
      </c>
      <c r="FF136" s="6"/>
      <c r="FG136" s="6"/>
      <c r="FH136" s="6"/>
      <c r="FI136" s="6"/>
      <c r="FJ136" s="7">
        <f>ROUND(2000,2)</f>
        <v>2000</v>
      </c>
      <c r="FK136" s="6"/>
      <c r="FL136" s="6"/>
      <c r="FM136" s="6"/>
      <c r="FN136" s="6"/>
      <c r="FO136" s="6"/>
      <c r="FP136" s="6"/>
      <c r="FQ136" s="6"/>
      <c r="FR136" s="6"/>
      <c r="FS136" s="6"/>
      <c r="FT136" s="7">
        <f>ROUND(3000,2)</f>
        <v>3000</v>
      </c>
      <c r="FU136" s="6"/>
      <c r="FV136" s="6"/>
      <c r="FW136" s="6"/>
      <c r="FX136" s="7">
        <f>ROUND(3812.48,2)</f>
        <v>3812.48</v>
      </c>
      <c r="FY136" s="7">
        <f>ROUND(130784.599999999,2)</f>
        <v>130784.6</v>
      </c>
    </row>
    <row r="137" spans="1:181" x14ac:dyDescent="0.3">
      <c r="A137" s="4" t="s">
        <v>187</v>
      </c>
      <c r="B137" s="5" t="s">
        <v>1029</v>
      </c>
      <c r="C137" s="5" t="s">
        <v>181</v>
      </c>
      <c r="D137" s="5" t="s">
        <v>188</v>
      </c>
      <c r="E137" s="5" t="s">
        <v>0</v>
      </c>
      <c r="F137" s="5" t="s">
        <v>0</v>
      </c>
      <c r="G137" s="5" t="s">
        <v>183</v>
      </c>
      <c r="H137" s="8">
        <v>33.380000000000003</v>
      </c>
      <c r="I137" s="7">
        <f>ROUND(75289.7899999999,2)</f>
        <v>75289.789999999994</v>
      </c>
      <c r="J137" s="6"/>
      <c r="K137" s="6"/>
      <c r="L137" s="6"/>
      <c r="M137" s="6"/>
      <c r="N137" s="7">
        <f>ROUND(1418.32,2)</f>
        <v>1418.32</v>
      </c>
      <c r="O137" s="6"/>
      <c r="P137" s="6"/>
      <c r="Q137" s="7">
        <f>ROUND(227.91,2)</f>
        <v>227.91</v>
      </c>
      <c r="R137" s="6"/>
      <c r="S137" s="6"/>
      <c r="T137" s="6"/>
      <c r="U137" s="6"/>
      <c r="V137" s="6"/>
      <c r="W137" s="6"/>
      <c r="X137" s="7">
        <f>ROUND(3.42,2)</f>
        <v>3.42</v>
      </c>
      <c r="Y137" s="6"/>
      <c r="Z137" s="7">
        <f>ROUND(0.2,2)</f>
        <v>0.2</v>
      </c>
      <c r="AA137" s="6"/>
      <c r="AB137" s="6"/>
      <c r="AC137" s="6"/>
      <c r="AD137" s="6"/>
      <c r="AE137" s="7">
        <f>ROUND(72.8099999999999,2)</f>
        <v>72.81</v>
      </c>
      <c r="AF137" s="6"/>
      <c r="AG137" s="7">
        <f>ROUND(58.56,2)</f>
        <v>58.56</v>
      </c>
      <c r="AH137" s="6"/>
      <c r="AI137" s="6"/>
      <c r="AJ137" s="6"/>
      <c r="AK137" s="6"/>
      <c r="AL137" s="6"/>
      <c r="AM137" s="6"/>
      <c r="AN137" s="6"/>
      <c r="AO137" s="6"/>
      <c r="AP137" s="7">
        <f>ROUND(59.16,2)</f>
        <v>59.16</v>
      </c>
      <c r="AQ137" s="6"/>
      <c r="AR137" s="7">
        <f>ROUND(3.19999999999999,2)</f>
        <v>3.2</v>
      </c>
      <c r="AS137" s="6"/>
      <c r="AT137" s="6"/>
      <c r="AU137" s="7">
        <f>ROUND(48,2)</f>
        <v>48</v>
      </c>
      <c r="AV137" s="6"/>
      <c r="AW137" s="7">
        <f>ROUND(51.28,2)</f>
        <v>51.28</v>
      </c>
      <c r="AX137" s="7">
        <f>ROUND(4.72,2)</f>
        <v>4.72</v>
      </c>
      <c r="AY137" s="7">
        <f>ROUND(23.43,2)</f>
        <v>23.43</v>
      </c>
      <c r="AZ137" s="7">
        <f>ROUND(16.57,2)</f>
        <v>16.57</v>
      </c>
      <c r="BA137" s="6"/>
      <c r="BB137" s="7">
        <f>ROUND(32,2)</f>
        <v>32</v>
      </c>
      <c r="BC137" s="6"/>
      <c r="BD137" s="7">
        <f>ROUND(8,2)</f>
        <v>8</v>
      </c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7">
        <f>ROUND(5.42,2)</f>
        <v>5.42</v>
      </c>
      <c r="BR137" s="6"/>
      <c r="BS137" s="7">
        <f>ROUND(376,2)</f>
        <v>376</v>
      </c>
      <c r="BT137" s="7">
        <f>ROUND(12.23,2)</f>
        <v>12.23</v>
      </c>
      <c r="BU137" s="6"/>
      <c r="BV137" s="6"/>
      <c r="BW137" s="7">
        <f>ROUND(16,2)</f>
        <v>16</v>
      </c>
      <c r="BX137" s="6"/>
      <c r="BY137" s="6"/>
      <c r="BZ137" s="7">
        <f>ROUND(16,2)</f>
        <v>16</v>
      </c>
      <c r="CA137" s="7">
        <f>ROUND(56,2)</f>
        <v>56</v>
      </c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7">
        <f>ROUND(8,2)</f>
        <v>8</v>
      </c>
      <c r="CQ137" s="7">
        <f>ROUND(2517.23,2)</f>
        <v>2517.23</v>
      </c>
      <c r="CR137" s="6"/>
      <c r="CS137" s="6"/>
      <c r="CT137" s="6"/>
      <c r="CU137" s="6"/>
      <c r="CV137" s="7">
        <f>ROUND(46305.7199999999,2)</f>
        <v>46305.72</v>
      </c>
      <c r="CW137" s="6"/>
      <c r="CX137" s="6"/>
      <c r="CY137" s="7">
        <f>ROUND(11221,2)</f>
        <v>11221</v>
      </c>
      <c r="CZ137" s="6"/>
      <c r="DA137" s="6"/>
      <c r="DB137" s="6"/>
      <c r="DC137" s="6"/>
      <c r="DD137" s="6"/>
      <c r="DE137" s="6"/>
      <c r="DF137" s="7">
        <f>ROUND(111.169999999999,2)</f>
        <v>111.17</v>
      </c>
      <c r="DG137" s="6"/>
      <c r="DH137" s="7">
        <f>ROUND(13.22,2)</f>
        <v>13.22</v>
      </c>
      <c r="DI137" s="6"/>
      <c r="DJ137" s="6"/>
      <c r="DK137" s="6"/>
      <c r="DL137" s="6"/>
      <c r="DM137" s="6"/>
      <c r="DN137" s="7">
        <f>ROUND(2352.64,2)</f>
        <v>2352.64</v>
      </c>
      <c r="DO137" s="6"/>
      <c r="DP137" s="7">
        <f>ROUND(2842.33,2)</f>
        <v>2842.33</v>
      </c>
      <c r="DQ137" s="6"/>
      <c r="DR137" s="6"/>
      <c r="DS137" s="6"/>
      <c r="DT137" s="6"/>
      <c r="DU137" s="6"/>
      <c r="DV137" s="6"/>
      <c r="DW137" s="6"/>
      <c r="DX137" s="6"/>
      <c r="DY137" s="7">
        <f>ROUND(1940.80999999999,2)</f>
        <v>1940.81</v>
      </c>
      <c r="DZ137" s="6"/>
      <c r="EA137" s="7">
        <f>ROUND(158.64,2)</f>
        <v>158.63999999999999</v>
      </c>
      <c r="EB137" s="6"/>
      <c r="EC137" s="6"/>
      <c r="ED137" s="7">
        <f>ROUND(1573.68,2)</f>
        <v>1573.68</v>
      </c>
      <c r="EE137" s="6"/>
      <c r="EF137" s="7">
        <f>ROUND(1689.74,2)</f>
        <v>1689.74</v>
      </c>
      <c r="EG137" s="7">
        <f>ROUND(230.43,2)</f>
        <v>230.43</v>
      </c>
      <c r="EH137" s="7">
        <f>ROUND(769.13,2)</f>
        <v>769.13</v>
      </c>
      <c r="EI137" s="7">
        <f>ROUND(825.7,2)</f>
        <v>825.7</v>
      </c>
      <c r="EJ137" s="6"/>
      <c r="EK137" s="7">
        <f>ROUND(1026.88,2)</f>
        <v>1026.8800000000001</v>
      </c>
      <c r="EL137" s="6"/>
      <c r="EM137" s="6"/>
      <c r="EN137" s="7">
        <f>ROUND(256.72,2)</f>
        <v>256.72000000000003</v>
      </c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7">
        <f>ROUND(179.94,2)</f>
        <v>179.94</v>
      </c>
      <c r="FE137" s="6"/>
      <c r="FF137" s="6"/>
      <c r="FG137" s="6"/>
      <c r="FH137" s="6"/>
      <c r="FI137" s="6"/>
      <c r="FJ137" s="7">
        <f>ROUND(525,2)</f>
        <v>525</v>
      </c>
      <c r="FK137" s="6"/>
      <c r="FL137" s="6"/>
      <c r="FM137" s="6"/>
      <c r="FN137" s="6"/>
      <c r="FO137" s="6"/>
      <c r="FP137" s="6"/>
      <c r="FQ137" s="6"/>
      <c r="FR137" s="6"/>
      <c r="FS137" s="6"/>
      <c r="FT137" s="7">
        <f>ROUND(3000,2)</f>
        <v>3000</v>
      </c>
      <c r="FU137" s="6"/>
      <c r="FV137" s="6"/>
      <c r="FW137" s="6"/>
      <c r="FX137" s="7">
        <f>ROUND(267.04,2)</f>
        <v>267.04000000000002</v>
      </c>
      <c r="FY137" s="7">
        <f>ROUND(75289.7899999999,2)</f>
        <v>75289.789999999994</v>
      </c>
    </row>
    <row r="138" spans="1:181" x14ac:dyDescent="0.3">
      <c r="A138" s="4" t="s">
        <v>189</v>
      </c>
      <c r="B138" s="5" t="s">
        <v>1029</v>
      </c>
      <c r="C138" s="5" t="s">
        <v>181</v>
      </c>
      <c r="D138" s="5" t="s">
        <v>190</v>
      </c>
      <c r="E138" s="5" t="s">
        <v>0</v>
      </c>
      <c r="F138" s="5" t="s">
        <v>0</v>
      </c>
      <c r="G138" s="5" t="s">
        <v>183</v>
      </c>
      <c r="H138" s="8">
        <v>33.71</v>
      </c>
      <c r="I138" s="7">
        <f>ROUND(58348.4799999999,2)</f>
        <v>58348.480000000003</v>
      </c>
      <c r="J138" s="6"/>
      <c r="K138" s="6"/>
      <c r="L138" s="6"/>
      <c r="M138" s="6"/>
      <c r="N138" s="7">
        <f>ROUND(1092.05,2)</f>
        <v>1092.05</v>
      </c>
      <c r="O138" s="6"/>
      <c r="P138" s="6"/>
      <c r="Q138" s="7">
        <f>ROUND(111.36,2)</f>
        <v>111.36</v>
      </c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7">
        <f>ROUND(58.25,2)</f>
        <v>58.25</v>
      </c>
      <c r="AF138" s="6"/>
      <c r="AG138" s="7">
        <f>ROUND(49.58,2)</f>
        <v>49.58</v>
      </c>
      <c r="AH138" s="6"/>
      <c r="AI138" s="6"/>
      <c r="AJ138" s="6"/>
      <c r="AK138" s="6"/>
      <c r="AL138" s="6"/>
      <c r="AM138" s="6"/>
      <c r="AN138" s="6"/>
      <c r="AO138" s="6"/>
      <c r="AP138" s="7">
        <f>ROUND(1.25,2)</f>
        <v>1.25</v>
      </c>
      <c r="AQ138" s="6"/>
      <c r="AR138" s="6"/>
      <c r="AS138" s="6"/>
      <c r="AT138" s="6"/>
      <c r="AU138" s="7">
        <f>ROUND(44,2)</f>
        <v>44</v>
      </c>
      <c r="AV138" s="6"/>
      <c r="AW138" s="7">
        <f>ROUND(8,2)</f>
        <v>8</v>
      </c>
      <c r="AX138" s="6"/>
      <c r="AY138" s="7">
        <f>ROUND(12.1299999999999,2)</f>
        <v>12.13</v>
      </c>
      <c r="AZ138" s="7">
        <f>ROUND(3.87,2)</f>
        <v>3.87</v>
      </c>
      <c r="BA138" s="6"/>
      <c r="BB138" s="7">
        <f>ROUND(32,2)</f>
        <v>32</v>
      </c>
      <c r="BC138" s="6"/>
      <c r="BD138" s="7">
        <f>ROUND(25,2)</f>
        <v>25</v>
      </c>
      <c r="BE138" s="7">
        <f>ROUND(2.85,2)</f>
        <v>2.85</v>
      </c>
      <c r="BF138" s="6"/>
      <c r="BG138" s="6"/>
      <c r="BH138" s="6"/>
      <c r="BI138" s="6"/>
      <c r="BJ138" s="6"/>
      <c r="BK138" s="6"/>
      <c r="BL138" s="6"/>
      <c r="BM138" s="6"/>
      <c r="BN138" s="6"/>
      <c r="BO138" s="7">
        <f>ROUND(5.5,2)</f>
        <v>5.5</v>
      </c>
      <c r="BP138" s="6"/>
      <c r="BQ138" s="7">
        <f>ROUND(27.33,2)</f>
        <v>27.33</v>
      </c>
      <c r="BR138" s="6"/>
      <c r="BS138" s="7">
        <f>ROUND(232,2)</f>
        <v>232</v>
      </c>
      <c r="BT138" s="6"/>
      <c r="BU138" s="6"/>
      <c r="BV138" s="6"/>
      <c r="BW138" s="7">
        <f>ROUND(24,2)</f>
        <v>24</v>
      </c>
      <c r="BX138" s="6"/>
      <c r="BY138" s="7">
        <f>ROUND(8,2)</f>
        <v>8</v>
      </c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7">
        <f>ROUND(112,2)</f>
        <v>112</v>
      </c>
      <c r="CQ138" s="7">
        <f>ROUND(1849.17,2)</f>
        <v>1849.17</v>
      </c>
      <c r="CR138" s="6"/>
      <c r="CS138" s="6"/>
      <c r="CT138" s="6"/>
      <c r="CU138" s="6"/>
      <c r="CV138" s="7">
        <f>ROUND(35317.22,2)</f>
        <v>35317.22</v>
      </c>
      <c r="CW138" s="6"/>
      <c r="CX138" s="6"/>
      <c r="CY138" s="7">
        <f>ROUND(5387.34999999999,2)</f>
        <v>5387.35</v>
      </c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7">
        <f>ROUND(1875.07,2)</f>
        <v>1875.07</v>
      </c>
      <c r="DO138" s="6"/>
      <c r="DP138" s="7">
        <f>ROUND(2393.04,2)</f>
        <v>2393.04</v>
      </c>
      <c r="DQ138" s="6"/>
      <c r="DR138" s="6"/>
      <c r="DS138" s="6"/>
      <c r="DT138" s="6"/>
      <c r="DU138" s="6"/>
      <c r="DV138" s="6"/>
      <c r="DW138" s="6"/>
      <c r="DX138" s="6"/>
      <c r="DY138" s="7">
        <f>ROUND(40.11,2)</f>
        <v>40.11</v>
      </c>
      <c r="DZ138" s="6"/>
      <c r="EA138" s="6"/>
      <c r="EB138" s="6"/>
      <c r="EC138" s="6"/>
      <c r="ED138" s="7">
        <f>ROUND(1419.64,2)</f>
        <v>1419.64</v>
      </c>
      <c r="EE138" s="6"/>
      <c r="EF138" s="7">
        <f>ROUND(256.72,2)</f>
        <v>256.72000000000003</v>
      </c>
      <c r="EG138" s="6"/>
      <c r="EH138" s="7">
        <f>ROUND(389.25,2)</f>
        <v>389.25</v>
      </c>
      <c r="EI138" s="7">
        <f>ROUND(186.28,2)</f>
        <v>186.28</v>
      </c>
      <c r="EJ138" s="6"/>
      <c r="EK138" s="7">
        <f>ROUND(1042.24,2)</f>
        <v>1042.24</v>
      </c>
      <c r="EL138" s="6"/>
      <c r="EM138" s="6"/>
      <c r="EN138" s="7">
        <f>ROUND(818.569999999999,2)</f>
        <v>818.57</v>
      </c>
      <c r="EO138" s="7">
        <f>ROUND(91.46,2)</f>
        <v>91.46</v>
      </c>
      <c r="EP138" s="6"/>
      <c r="EQ138" s="6"/>
      <c r="ER138" s="6"/>
      <c r="ES138" s="6"/>
      <c r="ET138" s="6"/>
      <c r="EU138" s="6"/>
      <c r="EV138" s="7">
        <f>ROUND(500,2)</f>
        <v>500</v>
      </c>
      <c r="EW138" s="6"/>
      <c r="EX138" s="6"/>
      <c r="EY138" s="6"/>
      <c r="EZ138" s="6"/>
      <c r="FA138" s="6"/>
      <c r="FB138" s="7">
        <f>ROUND(176.5,2)</f>
        <v>176.5</v>
      </c>
      <c r="FC138" s="6"/>
      <c r="FD138" s="7">
        <f>ROUND(904.51,2)</f>
        <v>904.51</v>
      </c>
      <c r="FE138" s="6"/>
      <c r="FF138" s="6"/>
      <c r="FG138" s="6"/>
      <c r="FH138" s="6"/>
      <c r="FI138" s="6"/>
      <c r="FJ138" s="7">
        <f>ROUND(775,2)</f>
        <v>775</v>
      </c>
      <c r="FK138" s="6"/>
      <c r="FL138" s="6"/>
      <c r="FM138" s="6"/>
      <c r="FN138" s="6"/>
      <c r="FO138" s="6"/>
      <c r="FP138" s="6"/>
      <c r="FQ138" s="6"/>
      <c r="FR138" s="6"/>
      <c r="FS138" s="6"/>
      <c r="FT138" s="7">
        <f>ROUND(3000,2)</f>
        <v>3000</v>
      </c>
      <c r="FU138" s="6"/>
      <c r="FV138" s="6"/>
      <c r="FW138" s="6"/>
      <c r="FX138" s="7">
        <f>ROUND(3775.52,2)</f>
        <v>3775.52</v>
      </c>
      <c r="FY138" s="7">
        <f>ROUND(58348.4799999999,2)</f>
        <v>58348.480000000003</v>
      </c>
    </row>
    <row r="139" spans="1:181" x14ac:dyDescent="0.3">
      <c r="A139" s="4" t="s">
        <v>191</v>
      </c>
      <c r="B139" s="5" t="s">
        <v>1029</v>
      </c>
      <c r="C139" s="5" t="s">
        <v>181</v>
      </c>
      <c r="D139" s="5" t="s">
        <v>192</v>
      </c>
      <c r="E139" s="5" t="s">
        <v>0</v>
      </c>
      <c r="F139" s="5" t="s">
        <v>0</v>
      </c>
      <c r="G139" s="5" t="s">
        <v>183</v>
      </c>
      <c r="H139" s="8">
        <v>33.380000000000003</v>
      </c>
      <c r="I139" s="7">
        <f>ROUND(91030.76,2)</f>
        <v>91030.76</v>
      </c>
      <c r="J139" s="6"/>
      <c r="K139" s="6"/>
      <c r="L139" s="6"/>
      <c r="M139" s="6"/>
      <c r="N139" s="7">
        <f>ROUND(1967.6,2)</f>
        <v>1967.6</v>
      </c>
      <c r="O139" s="6"/>
      <c r="P139" s="6"/>
      <c r="Q139" s="7">
        <f>ROUND(335.059999999999,2)</f>
        <v>335.06</v>
      </c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7">
        <f>ROUND(68,2)</f>
        <v>68</v>
      </c>
      <c r="AV139" s="6"/>
      <c r="AW139" s="7">
        <f>ROUND(20.4,2)</f>
        <v>20.399999999999999</v>
      </c>
      <c r="AX139" s="7">
        <f>ROUND(11.6,2)</f>
        <v>11.6</v>
      </c>
      <c r="AY139" s="7">
        <f>ROUND(40,2)</f>
        <v>40</v>
      </c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7">
        <f>ROUND(32,2)</f>
        <v>32</v>
      </c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7">
        <f>ROUND(40,2)</f>
        <v>40</v>
      </c>
      <c r="CQ139" s="7">
        <f>ROUND(2514.66,2)</f>
        <v>2514.66</v>
      </c>
      <c r="CR139" s="6"/>
      <c r="CS139" s="6"/>
      <c r="CT139" s="6"/>
      <c r="CU139" s="6"/>
      <c r="CV139" s="7">
        <f>ROUND(64147.1099999999,2)</f>
        <v>64147.11</v>
      </c>
      <c r="CW139" s="6"/>
      <c r="CX139" s="6"/>
      <c r="CY139" s="7">
        <f>ROUND(16441.9899999999,2)</f>
        <v>16441.990000000002</v>
      </c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7">
        <f>ROUND(2215.48,2)</f>
        <v>2215.48</v>
      </c>
      <c r="EE139" s="6"/>
      <c r="EF139" s="7">
        <f>ROUND(661.95,2)</f>
        <v>661.95</v>
      </c>
      <c r="EG139" s="7">
        <f>ROUND(570.43,2)</f>
        <v>570.42999999999995</v>
      </c>
      <c r="EH139" s="7">
        <f>ROUND(1283.6,2)</f>
        <v>1283.5999999999999</v>
      </c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7">
        <f>ROUND(1375,2)</f>
        <v>1375</v>
      </c>
      <c r="FK139" s="6"/>
      <c r="FL139" s="6"/>
      <c r="FM139" s="6"/>
      <c r="FN139" s="6"/>
      <c r="FO139" s="6"/>
      <c r="FP139" s="6"/>
      <c r="FQ139" s="6"/>
      <c r="FR139" s="6"/>
      <c r="FS139" s="6"/>
      <c r="FT139" s="7">
        <f>ROUND(3000,2)</f>
        <v>3000</v>
      </c>
      <c r="FU139" s="6"/>
      <c r="FV139" s="6"/>
      <c r="FW139" s="6"/>
      <c r="FX139" s="7">
        <f>ROUND(1335.2,2)</f>
        <v>1335.2</v>
      </c>
      <c r="FY139" s="7">
        <f>ROUND(91030.76,2)</f>
        <v>91030.76</v>
      </c>
    </row>
    <row r="140" spans="1:181" x14ac:dyDescent="0.3">
      <c r="A140" s="4" t="s">
        <v>193</v>
      </c>
      <c r="B140" s="5" t="s">
        <v>1029</v>
      </c>
      <c r="C140" s="5" t="s">
        <v>181</v>
      </c>
      <c r="D140" s="5" t="s">
        <v>194</v>
      </c>
      <c r="E140" s="5" t="s">
        <v>0</v>
      </c>
      <c r="F140" s="5" t="s">
        <v>0</v>
      </c>
      <c r="G140" s="5" t="s">
        <v>183</v>
      </c>
      <c r="H140" s="8">
        <v>33.380000000000003</v>
      </c>
      <c r="I140" s="7">
        <f>ROUND(48108.1999999999,2)</f>
        <v>48108.2</v>
      </c>
      <c r="J140" s="6"/>
      <c r="K140" s="6"/>
      <c r="L140" s="6"/>
      <c r="M140" s="6"/>
      <c r="N140" s="7">
        <f>ROUND(1289.89999999999,2)</f>
        <v>1289.9000000000001</v>
      </c>
      <c r="O140" s="6"/>
      <c r="P140" s="6"/>
      <c r="Q140" s="6"/>
      <c r="R140" s="6"/>
      <c r="S140" s="6"/>
      <c r="T140" s="6"/>
      <c r="U140" s="6"/>
      <c r="V140" s="7">
        <f>ROUND(3,2)</f>
        <v>3</v>
      </c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7">
        <f>ROUND(21.75,2)</f>
        <v>21.75</v>
      </c>
      <c r="AQ140" s="6"/>
      <c r="AR140" s="6"/>
      <c r="AS140" s="6"/>
      <c r="AT140" s="6"/>
      <c r="AU140" s="7">
        <f>ROUND(35,2)</f>
        <v>35</v>
      </c>
      <c r="AV140" s="6"/>
      <c r="AW140" s="7">
        <f>ROUND(5,2)</f>
        <v>5</v>
      </c>
      <c r="AX140" s="6"/>
      <c r="AY140" s="7">
        <f>ROUND(30,2)</f>
        <v>30</v>
      </c>
      <c r="AZ140" s="6"/>
      <c r="BA140" s="6"/>
      <c r="BB140" s="7">
        <f>ROUND(20,2)</f>
        <v>20</v>
      </c>
      <c r="BC140" s="6"/>
      <c r="BD140" s="7">
        <f>ROUND(8,2)</f>
        <v>8</v>
      </c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7">
        <f>ROUND(5,2)</f>
        <v>5</v>
      </c>
      <c r="BT140" s="7">
        <f>ROUND(11.39,2)</f>
        <v>11.39</v>
      </c>
      <c r="BU140" s="6"/>
      <c r="BV140" s="6"/>
      <c r="BW140" s="7">
        <f>ROUND(5,2)</f>
        <v>5</v>
      </c>
      <c r="BX140" s="7">
        <f>ROUND(70,2)</f>
        <v>70</v>
      </c>
      <c r="BY140" s="7">
        <f>ROUND(5,2)</f>
        <v>5</v>
      </c>
      <c r="BZ140" s="7">
        <f>ROUND(10,2)</f>
        <v>10</v>
      </c>
      <c r="CA140" s="7">
        <f>ROUND(15,2)</f>
        <v>15</v>
      </c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7">
        <f>ROUND(1534.04,2)</f>
        <v>1534.04</v>
      </c>
      <c r="CR140" s="6"/>
      <c r="CS140" s="6"/>
      <c r="CT140" s="6"/>
      <c r="CU140" s="6"/>
      <c r="CV140" s="7">
        <f>ROUND(42075.72,2)</f>
        <v>42075.72</v>
      </c>
      <c r="CW140" s="6"/>
      <c r="CX140" s="6"/>
      <c r="CY140" s="6"/>
      <c r="CZ140" s="6"/>
      <c r="DA140" s="6"/>
      <c r="DB140" s="6"/>
      <c r="DC140" s="6"/>
      <c r="DD140" s="7">
        <f>ROUND(100.14,2)</f>
        <v>100.14</v>
      </c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7">
        <f>ROUND(720.819999999999,2)</f>
        <v>720.82</v>
      </c>
      <c r="DZ140" s="6"/>
      <c r="EA140" s="6"/>
      <c r="EB140" s="6"/>
      <c r="EC140" s="6"/>
      <c r="ED140" s="7">
        <f>ROUND(1144,2)</f>
        <v>1144</v>
      </c>
      <c r="EE140" s="6"/>
      <c r="EF140" s="7">
        <f>ROUND(165.25,2)</f>
        <v>165.25</v>
      </c>
      <c r="EG140" s="6"/>
      <c r="EH140" s="7">
        <f>ROUND(978.75,2)</f>
        <v>978.75</v>
      </c>
      <c r="EI140" s="6"/>
      <c r="EJ140" s="6"/>
      <c r="EK140" s="7">
        <f>ROUND(641.8,2)</f>
        <v>641.79999999999995</v>
      </c>
      <c r="EL140" s="6"/>
      <c r="EM140" s="6"/>
      <c r="EN140" s="7">
        <f>ROUND(256.72,2)</f>
        <v>256.72000000000003</v>
      </c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7">
        <f>ROUND(525,2)</f>
        <v>525</v>
      </c>
      <c r="FK140" s="6"/>
      <c r="FL140" s="6"/>
      <c r="FM140" s="6"/>
      <c r="FN140" s="6"/>
      <c r="FO140" s="6"/>
      <c r="FP140" s="6"/>
      <c r="FQ140" s="6"/>
      <c r="FR140" s="6"/>
      <c r="FS140" s="6"/>
      <c r="FT140" s="7">
        <f>ROUND(1500,2)</f>
        <v>1500</v>
      </c>
      <c r="FU140" s="6"/>
      <c r="FV140" s="6"/>
      <c r="FW140" s="6"/>
      <c r="FX140" s="6"/>
      <c r="FY140" s="7">
        <f>ROUND(48108.1999999999,2)</f>
        <v>48108.2</v>
      </c>
    </row>
    <row r="141" spans="1:181" x14ac:dyDescent="0.3">
      <c r="A141" s="4" t="s">
        <v>195</v>
      </c>
      <c r="B141" s="5" t="s">
        <v>1029</v>
      </c>
      <c r="C141" s="5" t="s">
        <v>181</v>
      </c>
      <c r="D141" s="5" t="s">
        <v>196</v>
      </c>
      <c r="E141" s="5" t="s">
        <v>0</v>
      </c>
      <c r="F141" s="5" t="s">
        <v>0</v>
      </c>
      <c r="G141" s="5" t="s">
        <v>183</v>
      </c>
      <c r="H141" s="8">
        <v>33.380000000000003</v>
      </c>
      <c r="I141" s="7">
        <f>ROUND(101530.15,2)</f>
        <v>101530.15</v>
      </c>
      <c r="J141" s="6"/>
      <c r="K141" s="6"/>
      <c r="L141" s="6"/>
      <c r="M141" s="6"/>
      <c r="N141" s="7">
        <f>ROUND(776.149999999999,2)</f>
        <v>776.15</v>
      </c>
      <c r="O141" s="6"/>
      <c r="P141" s="6"/>
      <c r="Q141" s="7">
        <f>ROUND(209.92,2)</f>
        <v>209.92</v>
      </c>
      <c r="R141" s="6"/>
      <c r="S141" s="6"/>
      <c r="T141" s="6"/>
      <c r="U141" s="6"/>
      <c r="V141" s="7">
        <f>ROUND(10.06,2)</f>
        <v>10.06</v>
      </c>
      <c r="W141" s="7">
        <f>ROUND(22.1899999999999,2)</f>
        <v>22.19</v>
      </c>
      <c r="X141" s="7">
        <f>ROUND(3.12,2)</f>
        <v>3.12</v>
      </c>
      <c r="Y141" s="7">
        <f>ROUND(3.45,2)</f>
        <v>3.45</v>
      </c>
      <c r="Z141" s="6"/>
      <c r="AA141" s="6"/>
      <c r="AB141" s="6"/>
      <c r="AC141" s="6"/>
      <c r="AD141" s="6"/>
      <c r="AE141" s="7">
        <f>ROUND(311.2,2)</f>
        <v>311.2</v>
      </c>
      <c r="AF141" s="6"/>
      <c r="AG141" s="7">
        <f>ROUND(55.9499999999999,2)</f>
        <v>55.95</v>
      </c>
      <c r="AH141" s="6"/>
      <c r="AI141" s="6"/>
      <c r="AJ141" s="6"/>
      <c r="AK141" s="6"/>
      <c r="AL141" s="6"/>
      <c r="AM141" s="6"/>
      <c r="AN141" s="6"/>
      <c r="AO141" s="6"/>
      <c r="AP141" s="7">
        <f>ROUND(778.04,2)</f>
        <v>778.04</v>
      </c>
      <c r="AQ141" s="6"/>
      <c r="AR141" s="7">
        <f>ROUND(233.19,2)</f>
        <v>233.19</v>
      </c>
      <c r="AS141" s="6"/>
      <c r="AT141" s="6"/>
      <c r="AU141" s="7">
        <f>ROUND(76,2)</f>
        <v>76</v>
      </c>
      <c r="AV141" s="6"/>
      <c r="AW141" s="7">
        <f>ROUND(35.58,2)</f>
        <v>35.58</v>
      </c>
      <c r="AX141" s="7">
        <f>ROUND(10.42,2)</f>
        <v>10.42</v>
      </c>
      <c r="AY141" s="7">
        <f>ROUND(49.42,2)</f>
        <v>49.42</v>
      </c>
      <c r="AZ141" s="7">
        <f>ROUND(14.58,2)</f>
        <v>14.58</v>
      </c>
      <c r="BA141" s="6"/>
      <c r="BB141" s="7">
        <f>ROUND(34,2)</f>
        <v>34</v>
      </c>
      <c r="BC141" s="6"/>
      <c r="BD141" s="7">
        <f>ROUND(8,2)</f>
        <v>8</v>
      </c>
      <c r="BE141" s="6"/>
      <c r="BF141" s="6"/>
      <c r="BG141" s="6"/>
      <c r="BH141" s="6"/>
      <c r="BI141" s="6"/>
      <c r="BJ141" s="6"/>
      <c r="BK141" s="6"/>
      <c r="BL141" s="6"/>
      <c r="BM141" s="6"/>
      <c r="BN141" s="7">
        <f>ROUND(5.08,2)</f>
        <v>5.08</v>
      </c>
      <c r="BO141" s="7">
        <f>ROUND(26.9,2)</f>
        <v>26.9</v>
      </c>
      <c r="BP141" s="7">
        <f>ROUND(1.6,2)</f>
        <v>1.6</v>
      </c>
      <c r="BQ141" s="7">
        <f>ROUND(28.93,2)</f>
        <v>28.93</v>
      </c>
      <c r="BR141" s="7">
        <f>ROUND(4.82,2)</f>
        <v>4.82</v>
      </c>
      <c r="BS141" s="6"/>
      <c r="BT141" s="6"/>
      <c r="BU141" s="6"/>
      <c r="BV141" s="6"/>
      <c r="BW141" s="6"/>
      <c r="BX141" s="6"/>
      <c r="BY141" s="7">
        <f>ROUND(8,2)</f>
        <v>8</v>
      </c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7">
        <f>ROUND(2706.6,2)</f>
        <v>2706.6</v>
      </c>
      <c r="CR141" s="6"/>
      <c r="CS141" s="6"/>
      <c r="CT141" s="6"/>
      <c r="CU141" s="6"/>
      <c r="CV141" s="7">
        <f>ROUND(25289.97,2)</f>
        <v>25289.97</v>
      </c>
      <c r="CW141" s="6"/>
      <c r="CX141" s="6"/>
      <c r="CY141" s="7">
        <f>ROUND(10286.76,2)</f>
        <v>10286.76</v>
      </c>
      <c r="CZ141" s="6"/>
      <c r="DA141" s="6"/>
      <c r="DB141" s="6"/>
      <c r="DC141" s="6"/>
      <c r="DD141" s="7">
        <f>ROUND(329.36,2)</f>
        <v>329.36</v>
      </c>
      <c r="DE141" s="7">
        <f>ROUND(1094.74,2)</f>
        <v>1094.74</v>
      </c>
      <c r="DF141" s="7">
        <f>ROUND(101.57,2)</f>
        <v>101.57</v>
      </c>
      <c r="DG141" s="7">
        <f>ROUND(170.68,2)</f>
        <v>170.68</v>
      </c>
      <c r="DH141" s="6"/>
      <c r="DI141" s="6"/>
      <c r="DJ141" s="6"/>
      <c r="DK141" s="6"/>
      <c r="DL141" s="6"/>
      <c r="DM141" s="6"/>
      <c r="DN141" s="7">
        <f>ROUND(10169.4499999999,2)</f>
        <v>10169.450000000001</v>
      </c>
      <c r="DO141" s="6"/>
      <c r="DP141" s="7">
        <f>ROUND(2747.83,2)</f>
        <v>2747.83</v>
      </c>
      <c r="DQ141" s="6"/>
      <c r="DR141" s="6"/>
      <c r="DS141" s="6"/>
      <c r="DT141" s="6"/>
      <c r="DU141" s="6"/>
      <c r="DV141" s="6"/>
      <c r="DW141" s="6"/>
      <c r="DX141" s="6"/>
      <c r="DY141" s="7">
        <f>ROUND(25377.91,2)</f>
        <v>25377.91</v>
      </c>
      <c r="DZ141" s="6"/>
      <c r="EA141" s="7">
        <f>ROUND(11442.05,2)</f>
        <v>11442.05</v>
      </c>
      <c r="EB141" s="6"/>
      <c r="EC141" s="6"/>
      <c r="ED141" s="7">
        <f>ROUND(2474.12,2)</f>
        <v>2474.12</v>
      </c>
      <c r="EE141" s="6"/>
      <c r="EF141" s="7">
        <f>ROUND(1170.56,2)</f>
        <v>1170.56</v>
      </c>
      <c r="EG141" s="7">
        <f>ROUND(517.05,2)</f>
        <v>517.04999999999995</v>
      </c>
      <c r="EH141" s="7">
        <f>ROUND(1595.49,2)</f>
        <v>1595.49</v>
      </c>
      <c r="EI141" s="7">
        <f>ROUND(701.81,2)</f>
        <v>701.81</v>
      </c>
      <c r="EJ141" s="6"/>
      <c r="EK141" s="7">
        <f>ROUND(1116.02,2)</f>
        <v>1116.02</v>
      </c>
      <c r="EL141" s="6"/>
      <c r="EM141" s="6"/>
      <c r="EN141" s="7">
        <f>ROUND(256.72,2)</f>
        <v>256.72000000000003</v>
      </c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7">
        <f>ROUND(254.36,2)</f>
        <v>254.36</v>
      </c>
      <c r="FB141" s="7">
        <f>ROUND(874.38,2)</f>
        <v>874.38</v>
      </c>
      <c r="FC141" s="7">
        <f>ROUND(80.11,2)</f>
        <v>80.11</v>
      </c>
      <c r="FD141" s="7">
        <f>ROUND(947.199999999999,2)</f>
        <v>947.2</v>
      </c>
      <c r="FE141" s="7">
        <f>ROUND(232.01,2)</f>
        <v>232.01</v>
      </c>
      <c r="FF141" s="6"/>
      <c r="FG141" s="6"/>
      <c r="FH141" s="6"/>
      <c r="FI141" s="6"/>
      <c r="FJ141" s="7">
        <f>ROUND(1300,2)</f>
        <v>1300</v>
      </c>
      <c r="FK141" s="6"/>
      <c r="FL141" s="6"/>
      <c r="FM141" s="6"/>
      <c r="FN141" s="6"/>
      <c r="FO141" s="6"/>
      <c r="FP141" s="6"/>
      <c r="FQ141" s="6"/>
      <c r="FR141" s="6"/>
      <c r="FS141" s="6"/>
      <c r="FT141" s="7">
        <f>ROUND(3000,2)</f>
        <v>3000</v>
      </c>
      <c r="FU141" s="6"/>
      <c r="FV141" s="6"/>
      <c r="FW141" s="6"/>
      <c r="FX141" s="6"/>
      <c r="FY141" s="7">
        <f>ROUND(101530.15,2)</f>
        <v>101530.15</v>
      </c>
    </row>
    <row r="142" spans="1:181" x14ac:dyDescent="0.3">
      <c r="A142" s="4" t="s">
        <v>197</v>
      </c>
      <c r="B142" s="5" t="s">
        <v>1029</v>
      </c>
      <c r="C142" s="5" t="s">
        <v>181</v>
      </c>
      <c r="D142" s="5" t="s">
        <v>198</v>
      </c>
      <c r="E142" s="5" t="s">
        <v>199</v>
      </c>
      <c r="F142" s="5" t="s">
        <v>0</v>
      </c>
      <c r="G142" s="5" t="s">
        <v>183</v>
      </c>
      <c r="H142" s="8">
        <v>33.880000000000003</v>
      </c>
      <c r="I142" s="7">
        <f>ROUND(103342.519999999,2)</f>
        <v>103342.52</v>
      </c>
      <c r="J142" s="6"/>
      <c r="K142" s="6"/>
      <c r="L142" s="6"/>
      <c r="M142" s="6"/>
      <c r="N142" s="7">
        <f>ROUND(1793.2,2)</f>
        <v>1793.2</v>
      </c>
      <c r="O142" s="6"/>
      <c r="P142" s="6"/>
      <c r="Q142" s="7">
        <f>ROUND(353.499999999999,2)</f>
        <v>353.5</v>
      </c>
      <c r="R142" s="6"/>
      <c r="S142" s="6"/>
      <c r="T142" s="6"/>
      <c r="U142" s="6"/>
      <c r="V142" s="6"/>
      <c r="W142" s="7">
        <f>ROUND(26.12,2)</f>
        <v>26.12</v>
      </c>
      <c r="X142" s="7">
        <f>ROUND(1.33,2)</f>
        <v>1.33</v>
      </c>
      <c r="Y142" s="7">
        <f>ROUND(0.16,2)</f>
        <v>0.16</v>
      </c>
      <c r="Z142" s="6"/>
      <c r="AA142" s="6"/>
      <c r="AB142" s="6"/>
      <c r="AC142" s="6"/>
      <c r="AD142" s="6"/>
      <c r="AE142" s="6"/>
      <c r="AF142" s="6"/>
      <c r="AG142" s="7">
        <f>ROUND(29.75,2)</f>
        <v>29.75</v>
      </c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7">
        <f>ROUND(141.01,2)</f>
        <v>141.01</v>
      </c>
      <c r="AS142" s="6"/>
      <c r="AT142" s="6"/>
      <c r="AU142" s="7">
        <f>ROUND(57.67,2)</f>
        <v>57.67</v>
      </c>
      <c r="AV142" s="6"/>
      <c r="AW142" s="7">
        <f>ROUND(5,2)</f>
        <v>5</v>
      </c>
      <c r="AX142" s="7">
        <f>ROUND(19,2)</f>
        <v>19</v>
      </c>
      <c r="AY142" s="7">
        <f>ROUND(148.75,2)</f>
        <v>148.75</v>
      </c>
      <c r="AZ142" s="7">
        <f>ROUND(51.25,2)</f>
        <v>51.25</v>
      </c>
      <c r="BA142" s="6"/>
      <c r="BB142" s="6"/>
      <c r="BC142" s="6"/>
      <c r="BD142" s="7">
        <f>ROUND(16.55,2)</f>
        <v>16.55</v>
      </c>
      <c r="BE142" s="6"/>
      <c r="BF142" s="7">
        <f>ROUND(0.45,2)</f>
        <v>0.45</v>
      </c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7">
        <f>ROUND(72,2)</f>
        <v>72</v>
      </c>
      <c r="BR142" s="7">
        <f>ROUND(0.12,2)</f>
        <v>0.12</v>
      </c>
      <c r="BS142" s="6"/>
      <c r="BT142" s="6"/>
      <c r="BU142" s="6"/>
      <c r="BV142" s="6"/>
      <c r="BW142" s="7">
        <f>ROUND(8,2)</f>
        <v>8</v>
      </c>
      <c r="BX142" s="6"/>
      <c r="BY142" s="7">
        <f>ROUND(32,2)</f>
        <v>32</v>
      </c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7">
        <f>ROUND(2755.86,2)</f>
        <v>2755.86</v>
      </c>
      <c r="CR142" s="6"/>
      <c r="CS142" s="6"/>
      <c r="CT142" s="6"/>
      <c r="CU142" s="6"/>
      <c r="CV142" s="7">
        <f>ROUND(58592.0599999999,2)</f>
        <v>58592.06</v>
      </c>
      <c r="CW142" s="6"/>
      <c r="CX142" s="6"/>
      <c r="CY142" s="7">
        <f>ROUND(17320.17,2)</f>
        <v>17320.169999999998</v>
      </c>
      <c r="CZ142" s="6"/>
      <c r="DA142" s="6"/>
      <c r="DB142" s="6"/>
      <c r="DC142" s="6"/>
      <c r="DD142" s="6"/>
      <c r="DE142" s="7">
        <f>ROUND(1284.09,2)</f>
        <v>1284.0899999999999</v>
      </c>
      <c r="DF142" s="7">
        <f>ROUND(43.24,2)</f>
        <v>43.24</v>
      </c>
      <c r="DG142" s="7">
        <f>ROUND(7.7,2)</f>
        <v>7.7</v>
      </c>
      <c r="DH142" s="6"/>
      <c r="DI142" s="6"/>
      <c r="DJ142" s="6"/>
      <c r="DK142" s="6"/>
      <c r="DL142" s="6"/>
      <c r="DM142" s="6"/>
      <c r="DN142" s="6"/>
      <c r="DO142" s="6"/>
      <c r="DP142" s="7">
        <f>ROUND(1478.75,2)</f>
        <v>1478.75</v>
      </c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7">
        <f>ROUND(6954.69,2)</f>
        <v>6954.69</v>
      </c>
      <c r="EB142" s="6"/>
      <c r="EC142" s="6"/>
      <c r="ED142" s="7">
        <f>ROUND(1885.75,2)</f>
        <v>1885.75</v>
      </c>
      <c r="EE142" s="6"/>
      <c r="EF142" s="7">
        <f>ROUND(165.25,2)</f>
        <v>165.25</v>
      </c>
      <c r="EG142" s="7">
        <f>ROUND(941.93,2)</f>
        <v>941.93</v>
      </c>
      <c r="EH142" s="7">
        <f>ROUND(4864.59,2)</f>
        <v>4864.59</v>
      </c>
      <c r="EI142" s="7">
        <f>ROUND(2547.45,2)</f>
        <v>2547.4499999999998</v>
      </c>
      <c r="EJ142" s="6"/>
      <c r="EK142" s="6"/>
      <c r="EL142" s="6"/>
      <c r="EM142" s="6"/>
      <c r="EN142" s="7">
        <f>ROUND(539.73,2)</f>
        <v>539.73</v>
      </c>
      <c r="EO142" s="6"/>
      <c r="EP142" s="7">
        <f>ROUND(21.66,2)</f>
        <v>21.66</v>
      </c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7">
        <f>ROUND(2439.36,2)</f>
        <v>2439.36</v>
      </c>
      <c r="FE142" s="7">
        <f>ROUND(6.1,2)</f>
        <v>6.1</v>
      </c>
      <c r="FF142" s="6"/>
      <c r="FG142" s="6"/>
      <c r="FH142" s="6"/>
      <c r="FI142" s="6"/>
      <c r="FJ142" s="7">
        <f>ROUND(1250,2)</f>
        <v>1250</v>
      </c>
      <c r="FK142" s="6"/>
      <c r="FL142" s="6"/>
      <c r="FM142" s="6"/>
      <c r="FN142" s="6"/>
      <c r="FO142" s="6"/>
      <c r="FP142" s="6"/>
      <c r="FQ142" s="6"/>
      <c r="FR142" s="6"/>
      <c r="FS142" s="6"/>
      <c r="FT142" s="7">
        <f>ROUND(3000,2)</f>
        <v>3000</v>
      </c>
      <c r="FU142" s="6"/>
      <c r="FV142" s="6"/>
      <c r="FW142" s="6"/>
      <c r="FX142" s="6"/>
      <c r="FY142" s="7">
        <f>ROUND(103342.519999999,2)</f>
        <v>103342.52</v>
      </c>
    </row>
    <row r="143" spans="1:181" x14ac:dyDescent="0.3">
      <c r="A143" s="4" t="s">
        <v>204</v>
      </c>
      <c r="B143" s="5" t="s">
        <v>1029</v>
      </c>
      <c r="C143" s="5" t="s">
        <v>181</v>
      </c>
      <c r="D143" s="5" t="s">
        <v>196</v>
      </c>
      <c r="E143" s="5" t="s">
        <v>0</v>
      </c>
      <c r="F143" s="5" t="s">
        <v>0</v>
      </c>
      <c r="G143" s="5" t="s">
        <v>183</v>
      </c>
      <c r="H143" s="8">
        <v>33.380000000000003</v>
      </c>
      <c r="I143" s="7">
        <f>ROUND(92041.88,2)</f>
        <v>92041.88</v>
      </c>
      <c r="J143" s="6"/>
      <c r="K143" s="6"/>
      <c r="L143" s="6"/>
      <c r="M143" s="6"/>
      <c r="N143" s="7">
        <f>ROUND(1691.1,2)</f>
        <v>1691.1</v>
      </c>
      <c r="O143" s="6"/>
      <c r="P143" s="6"/>
      <c r="Q143" s="7">
        <f>ROUND(185.149999999999,2)</f>
        <v>185.15</v>
      </c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7">
        <f>ROUND(134.75,2)</f>
        <v>134.75</v>
      </c>
      <c r="AF143" s="6"/>
      <c r="AG143" s="7">
        <f>ROUND(177.75,2)</f>
        <v>177.75</v>
      </c>
      <c r="AH143" s="6"/>
      <c r="AI143" s="6"/>
      <c r="AJ143" s="6"/>
      <c r="AK143" s="6"/>
      <c r="AL143" s="6"/>
      <c r="AM143" s="6"/>
      <c r="AN143" s="6"/>
      <c r="AO143" s="6"/>
      <c r="AP143" s="7">
        <f>ROUND(121.72,2)</f>
        <v>121.72</v>
      </c>
      <c r="AQ143" s="6"/>
      <c r="AR143" s="7">
        <f>ROUND(2.53,2)</f>
        <v>2.5299999999999998</v>
      </c>
      <c r="AS143" s="6"/>
      <c r="AT143" s="6"/>
      <c r="AU143" s="7">
        <f>ROUND(68,2)</f>
        <v>68</v>
      </c>
      <c r="AV143" s="6"/>
      <c r="AW143" s="7">
        <f>ROUND(12.27,2)</f>
        <v>12.27</v>
      </c>
      <c r="AX143" s="7">
        <f>ROUND(11.73,2)</f>
        <v>11.73</v>
      </c>
      <c r="AY143" s="7">
        <f>ROUND(48,2)</f>
        <v>48</v>
      </c>
      <c r="AZ143" s="6"/>
      <c r="BA143" s="6"/>
      <c r="BB143" s="7">
        <f>ROUND(32,2)</f>
        <v>32</v>
      </c>
      <c r="BC143" s="6"/>
      <c r="BD143" s="7">
        <f>ROUND(8,2)</f>
        <v>8</v>
      </c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7">
        <f>ROUND(13,2)</f>
        <v>13</v>
      </c>
      <c r="BP143" s="6"/>
      <c r="BQ143" s="7">
        <f>ROUND(8,2)</f>
        <v>8</v>
      </c>
      <c r="BR143" s="6"/>
      <c r="BS143" s="6"/>
      <c r="BT143" s="7">
        <f>ROUND(0.3,2)</f>
        <v>0.3</v>
      </c>
      <c r="BU143" s="6"/>
      <c r="BV143" s="6"/>
      <c r="BW143" s="6"/>
      <c r="BX143" s="6"/>
      <c r="BY143" s="7">
        <f>ROUND(8,2)</f>
        <v>8</v>
      </c>
      <c r="BZ143" s="7">
        <f>ROUND(16,2)</f>
        <v>16</v>
      </c>
      <c r="CA143" s="7">
        <f>ROUND(13,2)</f>
        <v>13</v>
      </c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7">
        <f>ROUND(2551.3,2)</f>
        <v>2551.3000000000002</v>
      </c>
      <c r="CR143" s="6"/>
      <c r="CS143" s="6"/>
      <c r="CT143" s="6"/>
      <c r="CU143" s="6"/>
      <c r="CV143" s="7">
        <f>ROUND(55189.5799999999,2)</f>
        <v>55189.58</v>
      </c>
      <c r="CW143" s="6"/>
      <c r="CX143" s="6"/>
      <c r="CY143" s="7">
        <f>ROUND(8998.69999999999,2)</f>
        <v>8998.7000000000007</v>
      </c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7">
        <f>ROUND(4422.19,2)</f>
        <v>4422.1899999999996</v>
      </c>
      <c r="DO143" s="6"/>
      <c r="DP143" s="7">
        <f>ROUND(8740.60999999999,2)</f>
        <v>8740.61</v>
      </c>
      <c r="DQ143" s="6"/>
      <c r="DR143" s="6"/>
      <c r="DS143" s="6"/>
      <c r="DT143" s="6"/>
      <c r="DU143" s="6"/>
      <c r="DV143" s="6"/>
      <c r="DW143" s="6"/>
      <c r="DX143" s="6"/>
      <c r="DY143" s="7">
        <f>ROUND(3912.98,2)</f>
        <v>3912.98</v>
      </c>
      <c r="DZ143" s="6"/>
      <c r="EA143" s="7">
        <f>ROUND(121.78,2)</f>
        <v>121.78</v>
      </c>
      <c r="EB143" s="6"/>
      <c r="EC143" s="6"/>
      <c r="ED143" s="7">
        <f>ROUND(2215.48,2)</f>
        <v>2215.48</v>
      </c>
      <c r="EE143" s="6"/>
      <c r="EF143" s="7">
        <f>ROUND(405.52,2)</f>
        <v>405.52</v>
      </c>
      <c r="EG143" s="7">
        <f>ROUND(581.51,2)</f>
        <v>581.51</v>
      </c>
      <c r="EH143" s="7">
        <f>ROUND(1555.67999999999,2)</f>
        <v>1555.68</v>
      </c>
      <c r="EI143" s="6"/>
      <c r="EJ143" s="6"/>
      <c r="EK143" s="7">
        <f>ROUND(1042.24,2)</f>
        <v>1042.24</v>
      </c>
      <c r="EL143" s="6"/>
      <c r="EM143" s="6"/>
      <c r="EN143" s="7">
        <f>ROUND(256.72,2)</f>
        <v>256.72000000000003</v>
      </c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7">
        <f>ROUND(417.17,2)</f>
        <v>417.17</v>
      </c>
      <c r="FC143" s="6"/>
      <c r="FD143" s="7">
        <f>ROUND(256.72,2)</f>
        <v>256.72000000000003</v>
      </c>
      <c r="FE143" s="6"/>
      <c r="FF143" s="6"/>
      <c r="FG143" s="6"/>
      <c r="FH143" s="6"/>
      <c r="FI143" s="6"/>
      <c r="FJ143" s="7">
        <f>ROUND(925,2)</f>
        <v>925</v>
      </c>
      <c r="FK143" s="6"/>
      <c r="FL143" s="6"/>
      <c r="FM143" s="6"/>
      <c r="FN143" s="6"/>
      <c r="FO143" s="6"/>
      <c r="FP143" s="6"/>
      <c r="FQ143" s="6"/>
      <c r="FR143" s="6"/>
      <c r="FS143" s="6"/>
      <c r="FT143" s="7">
        <f>ROUND(3000,2)</f>
        <v>3000</v>
      </c>
      <c r="FU143" s="6"/>
      <c r="FV143" s="6"/>
      <c r="FW143" s="6"/>
      <c r="FX143" s="6"/>
      <c r="FY143" s="7">
        <f>ROUND(92041.88,2)</f>
        <v>92041.88</v>
      </c>
    </row>
    <row r="144" spans="1:181" x14ac:dyDescent="0.3">
      <c r="A144" s="4" t="s">
        <v>205</v>
      </c>
      <c r="B144" s="5" t="s">
        <v>1029</v>
      </c>
      <c r="C144" s="5" t="s">
        <v>181</v>
      </c>
      <c r="D144" s="5" t="s">
        <v>206</v>
      </c>
      <c r="E144" s="5" t="s">
        <v>0</v>
      </c>
      <c r="F144" s="5" t="s">
        <v>0</v>
      </c>
      <c r="G144" s="5" t="s">
        <v>183</v>
      </c>
      <c r="H144" s="8">
        <v>33.380000000000003</v>
      </c>
      <c r="I144" s="7">
        <f>ROUND(96142.4999999999,2)</f>
        <v>96142.5</v>
      </c>
      <c r="J144" s="6"/>
      <c r="K144" s="6"/>
      <c r="L144" s="6"/>
      <c r="M144" s="6"/>
      <c r="N144" s="7">
        <f>ROUND(1464.4,2)</f>
        <v>1464.4</v>
      </c>
      <c r="O144" s="6"/>
      <c r="P144" s="6"/>
      <c r="Q144" s="7">
        <f>ROUND(264.86,2)</f>
        <v>264.86</v>
      </c>
      <c r="R144" s="6"/>
      <c r="S144" s="6"/>
      <c r="T144" s="6"/>
      <c r="U144" s="6"/>
      <c r="V144" s="6"/>
      <c r="W144" s="7">
        <f>ROUND(6.4,2)</f>
        <v>6.4</v>
      </c>
      <c r="X144" s="7">
        <f>ROUND(2.92999999999999,2)</f>
        <v>2.93</v>
      </c>
      <c r="Y144" s="7">
        <f>ROUND(2.34,2)</f>
        <v>2.34</v>
      </c>
      <c r="Z144" s="6"/>
      <c r="AA144" s="6"/>
      <c r="AB144" s="6"/>
      <c r="AC144" s="6"/>
      <c r="AD144" s="6"/>
      <c r="AE144" s="7">
        <f>ROUND(76.83,2)</f>
        <v>76.83</v>
      </c>
      <c r="AF144" s="6"/>
      <c r="AG144" s="7">
        <f>ROUND(2.75,2)</f>
        <v>2.75</v>
      </c>
      <c r="AH144" s="6"/>
      <c r="AI144" s="6"/>
      <c r="AJ144" s="6"/>
      <c r="AK144" s="6"/>
      <c r="AL144" s="6"/>
      <c r="AM144" s="6"/>
      <c r="AN144" s="6"/>
      <c r="AO144" s="6"/>
      <c r="AP144" s="7">
        <f>ROUND(313.869999999999,2)</f>
        <v>313.87</v>
      </c>
      <c r="AQ144" s="6"/>
      <c r="AR144" s="7">
        <f>ROUND(109.42,2)</f>
        <v>109.42</v>
      </c>
      <c r="AS144" s="6"/>
      <c r="AT144" s="6"/>
      <c r="AU144" s="7">
        <f>ROUND(68.52,2)</f>
        <v>68.52</v>
      </c>
      <c r="AV144" s="7">
        <f>ROUND(7.48,2)</f>
        <v>7.48</v>
      </c>
      <c r="AW144" s="7">
        <f>ROUND(27.35,2)</f>
        <v>27.35</v>
      </c>
      <c r="AX144" s="7">
        <f>ROUND(6.65,2)</f>
        <v>6.65</v>
      </c>
      <c r="AY144" s="7">
        <f>ROUND(78.25,2)</f>
        <v>78.25</v>
      </c>
      <c r="AZ144" s="7">
        <f>ROUND(23.75,2)</f>
        <v>23.75</v>
      </c>
      <c r="BA144" s="6"/>
      <c r="BB144" s="7">
        <f>ROUND(10,2)</f>
        <v>10</v>
      </c>
      <c r="BC144" s="6"/>
      <c r="BD144" s="7">
        <f>ROUND(12.07,2)</f>
        <v>12.07</v>
      </c>
      <c r="BE144" s="7">
        <f>ROUND(2.25,2)</f>
        <v>2.25</v>
      </c>
      <c r="BF144" s="7">
        <f>ROUND(4.93,2)</f>
        <v>4.93</v>
      </c>
      <c r="BG144" s="7">
        <f>ROUND(46.3,2)</f>
        <v>46.3</v>
      </c>
      <c r="BH144" s="6"/>
      <c r="BI144" s="6"/>
      <c r="BJ144" s="6"/>
      <c r="BK144" s="6"/>
      <c r="BL144" s="6"/>
      <c r="BM144" s="6"/>
      <c r="BN144" s="6"/>
      <c r="BO144" s="7">
        <f>ROUND(10,2)</f>
        <v>10</v>
      </c>
      <c r="BP144" s="6"/>
      <c r="BQ144" s="7">
        <f>ROUND(23.25,2)</f>
        <v>23.25</v>
      </c>
      <c r="BR144" s="6"/>
      <c r="BS144" s="6"/>
      <c r="BT144" s="7">
        <f>ROUND(0.25,2)</f>
        <v>0.25</v>
      </c>
      <c r="BU144" s="6"/>
      <c r="BV144" s="6"/>
      <c r="BW144" s="6"/>
      <c r="BX144" s="6"/>
      <c r="BY144" s="7">
        <f>ROUND(8,2)</f>
        <v>8</v>
      </c>
      <c r="BZ144" s="6"/>
      <c r="CA144" s="7">
        <f>ROUND(10,2)</f>
        <v>10</v>
      </c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7">
        <f>ROUND(24,2)</f>
        <v>24</v>
      </c>
      <c r="CQ144" s="7">
        <f>ROUND(2606.84999999999,2)</f>
        <v>2606.85</v>
      </c>
      <c r="CR144" s="6"/>
      <c r="CS144" s="6"/>
      <c r="CT144" s="6"/>
      <c r="CU144" s="6"/>
      <c r="CV144" s="7">
        <f>ROUND(47948.2399999999,2)</f>
        <v>47948.24</v>
      </c>
      <c r="CW144" s="6"/>
      <c r="CX144" s="6"/>
      <c r="CY144" s="7">
        <f>ROUND(13063.37,2)</f>
        <v>13063.37</v>
      </c>
      <c r="CZ144" s="6"/>
      <c r="DA144" s="6"/>
      <c r="DB144" s="6"/>
      <c r="DC144" s="6"/>
      <c r="DD144" s="6"/>
      <c r="DE144" s="7">
        <f>ROUND(308.06,2)</f>
        <v>308.06</v>
      </c>
      <c r="DF144" s="7">
        <f>ROUND(96.6499999999999,2)</f>
        <v>96.65</v>
      </c>
      <c r="DG144" s="7">
        <f>ROUND(115.47,2)</f>
        <v>115.47</v>
      </c>
      <c r="DH144" s="6"/>
      <c r="DI144" s="6"/>
      <c r="DJ144" s="6"/>
      <c r="DK144" s="6"/>
      <c r="DL144" s="6"/>
      <c r="DM144" s="6"/>
      <c r="DN144" s="7">
        <f>ROUND(2505.98,2)</f>
        <v>2505.98</v>
      </c>
      <c r="DO144" s="6"/>
      <c r="DP144" s="7">
        <f>ROUND(132.37,2)</f>
        <v>132.37</v>
      </c>
      <c r="DQ144" s="6"/>
      <c r="DR144" s="6"/>
      <c r="DS144" s="6"/>
      <c r="DT144" s="6"/>
      <c r="DU144" s="6"/>
      <c r="DV144" s="6"/>
      <c r="DW144" s="6"/>
      <c r="DX144" s="6"/>
      <c r="DY144" s="7">
        <f>ROUND(10215.29,2)</f>
        <v>10215.290000000001</v>
      </c>
      <c r="DZ144" s="6"/>
      <c r="EA144" s="7">
        <f>ROUND(5356.91,2)</f>
        <v>5356.91</v>
      </c>
      <c r="EB144" s="6"/>
      <c r="EC144" s="6"/>
      <c r="ED144" s="7">
        <f>ROUND(2227.57,2)</f>
        <v>2227.5700000000002</v>
      </c>
      <c r="EE144" s="7">
        <f>ROUND(370.86,2)</f>
        <v>370.86</v>
      </c>
      <c r="EF144" s="7">
        <f>ROUND(882.699999999999,2)</f>
        <v>882.7</v>
      </c>
      <c r="EG144" s="7">
        <f>ROUND(324.06,2)</f>
        <v>324.06</v>
      </c>
      <c r="EH144" s="7">
        <f>ROUND(2532.35,2)</f>
        <v>2532.35</v>
      </c>
      <c r="EI144" s="7">
        <f>ROUND(1168.84,2)</f>
        <v>1168.8399999999999</v>
      </c>
      <c r="EJ144" s="6"/>
      <c r="EK144" s="7">
        <f>ROUND(330.5,2)</f>
        <v>330.5</v>
      </c>
      <c r="EL144" s="6"/>
      <c r="EM144" s="6"/>
      <c r="EN144" s="7">
        <f>ROUND(395.969999999999,2)</f>
        <v>395.97</v>
      </c>
      <c r="EO144" s="7">
        <f>ROUND(72.2,2)</f>
        <v>72.2</v>
      </c>
      <c r="EP144" s="7">
        <f>ROUND(237.31,2)</f>
        <v>237.31</v>
      </c>
      <c r="EQ144" s="7">
        <f>ROUND(1485.77,2)</f>
        <v>1485.77</v>
      </c>
      <c r="ER144" s="6"/>
      <c r="ES144" s="6"/>
      <c r="ET144" s="6"/>
      <c r="EU144" s="6"/>
      <c r="EV144" s="7">
        <f>ROUND(500,2)</f>
        <v>500</v>
      </c>
      <c r="EW144" s="6"/>
      <c r="EX144" s="6"/>
      <c r="EY144" s="6"/>
      <c r="EZ144" s="6"/>
      <c r="FA144" s="6"/>
      <c r="FB144" s="7">
        <f>ROUND(320.9,2)</f>
        <v>320.89999999999998</v>
      </c>
      <c r="FC144" s="6"/>
      <c r="FD144" s="7">
        <f>ROUND(775.01,2)</f>
        <v>775.01</v>
      </c>
      <c r="FE144" s="6"/>
      <c r="FF144" s="6"/>
      <c r="FG144" s="6"/>
      <c r="FH144" s="6"/>
      <c r="FI144" s="6"/>
      <c r="FJ144" s="7">
        <f>ROUND(975,2)</f>
        <v>975</v>
      </c>
      <c r="FK144" s="6"/>
      <c r="FL144" s="6"/>
      <c r="FM144" s="6"/>
      <c r="FN144" s="6"/>
      <c r="FO144" s="6"/>
      <c r="FP144" s="6"/>
      <c r="FQ144" s="6"/>
      <c r="FR144" s="6"/>
      <c r="FS144" s="6"/>
      <c r="FT144" s="7">
        <f>ROUND(3000,2)</f>
        <v>3000</v>
      </c>
      <c r="FU144" s="6"/>
      <c r="FV144" s="6"/>
      <c r="FW144" s="6"/>
      <c r="FX144" s="7">
        <f>ROUND(801.12,2)</f>
        <v>801.12</v>
      </c>
      <c r="FY144" s="7">
        <f>ROUND(96142.4999999999,2)</f>
        <v>96142.5</v>
      </c>
    </row>
    <row r="145" spans="1:181" x14ac:dyDescent="0.3">
      <c r="A145" s="4" t="s">
        <v>207</v>
      </c>
      <c r="B145" s="5" t="s">
        <v>1029</v>
      </c>
      <c r="C145" s="5" t="s">
        <v>181</v>
      </c>
      <c r="D145" s="5" t="s">
        <v>196</v>
      </c>
      <c r="E145" s="5" t="s">
        <v>0</v>
      </c>
      <c r="F145" s="5" t="s">
        <v>0</v>
      </c>
      <c r="G145" s="5" t="s">
        <v>183</v>
      </c>
      <c r="H145" s="8">
        <v>33.380000000000003</v>
      </c>
      <c r="I145" s="7">
        <f>ROUND(80614.18,2)</f>
        <v>80614.179999999993</v>
      </c>
      <c r="J145" s="6"/>
      <c r="K145" s="6"/>
      <c r="L145" s="6"/>
      <c r="M145" s="6"/>
      <c r="N145" s="7">
        <f>ROUND(1416.72999999999,2)</f>
        <v>1416.73</v>
      </c>
      <c r="O145" s="6"/>
      <c r="P145" s="6"/>
      <c r="Q145" s="7">
        <f>ROUND(200.01,2)</f>
        <v>200.01</v>
      </c>
      <c r="R145" s="6"/>
      <c r="S145" s="6"/>
      <c r="T145" s="6"/>
      <c r="U145" s="6"/>
      <c r="V145" s="6"/>
      <c r="W145" s="6"/>
      <c r="X145" s="6"/>
      <c r="Y145" s="6"/>
      <c r="Z145" s="7">
        <f>ROUND(0.53,2)</f>
        <v>0.53</v>
      </c>
      <c r="AA145" s="6"/>
      <c r="AB145" s="6"/>
      <c r="AC145" s="6"/>
      <c r="AD145" s="6"/>
      <c r="AE145" s="7">
        <f>ROUND(341.809999999999,2)</f>
        <v>341.81</v>
      </c>
      <c r="AF145" s="6"/>
      <c r="AG145" s="7">
        <f>ROUND(0.52,2)</f>
        <v>0.52</v>
      </c>
      <c r="AH145" s="6"/>
      <c r="AI145" s="6"/>
      <c r="AJ145" s="6"/>
      <c r="AK145" s="6"/>
      <c r="AL145" s="6"/>
      <c r="AM145" s="6"/>
      <c r="AN145" s="6"/>
      <c r="AO145" s="6"/>
      <c r="AP145" s="7">
        <f>ROUND(53.33,2)</f>
        <v>53.33</v>
      </c>
      <c r="AQ145" s="6"/>
      <c r="AR145" s="6"/>
      <c r="AS145" s="6"/>
      <c r="AT145" s="6"/>
      <c r="AU145" s="7">
        <f>ROUND(67.97,2)</f>
        <v>67.97</v>
      </c>
      <c r="AV145" s="7">
        <f>ROUND(0.03,2)</f>
        <v>0.03</v>
      </c>
      <c r="AW145" s="7">
        <f>ROUND(21.51,2)</f>
        <v>21.51</v>
      </c>
      <c r="AX145" s="7">
        <f>ROUND(34.49,2)</f>
        <v>34.49</v>
      </c>
      <c r="AY145" s="7">
        <f>ROUND(50.15,2)</f>
        <v>50.15</v>
      </c>
      <c r="AZ145" s="7">
        <f>ROUND(13.85,2)</f>
        <v>13.85</v>
      </c>
      <c r="BA145" s="6"/>
      <c r="BB145" s="7">
        <f>ROUND(24,2)</f>
        <v>24</v>
      </c>
      <c r="BC145" s="6"/>
      <c r="BD145" s="7">
        <f t="shared" ref="BD145:BD156" si="6">ROUND(8,2)</f>
        <v>8</v>
      </c>
      <c r="BE145" s="7">
        <f>ROUND(3.92,2)</f>
        <v>3.92</v>
      </c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7">
        <f>ROUND(66.88,2)</f>
        <v>66.88</v>
      </c>
      <c r="BT145" s="7">
        <f>ROUND(4.5,2)</f>
        <v>4.5</v>
      </c>
      <c r="BU145" s="6"/>
      <c r="BV145" s="6"/>
      <c r="BW145" s="6"/>
      <c r="BX145" s="6"/>
      <c r="BY145" s="7">
        <f>ROUND(16,2)</f>
        <v>16</v>
      </c>
      <c r="BZ145" s="7">
        <f>ROUND(24,2)</f>
        <v>24</v>
      </c>
      <c r="CA145" s="7">
        <f>ROUND(80.15,2)</f>
        <v>80.150000000000006</v>
      </c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7">
        <f>ROUND(2428.38,2)</f>
        <v>2428.38</v>
      </c>
      <c r="CR145" s="6"/>
      <c r="CS145" s="6"/>
      <c r="CT145" s="6"/>
      <c r="CU145" s="6"/>
      <c r="CV145" s="7">
        <f>ROUND(46370.3199999999,2)</f>
        <v>46370.32</v>
      </c>
      <c r="CW145" s="6"/>
      <c r="CX145" s="6"/>
      <c r="CY145" s="7">
        <f>ROUND(9795.07999999999,2)</f>
        <v>9795.08</v>
      </c>
      <c r="CZ145" s="6"/>
      <c r="DA145" s="6"/>
      <c r="DB145" s="6"/>
      <c r="DC145" s="6"/>
      <c r="DD145" s="6"/>
      <c r="DE145" s="6"/>
      <c r="DF145" s="6"/>
      <c r="DG145" s="6"/>
      <c r="DH145" s="7">
        <f>ROUND(35.03,2)</f>
        <v>35.03</v>
      </c>
      <c r="DI145" s="6"/>
      <c r="DJ145" s="6"/>
      <c r="DK145" s="6"/>
      <c r="DL145" s="6"/>
      <c r="DM145" s="6"/>
      <c r="DN145" s="7">
        <f>ROUND(11047.68,2)</f>
        <v>11047.68</v>
      </c>
      <c r="DO145" s="6"/>
      <c r="DP145" s="7">
        <f>ROUND(25.15,2)</f>
        <v>25.15</v>
      </c>
      <c r="DQ145" s="6"/>
      <c r="DR145" s="6"/>
      <c r="DS145" s="6"/>
      <c r="DT145" s="6"/>
      <c r="DU145" s="6"/>
      <c r="DV145" s="6"/>
      <c r="DW145" s="6"/>
      <c r="DX145" s="6"/>
      <c r="DY145" s="7">
        <f>ROUND(1764.35,2)</f>
        <v>1764.35</v>
      </c>
      <c r="DZ145" s="6"/>
      <c r="EA145" s="6"/>
      <c r="EB145" s="6"/>
      <c r="EC145" s="6"/>
      <c r="ED145" s="7">
        <f>ROUND(2214.49,2)</f>
        <v>2214.4899999999998</v>
      </c>
      <c r="EE145" s="7">
        <f>ROUND(1.49,2)</f>
        <v>1.49</v>
      </c>
      <c r="EF145" s="7">
        <f>ROUND(705.3,2)</f>
        <v>705.3</v>
      </c>
      <c r="EG145" s="7">
        <f>ROUND(1699.17999999999,2)</f>
        <v>1699.18</v>
      </c>
      <c r="EH145" s="7">
        <f>ROUND(1631.45,2)</f>
        <v>1631.45</v>
      </c>
      <c r="EI145" s="7">
        <f>ROUND(671.99,2)</f>
        <v>671.99</v>
      </c>
      <c r="EJ145" s="6"/>
      <c r="EK145" s="7">
        <f>ROUND(770.16,2)</f>
        <v>770.16</v>
      </c>
      <c r="EL145" s="6"/>
      <c r="EM145" s="6"/>
      <c r="EN145" s="7">
        <f t="shared" ref="EN145:EN156" si="7">ROUND(256.72,2)</f>
        <v>256.72000000000003</v>
      </c>
      <c r="EO145" s="7">
        <f>ROUND(125.79,2)</f>
        <v>125.79</v>
      </c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7">
        <f>ROUND(500,2)</f>
        <v>500</v>
      </c>
      <c r="FK145" s="6"/>
      <c r="FL145" s="6"/>
      <c r="FM145" s="6"/>
      <c r="FN145" s="6"/>
      <c r="FO145" s="6"/>
      <c r="FP145" s="6"/>
      <c r="FQ145" s="6"/>
      <c r="FR145" s="6"/>
      <c r="FS145" s="6"/>
      <c r="FT145" s="7">
        <f>ROUND(3000,2)</f>
        <v>3000</v>
      </c>
      <c r="FU145" s="6"/>
      <c r="FV145" s="6"/>
      <c r="FW145" s="6"/>
      <c r="FX145" s="6"/>
      <c r="FY145" s="7">
        <f>ROUND(80614.18,2)</f>
        <v>80614.179999999993</v>
      </c>
    </row>
    <row r="146" spans="1:181" x14ac:dyDescent="0.3">
      <c r="A146" s="4" t="s">
        <v>208</v>
      </c>
      <c r="B146" s="5" t="s">
        <v>1029</v>
      </c>
      <c r="C146" s="5" t="s">
        <v>181</v>
      </c>
      <c r="D146" s="5" t="s">
        <v>209</v>
      </c>
      <c r="E146" s="5" t="s">
        <v>210</v>
      </c>
      <c r="F146" s="5" t="s">
        <v>0</v>
      </c>
      <c r="G146" s="5" t="s">
        <v>183</v>
      </c>
      <c r="H146" s="8">
        <v>33.04</v>
      </c>
      <c r="I146" s="7">
        <f>ROUND(53641.4799999999,2)</f>
        <v>53641.48</v>
      </c>
      <c r="J146" s="6"/>
      <c r="K146" s="6"/>
      <c r="L146" s="6"/>
      <c r="M146" s="6"/>
      <c r="N146" s="7">
        <f>ROUND(1035.77999999999,2)</f>
        <v>1035.78</v>
      </c>
      <c r="O146" s="6"/>
      <c r="P146" s="6"/>
      <c r="Q146" s="7">
        <f>ROUND(75.62,2)</f>
        <v>75.62</v>
      </c>
      <c r="R146" s="6"/>
      <c r="S146" s="6"/>
      <c r="T146" s="6"/>
      <c r="U146" s="6"/>
      <c r="V146" s="7">
        <f>ROUND(12.57,2)</f>
        <v>12.57</v>
      </c>
      <c r="W146" s="7">
        <f>ROUND(4.47,2)</f>
        <v>4.47</v>
      </c>
      <c r="X146" s="6"/>
      <c r="Y146" s="6"/>
      <c r="Z146" s="6"/>
      <c r="AA146" s="6"/>
      <c r="AB146" s="6"/>
      <c r="AC146" s="6"/>
      <c r="AD146" s="6"/>
      <c r="AE146" s="7">
        <f>ROUND(125.839999999999,2)</f>
        <v>125.84</v>
      </c>
      <c r="AF146" s="6"/>
      <c r="AG146" s="7">
        <f>ROUND(4,2)</f>
        <v>4</v>
      </c>
      <c r="AH146" s="6"/>
      <c r="AI146" s="6"/>
      <c r="AJ146" s="6"/>
      <c r="AK146" s="6"/>
      <c r="AL146" s="6"/>
      <c r="AM146" s="6"/>
      <c r="AN146" s="6"/>
      <c r="AO146" s="6"/>
      <c r="AP146" s="7">
        <f>ROUND(179.98,2)</f>
        <v>179.98</v>
      </c>
      <c r="AQ146" s="6"/>
      <c r="AR146" s="6"/>
      <c r="AS146" s="6"/>
      <c r="AT146" s="6"/>
      <c r="AU146" s="7">
        <f>ROUND(53.08,2)</f>
        <v>53.08</v>
      </c>
      <c r="AV146" s="7">
        <f>ROUND(0.92,2)</f>
        <v>0.92</v>
      </c>
      <c r="AW146" s="7">
        <f>ROUND(16,2)</f>
        <v>16</v>
      </c>
      <c r="AX146" s="6"/>
      <c r="AY146" s="7">
        <f>ROUND(18,2)</f>
        <v>18</v>
      </c>
      <c r="AZ146" s="6"/>
      <c r="BA146" s="6"/>
      <c r="BB146" s="7">
        <f>ROUND(40,2)</f>
        <v>40</v>
      </c>
      <c r="BC146" s="6"/>
      <c r="BD146" s="7">
        <f t="shared" si="6"/>
        <v>8</v>
      </c>
      <c r="BE146" s="7">
        <f>ROUND(1.42,2)</f>
        <v>1.42</v>
      </c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7">
        <f>ROUND(4.8,2)</f>
        <v>4.8</v>
      </c>
      <c r="BU146" s="6"/>
      <c r="BV146" s="6"/>
      <c r="BW146" s="6"/>
      <c r="BX146" s="7">
        <f>ROUND(82,2)</f>
        <v>82</v>
      </c>
      <c r="BY146" s="6"/>
      <c r="BZ146" s="7">
        <f>ROUND(288,2)</f>
        <v>288</v>
      </c>
      <c r="CA146" s="7">
        <f>ROUND(58,2)</f>
        <v>58</v>
      </c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7">
        <f>ROUND(24,2)</f>
        <v>24</v>
      </c>
      <c r="CQ146" s="7">
        <f>ROUND(2032.48,2)</f>
        <v>2032.48</v>
      </c>
      <c r="CR146" s="6"/>
      <c r="CS146" s="6"/>
      <c r="CT146" s="6"/>
      <c r="CU146" s="6"/>
      <c r="CV146" s="7">
        <f>ROUND(33631.14,2)</f>
        <v>33631.14</v>
      </c>
      <c r="CW146" s="6"/>
      <c r="CX146" s="6"/>
      <c r="CY146" s="7">
        <f>ROUND(3651.02999999999,2)</f>
        <v>3651.03</v>
      </c>
      <c r="CZ146" s="6"/>
      <c r="DA146" s="6"/>
      <c r="DB146" s="6"/>
      <c r="DC146" s="6"/>
      <c r="DD146" s="7">
        <f>ROUND(403.37,2)</f>
        <v>403.37</v>
      </c>
      <c r="DE146" s="7">
        <f>ROUND(215.16,2)</f>
        <v>215.16</v>
      </c>
      <c r="DF146" s="6"/>
      <c r="DG146" s="6"/>
      <c r="DH146" s="6"/>
      <c r="DI146" s="6"/>
      <c r="DJ146" s="6"/>
      <c r="DK146" s="6"/>
      <c r="DL146" s="6"/>
      <c r="DM146" s="6"/>
      <c r="DN146" s="7">
        <f>ROUND(4101.30999999999,2)</f>
        <v>4101.3100000000004</v>
      </c>
      <c r="DO146" s="6"/>
      <c r="DP146" s="7">
        <f>ROUND(197.1,2)</f>
        <v>197.1</v>
      </c>
      <c r="DQ146" s="6"/>
      <c r="DR146" s="6"/>
      <c r="DS146" s="6"/>
      <c r="DT146" s="6"/>
      <c r="DU146" s="6"/>
      <c r="DV146" s="6"/>
      <c r="DW146" s="6"/>
      <c r="DX146" s="6"/>
      <c r="DY146" s="7">
        <f>ROUND(5855.7,2)</f>
        <v>5855.7</v>
      </c>
      <c r="DZ146" s="6"/>
      <c r="EA146" s="6"/>
      <c r="EB146" s="6"/>
      <c r="EC146" s="6"/>
      <c r="ED146" s="7">
        <f>ROUND(1719.73,2)</f>
        <v>1719.73</v>
      </c>
      <c r="EE146" s="7">
        <f>ROUND(45.61,2)</f>
        <v>45.61</v>
      </c>
      <c r="EF146" s="7">
        <f>ROUND(513.44,2)</f>
        <v>513.44000000000005</v>
      </c>
      <c r="EG146" s="6"/>
      <c r="EH146" s="7">
        <f>ROUND(577.62,2)</f>
        <v>577.62</v>
      </c>
      <c r="EI146" s="6"/>
      <c r="EJ146" s="6"/>
      <c r="EK146" s="7">
        <f>ROUND(1283.6,2)</f>
        <v>1283.5999999999999</v>
      </c>
      <c r="EL146" s="6"/>
      <c r="EM146" s="6"/>
      <c r="EN146" s="7">
        <f t="shared" si="7"/>
        <v>256.72000000000003</v>
      </c>
      <c r="EO146" s="7">
        <f>ROUND(46.93,2)</f>
        <v>46.93</v>
      </c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7">
        <f>ROUND(350,2)</f>
        <v>350</v>
      </c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7">
        <f>ROUND(793.02,2)</f>
        <v>793.02</v>
      </c>
      <c r="FY146" s="7">
        <f>ROUND(53641.4799999999,2)</f>
        <v>53641.48</v>
      </c>
    </row>
    <row r="147" spans="1:181" x14ac:dyDescent="0.3">
      <c r="A147" s="4" t="s">
        <v>211</v>
      </c>
      <c r="B147" s="5" t="s">
        <v>1029</v>
      </c>
      <c r="C147" s="5" t="s">
        <v>181</v>
      </c>
      <c r="D147" s="5" t="s">
        <v>212</v>
      </c>
      <c r="E147" s="5" t="s">
        <v>213</v>
      </c>
      <c r="F147" s="5" t="s">
        <v>0</v>
      </c>
      <c r="G147" s="5" t="s">
        <v>183</v>
      </c>
      <c r="H147" s="8">
        <v>33.380000000000003</v>
      </c>
      <c r="I147" s="7">
        <f>ROUND(60226.27,2)</f>
        <v>60226.27</v>
      </c>
      <c r="J147" s="6"/>
      <c r="K147" s="6"/>
      <c r="L147" s="6"/>
      <c r="M147" s="6"/>
      <c r="N147" s="7">
        <f>ROUND(1424.45999999999,2)</f>
        <v>1424.46</v>
      </c>
      <c r="O147" s="6"/>
      <c r="P147" s="6"/>
      <c r="Q147" s="7">
        <f>ROUND(67.9199999999999,2)</f>
        <v>67.92</v>
      </c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7">
        <f>ROUND(52,2)</f>
        <v>52</v>
      </c>
      <c r="AV147" s="6"/>
      <c r="AW147" s="7">
        <f>ROUND(32,2)</f>
        <v>32</v>
      </c>
      <c r="AX147" s="6"/>
      <c r="AY147" s="7">
        <f>ROUND(101.63,2)</f>
        <v>101.63</v>
      </c>
      <c r="AZ147" s="7">
        <f>ROUND(2.37,2)</f>
        <v>2.37</v>
      </c>
      <c r="BA147" s="6"/>
      <c r="BB147" s="7">
        <f>ROUND(16,2)</f>
        <v>16</v>
      </c>
      <c r="BC147" s="6"/>
      <c r="BD147" s="7">
        <f t="shared" si="6"/>
        <v>8</v>
      </c>
      <c r="BE147" s="7">
        <f>ROUND(3.48,2)</f>
        <v>3.48</v>
      </c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7">
        <f>ROUND(280,2)</f>
        <v>280</v>
      </c>
      <c r="BT147" s="7">
        <f>ROUND(0.9,2)</f>
        <v>0.9</v>
      </c>
      <c r="BU147" s="7">
        <f>ROUND(64,2)</f>
        <v>64</v>
      </c>
      <c r="BV147" s="6"/>
      <c r="BW147" s="7">
        <f>ROUND(16,2)</f>
        <v>16</v>
      </c>
      <c r="BX147" s="7">
        <f>ROUND(88,2)</f>
        <v>88</v>
      </c>
      <c r="BY147" s="7">
        <f>ROUND(16,2)</f>
        <v>16</v>
      </c>
      <c r="BZ147" s="6"/>
      <c r="CA147" s="7">
        <f>ROUND(72,2)</f>
        <v>72</v>
      </c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7">
        <f>ROUND(2244.75999999999,2)</f>
        <v>2244.7600000000002</v>
      </c>
      <c r="CR147" s="6"/>
      <c r="CS147" s="6"/>
      <c r="CT147" s="6"/>
      <c r="CU147" s="6"/>
      <c r="CV147" s="7">
        <f>ROUND(46326.2399999999,2)</f>
        <v>46326.239999999998</v>
      </c>
      <c r="CW147" s="6"/>
      <c r="CX147" s="6"/>
      <c r="CY147" s="7">
        <f>ROUND(3312.72,2)</f>
        <v>3312.72</v>
      </c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7">
        <f>ROUND(1684.04,2)</f>
        <v>1684.04</v>
      </c>
      <c r="EE147" s="6"/>
      <c r="EF147" s="7">
        <f>ROUND(1026.88,2)</f>
        <v>1026.8800000000001</v>
      </c>
      <c r="EG147" s="6"/>
      <c r="EH147" s="7">
        <f>ROUND(3292.02999999999,2)</f>
        <v>3292.03</v>
      </c>
      <c r="EI147" s="7">
        <f>ROUND(114.08,2)</f>
        <v>114.08</v>
      </c>
      <c r="EJ147" s="6"/>
      <c r="EK147" s="7">
        <f>ROUND(513.44,2)</f>
        <v>513.44000000000005</v>
      </c>
      <c r="EL147" s="6"/>
      <c r="EM147" s="6"/>
      <c r="EN147" s="7">
        <f t="shared" si="7"/>
        <v>256.72000000000003</v>
      </c>
      <c r="EO147" s="7">
        <f>ROUND(111.68,2)</f>
        <v>111.68</v>
      </c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7">
        <f>ROUND(513.44,2)</f>
        <v>513.44000000000005</v>
      </c>
      <c r="FG147" s="6"/>
      <c r="FH147" s="6"/>
      <c r="FI147" s="6"/>
      <c r="FJ147" s="7">
        <f>ROUND(75,2)</f>
        <v>75</v>
      </c>
      <c r="FK147" s="6"/>
      <c r="FL147" s="6"/>
      <c r="FM147" s="6"/>
      <c r="FN147" s="6"/>
      <c r="FO147" s="6"/>
      <c r="FP147" s="6"/>
      <c r="FQ147" s="6"/>
      <c r="FR147" s="6"/>
      <c r="FS147" s="6"/>
      <c r="FT147" s="7">
        <f t="shared" ref="FT147:FT158" si="8">ROUND(3000,2)</f>
        <v>3000</v>
      </c>
      <c r="FU147" s="6"/>
      <c r="FV147" s="6"/>
      <c r="FW147" s="6"/>
      <c r="FX147" s="6"/>
      <c r="FY147" s="7">
        <f>ROUND(60226.27,2)</f>
        <v>60226.27</v>
      </c>
    </row>
    <row r="148" spans="1:181" x14ac:dyDescent="0.3">
      <c r="A148" s="4" t="s">
        <v>214</v>
      </c>
      <c r="B148" s="5" t="s">
        <v>1029</v>
      </c>
      <c r="C148" s="5" t="s">
        <v>181</v>
      </c>
      <c r="D148" s="5" t="s">
        <v>215</v>
      </c>
      <c r="E148" s="5" t="s">
        <v>0</v>
      </c>
      <c r="F148" s="5" t="s">
        <v>0</v>
      </c>
      <c r="G148" s="5" t="s">
        <v>183</v>
      </c>
      <c r="H148" s="8">
        <v>33.380000000000003</v>
      </c>
      <c r="I148" s="7">
        <f>ROUND(103606.89,2)</f>
        <v>103606.89</v>
      </c>
      <c r="J148" s="6"/>
      <c r="K148" s="6"/>
      <c r="L148" s="6"/>
      <c r="M148" s="6"/>
      <c r="N148" s="7">
        <f>ROUND(1878.22999999999,2)</f>
        <v>1878.23</v>
      </c>
      <c r="O148" s="6"/>
      <c r="P148" s="6"/>
      <c r="Q148" s="7">
        <f>ROUND(554.249999999999,2)</f>
        <v>554.25</v>
      </c>
      <c r="R148" s="6"/>
      <c r="S148" s="6"/>
      <c r="T148" s="6"/>
      <c r="U148" s="7">
        <f>ROUND(0.17,2)</f>
        <v>0.17</v>
      </c>
      <c r="V148" s="7">
        <f>ROUND(5.7,2)</f>
        <v>5.7</v>
      </c>
      <c r="W148" s="7">
        <f>ROUND(3.88,2)</f>
        <v>3.88</v>
      </c>
      <c r="X148" s="7">
        <f>ROUND(2.51,2)</f>
        <v>2.5099999999999998</v>
      </c>
      <c r="Y148" s="7">
        <f>ROUND(0.24,2)</f>
        <v>0.24</v>
      </c>
      <c r="Z148" s="7">
        <f>ROUND(0.05,2)</f>
        <v>0.05</v>
      </c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7">
        <f>ROUND(42.29,2)</f>
        <v>42.29</v>
      </c>
      <c r="AQ148" s="6"/>
      <c r="AR148" s="7">
        <f>ROUND(36.3799999999999,2)</f>
        <v>36.380000000000003</v>
      </c>
      <c r="AS148" s="6"/>
      <c r="AT148" s="6"/>
      <c r="AU148" s="7">
        <f>ROUND(68,2)</f>
        <v>68</v>
      </c>
      <c r="AV148" s="6"/>
      <c r="AW148" s="7">
        <f>ROUND(29.08,2)</f>
        <v>29.08</v>
      </c>
      <c r="AX148" s="7">
        <f>ROUND(2.92,2)</f>
        <v>2.92</v>
      </c>
      <c r="AY148" s="7">
        <f>ROUND(86.17,2)</f>
        <v>86.17</v>
      </c>
      <c r="AZ148" s="7">
        <f>ROUND(1.83,2)</f>
        <v>1.83</v>
      </c>
      <c r="BA148" s="6"/>
      <c r="BB148" s="7">
        <f>ROUND(32,2)</f>
        <v>32</v>
      </c>
      <c r="BC148" s="6"/>
      <c r="BD148" s="7">
        <f t="shared" si="6"/>
        <v>8</v>
      </c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7">
        <f>ROUND(5,2)</f>
        <v>5</v>
      </c>
      <c r="BU148" s="6"/>
      <c r="BV148" s="6"/>
      <c r="BW148" s="6"/>
      <c r="BX148" s="6"/>
      <c r="BY148" s="6"/>
      <c r="BZ148" s="6"/>
      <c r="CA148" s="7">
        <f>ROUND(8,2)</f>
        <v>8</v>
      </c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7">
        <f>ROUND(2764.7,2)</f>
        <v>2764.7</v>
      </c>
      <c r="CR148" s="6"/>
      <c r="CS148" s="6"/>
      <c r="CT148" s="6"/>
      <c r="CU148" s="6"/>
      <c r="CV148" s="7">
        <f>ROUND(61203.1399999999,2)</f>
        <v>61203.14</v>
      </c>
      <c r="CW148" s="6"/>
      <c r="CX148" s="6"/>
      <c r="CY148" s="7">
        <f>ROUND(27116.23,2)</f>
        <v>27116.23</v>
      </c>
      <c r="CZ148" s="6"/>
      <c r="DA148" s="6"/>
      <c r="DB148" s="6"/>
      <c r="DC148" s="7">
        <f>ROUND(11.24,2)</f>
        <v>11.24</v>
      </c>
      <c r="DD148" s="7">
        <f>ROUND(191.329999999999,2)</f>
        <v>191.33</v>
      </c>
      <c r="DE148" s="7">
        <f>ROUND(193.22,2)</f>
        <v>193.22</v>
      </c>
      <c r="DF148" s="7">
        <f>ROUND(81.43,2)</f>
        <v>81.430000000000007</v>
      </c>
      <c r="DG148" s="7">
        <f>ROUND(11.58,2)</f>
        <v>11.58</v>
      </c>
      <c r="DH148" s="7">
        <f>ROUND(3.31,2)</f>
        <v>3.31</v>
      </c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7">
        <f>ROUND(1392.83,2)</f>
        <v>1392.83</v>
      </c>
      <c r="DZ148" s="6"/>
      <c r="EA148" s="7">
        <f>ROUND(1758.45,2)</f>
        <v>1758.45</v>
      </c>
      <c r="EB148" s="6"/>
      <c r="EC148" s="6"/>
      <c r="ED148" s="7">
        <f>ROUND(2215.48,2)</f>
        <v>2215.48</v>
      </c>
      <c r="EE148" s="6"/>
      <c r="EF148" s="7">
        <f>ROUND(948.54,2)</f>
        <v>948.54</v>
      </c>
      <c r="EG148" s="7">
        <f>ROUND(140.55,2)</f>
        <v>140.55000000000001</v>
      </c>
      <c r="EH148" s="7">
        <f>ROUND(2832.56,2)</f>
        <v>2832.56</v>
      </c>
      <c r="EI148" s="7">
        <f>ROUND(90.72,2)</f>
        <v>90.72</v>
      </c>
      <c r="EJ148" s="6"/>
      <c r="EK148" s="7">
        <f>ROUND(1034.56,2)</f>
        <v>1034.56</v>
      </c>
      <c r="EL148" s="6"/>
      <c r="EM148" s="6"/>
      <c r="EN148" s="7">
        <f t="shared" si="7"/>
        <v>256.72000000000003</v>
      </c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7">
        <f>ROUND(1125,2)</f>
        <v>1125</v>
      </c>
      <c r="FK148" s="6"/>
      <c r="FL148" s="6"/>
      <c r="FM148" s="6"/>
      <c r="FN148" s="6"/>
      <c r="FO148" s="6"/>
      <c r="FP148" s="6"/>
      <c r="FQ148" s="6"/>
      <c r="FR148" s="6"/>
      <c r="FS148" s="6"/>
      <c r="FT148" s="7">
        <f t="shared" si="8"/>
        <v>3000</v>
      </c>
      <c r="FU148" s="6"/>
      <c r="FV148" s="6"/>
      <c r="FW148" s="6"/>
      <c r="FX148" s="6"/>
      <c r="FY148" s="7">
        <f>ROUND(103606.89,2)</f>
        <v>103606.89</v>
      </c>
    </row>
    <row r="149" spans="1:181" x14ac:dyDescent="0.3">
      <c r="A149" s="4" t="s">
        <v>216</v>
      </c>
      <c r="B149" s="5" t="s">
        <v>1029</v>
      </c>
      <c r="C149" s="5" t="s">
        <v>181</v>
      </c>
      <c r="D149" s="5" t="s">
        <v>217</v>
      </c>
      <c r="E149" s="5" t="s">
        <v>0</v>
      </c>
      <c r="F149" s="5" t="s">
        <v>0</v>
      </c>
      <c r="G149" s="5" t="s">
        <v>183</v>
      </c>
      <c r="H149" s="8">
        <v>33.380000000000003</v>
      </c>
      <c r="I149" s="7">
        <f>ROUND(58659.4899999999,2)</f>
        <v>58659.49</v>
      </c>
      <c r="J149" s="6"/>
      <c r="K149" s="6"/>
      <c r="L149" s="6"/>
      <c r="M149" s="6"/>
      <c r="N149" s="7">
        <f>ROUND(926.06,2)</f>
        <v>926.06</v>
      </c>
      <c r="O149" s="6"/>
      <c r="P149" s="6"/>
      <c r="Q149" s="7">
        <f>ROUND(53.4299999999999,2)</f>
        <v>53.43</v>
      </c>
      <c r="R149" s="6"/>
      <c r="S149" s="6"/>
      <c r="T149" s="6"/>
      <c r="U149" s="6"/>
      <c r="V149" s="6"/>
      <c r="W149" s="6"/>
      <c r="X149" s="6"/>
      <c r="Y149" s="6"/>
      <c r="Z149" s="7">
        <f>ROUND(0.25,2)</f>
        <v>0.25</v>
      </c>
      <c r="AA149" s="6"/>
      <c r="AB149" s="6"/>
      <c r="AC149" s="6"/>
      <c r="AD149" s="6"/>
      <c r="AE149" s="7">
        <f>ROUND(69.63,2)</f>
        <v>69.63</v>
      </c>
      <c r="AF149" s="6"/>
      <c r="AG149" s="7">
        <f>ROUND(1.87,2)</f>
        <v>1.87</v>
      </c>
      <c r="AH149" s="6"/>
      <c r="AI149" s="6"/>
      <c r="AJ149" s="6"/>
      <c r="AK149" s="6"/>
      <c r="AL149" s="6"/>
      <c r="AM149" s="6"/>
      <c r="AN149" s="6"/>
      <c r="AO149" s="6"/>
      <c r="AP149" s="7">
        <f>ROUND(257.55,2)</f>
        <v>257.55</v>
      </c>
      <c r="AQ149" s="6"/>
      <c r="AR149" s="6"/>
      <c r="AS149" s="6"/>
      <c r="AT149" s="6"/>
      <c r="AU149" s="7">
        <f>ROUND(59.83,2)</f>
        <v>59.83</v>
      </c>
      <c r="AV149" s="7">
        <f>ROUND(6.16,2)</f>
        <v>6.16</v>
      </c>
      <c r="AW149" s="7">
        <f>ROUND(24.38,2)</f>
        <v>24.38</v>
      </c>
      <c r="AX149" s="7">
        <f>ROUND(7.62,2)</f>
        <v>7.62</v>
      </c>
      <c r="AY149" s="7">
        <f>ROUND(90,2)</f>
        <v>90</v>
      </c>
      <c r="AZ149" s="6"/>
      <c r="BA149" s="6"/>
      <c r="BB149" s="7">
        <f>ROUND(36,2)</f>
        <v>36</v>
      </c>
      <c r="BC149" s="6"/>
      <c r="BD149" s="7">
        <f t="shared" si="6"/>
        <v>8</v>
      </c>
      <c r="BE149" s="6"/>
      <c r="BF149" s="6"/>
      <c r="BG149" s="7">
        <f>ROUND(26,2)</f>
        <v>26</v>
      </c>
      <c r="BH149" s="6"/>
      <c r="BI149" s="6"/>
      <c r="BJ149" s="6"/>
      <c r="BK149" s="6"/>
      <c r="BL149" s="6"/>
      <c r="BM149" s="6"/>
      <c r="BN149" s="6"/>
      <c r="BO149" s="7">
        <f>ROUND(72,2)</f>
        <v>72</v>
      </c>
      <c r="BP149" s="6"/>
      <c r="BQ149" s="7">
        <f>ROUND(20,2)</f>
        <v>20</v>
      </c>
      <c r="BR149" s="6"/>
      <c r="BS149" s="7">
        <f>ROUND(32,2)</f>
        <v>32</v>
      </c>
      <c r="BT149" s="6"/>
      <c r="BU149" s="6"/>
      <c r="BV149" s="6"/>
      <c r="BW149" s="7">
        <f>ROUND(8,2)</f>
        <v>8</v>
      </c>
      <c r="BX149" s="6"/>
      <c r="BY149" s="7">
        <f>ROUND(8,2)</f>
        <v>8</v>
      </c>
      <c r="BZ149" s="6"/>
      <c r="CA149" s="7">
        <f>ROUND(10,2)</f>
        <v>10</v>
      </c>
      <c r="CB149" s="6"/>
      <c r="CC149" s="7">
        <f>ROUND(488,2)</f>
        <v>488</v>
      </c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7">
        <f>ROUND(8,2)</f>
        <v>8</v>
      </c>
      <c r="CQ149" s="7">
        <f>ROUND(2212.78,2)</f>
        <v>2212.7800000000002</v>
      </c>
      <c r="CR149" s="6"/>
      <c r="CS149" s="6"/>
      <c r="CT149" s="6"/>
      <c r="CU149" s="6"/>
      <c r="CV149" s="7">
        <f>ROUND(29993.9699999999,2)</f>
        <v>29993.97</v>
      </c>
      <c r="CW149" s="6"/>
      <c r="CX149" s="6"/>
      <c r="CY149" s="7">
        <f>ROUND(2593.76,2)</f>
        <v>2593.7600000000002</v>
      </c>
      <c r="CZ149" s="6"/>
      <c r="DA149" s="6"/>
      <c r="DB149" s="6"/>
      <c r="DC149" s="6"/>
      <c r="DD149" s="6"/>
      <c r="DE149" s="6"/>
      <c r="DF149" s="6"/>
      <c r="DG149" s="6"/>
      <c r="DH149" s="7">
        <f>ROUND(16.05,2)</f>
        <v>16.05</v>
      </c>
      <c r="DI149" s="6"/>
      <c r="DJ149" s="6"/>
      <c r="DK149" s="6"/>
      <c r="DL149" s="6"/>
      <c r="DM149" s="6"/>
      <c r="DN149" s="7">
        <f>ROUND(2237.08,2)</f>
        <v>2237.08</v>
      </c>
      <c r="DO149" s="6"/>
      <c r="DP149" s="7">
        <f>ROUND(90.0099999999999,2)</f>
        <v>90.01</v>
      </c>
      <c r="DQ149" s="6"/>
      <c r="DR149" s="6"/>
      <c r="DS149" s="6"/>
      <c r="DT149" s="6"/>
      <c r="DU149" s="6"/>
      <c r="DV149" s="6"/>
      <c r="DW149" s="6"/>
      <c r="DX149" s="6"/>
      <c r="DY149" s="7">
        <f>ROUND(8331.06,2)</f>
        <v>8331.06</v>
      </c>
      <c r="DZ149" s="6"/>
      <c r="EA149" s="6"/>
      <c r="EB149" s="6"/>
      <c r="EC149" s="6"/>
      <c r="ED149" s="7">
        <f>ROUND(1939.7,2)</f>
        <v>1939.7</v>
      </c>
      <c r="EE149" s="7">
        <f>ROUND(305.41,2)</f>
        <v>305.41000000000003</v>
      </c>
      <c r="EF149" s="7">
        <f>ROUND(787.92,2)</f>
        <v>787.92</v>
      </c>
      <c r="EG149" s="7">
        <f>ROUND(369.969999999999,2)</f>
        <v>369.97</v>
      </c>
      <c r="EH149" s="7">
        <f>ROUND(2954.1,2)</f>
        <v>2954.1</v>
      </c>
      <c r="EI149" s="6"/>
      <c r="EJ149" s="6"/>
      <c r="EK149" s="7">
        <f>ROUND(1164.84,2)</f>
        <v>1164.8399999999999</v>
      </c>
      <c r="EL149" s="6"/>
      <c r="EM149" s="6"/>
      <c r="EN149" s="7">
        <f t="shared" si="7"/>
        <v>256.72000000000003</v>
      </c>
      <c r="EO149" s="6"/>
      <c r="EP149" s="6"/>
      <c r="EQ149" s="7">
        <f>ROUND(834.34,2)</f>
        <v>834.34</v>
      </c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7">
        <f>ROUND(2400.72,2)</f>
        <v>2400.7199999999998</v>
      </c>
      <c r="FC149" s="6"/>
      <c r="FD149" s="7">
        <f>ROUND(641.8,2)</f>
        <v>641.79999999999995</v>
      </c>
      <c r="FE149" s="6"/>
      <c r="FF149" s="6"/>
      <c r="FG149" s="6"/>
      <c r="FH149" s="6"/>
      <c r="FI149" s="6"/>
      <c r="FJ149" s="7">
        <f>ROUND(475,2)</f>
        <v>475</v>
      </c>
      <c r="FK149" s="6"/>
      <c r="FL149" s="6"/>
      <c r="FM149" s="6"/>
      <c r="FN149" s="6"/>
      <c r="FO149" s="6"/>
      <c r="FP149" s="6"/>
      <c r="FQ149" s="6"/>
      <c r="FR149" s="6"/>
      <c r="FS149" s="6"/>
      <c r="FT149" s="7">
        <f t="shared" si="8"/>
        <v>3000</v>
      </c>
      <c r="FU149" s="6"/>
      <c r="FV149" s="6"/>
      <c r="FW149" s="6"/>
      <c r="FX149" s="7">
        <f>ROUND(267.04,2)</f>
        <v>267.04000000000002</v>
      </c>
      <c r="FY149" s="7">
        <f>ROUND(58659.4899999999,2)</f>
        <v>58659.49</v>
      </c>
    </row>
    <row r="150" spans="1:181" x14ac:dyDescent="0.3">
      <c r="A150" s="4" t="s">
        <v>218</v>
      </c>
      <c r="B150" s="5" t="s">
        <v>1029</v>
      </c>
      <c r="C150" s="5" t="s">
        <v>181</v>
      </c>
      <c r="D150" s="5" t="s">
        <v>219</v>
      </c>
      <c r="E150" s="5" t="s">
        <v>0</v>
      </c>
      <c r="F150" s="5" t="s">
        <v>0</v>
      </c>
      <c r="G150" s="5" t="s">
        <v>183</v>
      </c>
      <c r="H150" s="8">
        <v>33.380000000000003</v>
      </c>
      <c r="I150" s="7">
        <f>ROUND(102455.97,2)</f>
        <v>102455.97</v>
      </c>
      <c r="J150" s="6"/>
      <c r="K150" s="6"/>
      <c r="L150" s="6"/>
      <c r="M150" s="6"/>
      <c r="N150" s="7">
        <f>ROUND(1086.32,2)</f>
        <v>1086.32</v>
      </c>
      <c r="O150" s="6"/>
      <c r="P150" s="6"/>
      <c r="Q150" s="7">
        <f>ROUND(275.23,2)</f>
        <v>275.23</v>
      </c>
      <c r="R150" s="6"/>
      <c r="S150" s="6"/>
      <c r="T150" s="6"/>
      <c r="U150" s="6"/>
      <c r="V150" s="7">
        <f>ROUND(21.95,2)</f>
        <v>21.95</v>
      </c>
      <c r="W150" s="7">
        <f>ROUND(37.1299999999999,2)</f>
        <v>37.130000000000003</v>
      </c>
      <c r="X150" s="7">
        <f>ROUND(1.25,2)</f>
        <v>1.25</v>
      </c>
      <c r="Y150" s="7">
        <f>ROUND(1.08,2)</f>
        <v>1.08</v>
      </c>
      <c r="Z150" s="7">
        <f>ROUND(0.08,2)</f>
        <v>0.08</v>
      </c>
      <c r="AA150" s="6"/>
      <c r="AB150" s="6"/>
      <c r="AC150" s="6"/>
      <c r="AD150" s="6"/>
      <c r="AE150" s="7">
        <f>ROUND(322.85,2)</f>
        <v>322.85000000000002</v>
      </c>
      <c r="AF150" s="6"/>
      <c r="AG150" s="7">
        <f>ROUND(62.91,2)</f>
        <v>62.91</v>
      </c>
      <c r="AH150" s="6"/>
      <c r="AI150" s="6"/>
      <c r="AJ150" s="6"/>
      <c r="AK150" s="6"/>
      <c r="AL150" s="6"/>
      <c r="AM150" s="6"/>
      <c r="AN150" s="6"/>
      <c r="AO150" s="6"/>
      <c r="AP150" s="7">
        <f>ROUND(484.289999999999,2)</f>
        <v>484.29</v>
      </c>
      <c r="AQ150" s="6"/>
      <c r="AR150" s="7">
        <f>ROUND(167.15,2)</f>
        <v>167.15</v>
      </c>
      <c r="AS150" s="6"/>
      <c r="AT150" s="6"/>
      <c r="AU150" s="7">
        <f>ROUND(76,2)</f>
        <v>76</v>
      </c>
      <c r="AV150" s="6"/>
      <c r="AW150" s="7">
        <f>ROUND(34,2)</f>
        <v>34</v>
      </c>
      <c r="AX150" s="6"/>
      <c r="AY150" s="7">
        <f>ROUND(58,2)</f>
        <v>58</v>
      </c>
      <c r="AZ150" s="6"/>
      <c r="BA150" s="6"/>
      <c r="BB150" s="6"/>
      <c r="BC150" s="6"/>
      <c r="BD150" s="7">
        <f t="shared" si="6"/>
        <v>8</v>
      </c>
      <c r="BE150" s="6"/>
      <c r="BF150" s="6"/>
      <c r="BG150" s="6"/>
      <c r="BH150" s="7">
        <f>ROUND(8,2)</f>
        <v>8</v>
      </c>
      <c r="BI150" s="6"/>
      <c r="BJ150" s="6"/>
      <c r="BK150" s="6"/>
      <c r="BL150" s="6"/>
      <c r="BM150" s="6"/>
      <c r="BN150" s="6"/>
      <c r="BO150" s="7">
        <f>ROUND(22.65,2)</f>
        <v>22.65</v>
      </c>
      <c r="BP150" s="6"/>
      <c r="BQ150" s="7">
        <f>ROUND(8.7,2)</f>
        <v>8.6999999999999993</v>
      </c>
      <c r="BR150" s="7">
        <f>ROUND(4.72,2)</f>
        <v>4.72</v>
      </c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7">
        <f>ROUND(32,2)</f>
        <v>32</v>
      </c>
      <c r="CQ150" s="7">
        <f>ROUND(2712.31,2)</f>
        <v>2712.31</v>
      </c>
      <c r="CR150" s="6"/>
      <c r="CS150" s="6"/>
      <c r="CT150" s="6"/>
      <c r="CU150" s="6"/>
      <c r="CV150" s="7">
        <f>ROUND(35357.2,2)</f>
        <v>35357.199999999997</v>
      </c>
      <c r="CW150" s="6"/>
      <c r="CX150" s="6"/>
      <c r="CY150" s="7">
        <f>ROUND(13424.05,2)</f>
        <v>13424.05</v>
      </c>
      <c r="CZ150" s="6"/>
      <c r="DA150" s="6"/>
      <c r="DB150" s="6"/>
      <c r="DC150" s="6"/>
      <c r="DD150" s="7">
        <f>ROUND(708.94,2)</f>
        <v>708.94</v>
      </c>
      <c r="DE150" s="7">
        <f>ROUND(1836.08,2)</f>
        <v>1836.08</v>
      </c>
      <c r="DF150" s="7">
        <f>ROUND(41.31,2)</f>
        <v>41.31</v>
      </c>
      <c r="DG150" s="7">
        <f>ROUND(53.54,2)</f>
        <v>53.54</v>
      </c>
      <c r="DH150" s="7">
        <f>ROUND(5.29,2)</f>
        <v>5.29</v>
      </c>
      <c r="DI150" s="6"/>
      <c r="DJ150" s="6"/>
      <c r="DK150" s="6"/>
      <c r="DL150" s="6"/>
      <c r="DM150" s="6"/>
      <c r="DN150" s="7">
        <f>ROUND(10593.2,2)</f>
        <v>10593.2</v>
      </c>
      <c r="DO150" s="6"/>
      <c r="DP150" s="7">
        <f>ROUND(3087.71,2)</f>
        <v>3087.71</v>
      </c>
      <c r="DQ150" s="6"/>
      <c r="DR150" s="6"/>
      <c r="DS150" s="6"/>
      <c r="DT150" s="6"/>
      <c r="DU150" s="6"/>
      <c r="DV150" s="6"/>
      <c r="DW150" s="6"/>
      <c r="DX150" s="6"/>
      <c r="DY150" s="7">
        <f>ROUND(15843.96,2)</f>
        <v>15843.96</v>
      </c>
      <c r="DZ150" s="6"/>
      <c r="EA150" s="7">
        <f>ROUND(8192.43,2)</f>
        <v>8192.43</v>
      </c>
      <c r="EB150" s="6"/>
      <c r="EC150" s="6"/>
      <c r="ED150" s="7">
        <f>ROUND(2476.7,2)</f>
        <v>2476.6999999999998</v>
      </c>
      <c r="EE150" s="6"/>
      <c r="EF150" s="7">
        <f>ROUND(1108.34,2)</f>
        <v>1108.3399999999999</v>
      </c>
      <c r="EG150" s="6"/>
      <c r="EH150" s="7">
        <f>ROUND(1878.5,2)</f>
        <v>1878.5</v>
      </c>
      <c r="EI150" s="6"/>
      <c r="EJ150" s="6"/>
      <c r="EK150" s="6"/>
      <c r="EL150" s="6"/>
      <c r="EM150" s="6"/>
      <c r="EN150" s="7">
        <f t="shared" si="7"/>
        <v>256.72000000000003</v>
      </c>
      <c r="EO150" s="6"/>
      <c r="EP150" s="6"/>
      <c r="EQ150" s="6"/>
      <c r="ER150" s="6"/>
      <c r="ES150" s="7">
        <f>ROUND(264.4,2)</f>
        <v>264.39999999999998</v>
      </c>
      <c r="ET150" s="6"/>
      <c r="EU150" s="6"/>
      <c r="EV150" s="6"/>
      <c r="EW150" s="6"/>
      <c r="EX150" s="6"/>
      <c r="EY150" s="6"/>
      <c r="EZ150" s="6"/>
      <c r="FA150" s="6"/>
      <c r="FB150" s="7">
        <f>ROUND(737.089999999999,2)</f>
        <v>737.09</v>
      </c>
      <c r="FC150" s="6"/>
      <c r="FD150" s="7">
        <f>ROUND(288.33,2)</f>
        <v>288.33</v>
      </c>
      <c r="FE150" s="7">
        <f>ROUND(234.019999999999,2)</f>
        <v>234.02</v>
      </c>
      <c r="FF150" s="6"/>
      <c r="FG150" s="6"/>
      <c r="FH150" s="6"/>
      <c r="FI150" s="6"/>
      <c r="FJ150" s="7">
        <f>ROUND(2000,2)</f>
        <v>2000</v>
      </c>
      <c r="FK150" s="6"/>
      <c r="FL150" s="6"/>
      <c r="FM150" s="6"/>
      <c r="FN150" s="6"/>
      <c r="FO150" s="6"/>
      <c r="FP150" s="6"/>
      <c r="FQ150" s="6"/>
      <c r="FR150" s="6"/>
      <c r="FS150" s="6"/>
      <c r="FT150" s="7">
        <f t="shared" si="8"/>
        <v>3000</v>
      </c>
      <c r="FU150" s="6"/>
      <c r="FV150" s="6"/>
      <c r="FW150" s="6"/>
      <c r="FX150" s="7">
        <f>ROUND(1068.16,2)</f>
        <v>1068.1600000000001</v>
      </c>
      <c r="FY150" s="7">
        <f>ROUND(102455.97,2)</f>
        <v>102455.97</v>
      </c>
    </row>
    <row r="151" spans="1:181" x14ac:dyDescent="0.3">
      <c r="A151" s="4" t="s">
        <v>220</v>
      </c>
      <c r="B151" s="5" t="s">
        <v>1029</v>
      </c>
      <c r="C151" s="5" t="s">
        <v>181</v>
      </c>
      <c r="D151" s="5" t="s">
        <v>221</v>
      </c>
      <c r="E151" s="5" t="s">
        <v>0</v>
      </c>
      <c r="F151" s="5" t="s">
        <v>0</v>
      </c>
      <c r="G151" s="5" t="s">
        <v>183</v>
      </c>
      <c r="H151" s="8">
        <v>34.04</v>
      </c>
      <c r="I151" s="7">
        <f>ROUND(75049.6399999999,2)</f>
        <v>75049.64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7">
        <f>ROUND(68,2)</f>
        <v>68</v>
      </c>
      <c r="AV151" s="6"/>
      <c r="AW151" s="7">
        <f>ROUND(40,2)</f>
        <v>40</v>
      </c>
      <c r="AX151" s="6"/>
      <c r="AY151" s="7">
        <f>ROUND(240,2)</f>
        <v>240</v>
      </c>
      <c r="AZ151" s="6"/>
      <c r="BA151" s="6"/>
      <c r="BB151" s="6"/>
      <c r="BC151" s="6"/>
      <c r="BD151" s="7">
        <f t="shared" si="6"/>
        <v>8</v>
      </c>
      <c r="BE151" s="6"/>
      <c r="BF151" s="6"/>
      <c r="BG151" s="7">
        <f>ROUND(24,2)</f>
        <v>24</v>
      </c>
      <c r="BH151" s="6"/>
      <c r="BI151" s="6"/>
      <c r="BJ151" s="6"/>
      <c r="BK151" s="6"/>
      <c r="BL151" s="6"/>
      <c r="BM151" s="6"/>
      <c r="BN151" s="6"/>
      <c r="BO151" s="6"/>
      <c r="BP151" s="6"/>
      <c r="BQ151" s="7">
        <f>ROUND(1752,2)</f>
        <v>1752</v>
      </c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7">
        <f>ROUND(2132,2)</f>
        <v>2132</v>
      </c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7">
        <f>ROUND(2220.76,2)</f>
        <v>2220.7600000000002</v>
      </c>
      <c r="EE151" s="6"/>
      <c r="EF151" s="7">
        <f>ROUND(1322.23999999999,2)</f>
        <v>1322.24</v>
      </c>
      <c r="EG151" s="6"/>
      <c r="EH151" s="7">
        <f>ROUND(7871.76,2)</f>
        <v>7871.76</v>
      </c>
      <c r="EI151" s="6"/>
      <c r="EJ151" s="6"/>
      <c r="EK151" s="6"/>
      <c r="EL151" s="6"/>
      <c r="EM151" s="6"/>
      <c r="EN151" s="7">
        <f t="shared" si="7"/>
        <v>256.72000000000003</v>
      </c>
      <c r="EO151" s="6"/>
      <c r="EP151" s="6"/>
      <c r="EQ151" s="7">
        <f>ROUND(770.16,2)</f>
        <v>770.16</v>
      </c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7">
        <f>ROUND(57107.9999999999,2)</f>
        <v>57108</v>
      </c>
      <c r="FE151" s="6"/>
      <c r="FF151" s="6"/>
      <c r="FG151" s="6"/>
      <c r="FH151" s="6"/>
      <c r="FI151" s="6"/>
      <c r="FJ151" s="7">
        <f>ROUND(2500,2)</f>
        <v>2500</v>
      </c>
      <c r="FK151" s="6"/>
      <c r="FL151" s="6"/>
      <c r="FM151" s="6"/>
      <c r="FN151" s="6"/>
      <c r="FO151" s="6"/>
      <c r="FP151" s="6"/>
      <c r="FQ151" s="6"/>
      <c r="FR151" s="6"/>
      <c r="FS151" s="6"/>
      <c r="FT151" s="7">
        <f t="shared" si="8"/>
        <v>3000</v>
      </c>
      <c r="FU151" s="6"/>
      <c r="FV151" s="6"/>
      <c r="FW151" s="6"/>
      <c r="FX151" s="6"/>
      <c r="FY151" s="7">
        <f>ROUND(75049.6399999999,2)</f>
        <v>75049.64</v>
      </c>
    </row>
    <row r="152" spans="1:181" x14ac:dyDescent="0.3">
      <c r="A152" s="4" t="s">
        <v>227</v>
      </c>
      <c r="B152" s="5" t="s">
        <v>1029</v>
      </c>
      <c r="C152" s="5" t="s">
        <v>181</v>
      </c>
      <c r="D152" s="5" t="s">
        <v>194</v>
      </c>
      <c r="E152" s="5" t="s">
        <v>0</v>
      </c>
      <c r="F152" s="5" t="s">
        <v>0</v>
      </c>
      <c r="G152" s="5" t="s">
        <v>183</v>
      </c>
      <c r="H152" s="8">
        <v>33.380000000000003</v>
      </c>
      <c r="I152" s="7">
        <f>ROUND(79419.48,2)</f>
        <v>79419.48</v>
      </c>
      <c r="J152" s="6"/>
      <c r="K152" s="6"/>
      <c r="L152" s="6"/>
      <c r="M152" s="6"/>
      <c r="N152" s="7">
        <f>ROUND(1522.6,2)</f>
        <v>1522.6</v>
      </c>
      <c r="O152" s="6"/>
      <c r="P152" s="6"/>
      <c r="Q152" s="7">
        <f>ROUND(156.13,2)</f>
        <v>156.13</v>
      </c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7">
        <f>ROUND(115.96,2)</f>
        <v>115.96</v>
      </c>
      <c r="AF152" s="6"/>
      <c r="AG152" s="7">
        <f>ROUND(0.77,2)</f>
        <v>0.77</v>
      </c>
      <c r="AH152" s="6"/>
      <c r="AI152" s="6"/>
      <c r="AJ152" s="6"/>
      <c r="AK152" s="6"/>
      <c r="AL152" s="6"/>
      <c r="AM152" s="6"/>
      <c r="AN152" s="6"/>
      <c r="AO152" s="6"/>
      <c r="AP152" s="7">
        <f>ROUND(212.85,2)</f>
        <v>212.85</v>
      </c>
      <c r="AQ152" s="6"/>
      <c r="AR152" s="6"/>
      <c r="AS152" s="6"/>
      <c r="AT152" s="6"/>
      <c r="AU152" s="7">
        <f>ROUND(47.1299999999999,2)</f>
        <v>47.13</v>
      </c>
      <c r="AV152" s="7">
        <f>ROUND(6.87,2)</f>
        <v>6.87</v>
      </c>
      <c r="AW152" s="7">
        <f>ROUND(32,2)</f>
        <v>32</v>
      </c>
      <c r="AX152" s="6"/>
      <c r="AY152" s="7">
        <f>ROUND(65,2)</f>
        <v>65</v>
      </c>
      <c r="AZ152" s="7">
        <f>ROUND(3,2)</f>
        <v>3</v>
      </c>
      <c r="BA152" s="6"/>
      <c r="BB152" s="7">
        <f>ROUND(24,2)</f>
        <v>24</v>
      </c>
      <c r="BC152" s="6"/>
      <c r="BD152" s="7">
        <f t="shared" si="6"/>
        <v>8</v>
      </c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7">
        <f>ROUND(30.25,2)</f>
        <v>30.25</v>
      </c>
      <c r="BP152" s="6"/>
      <c r="BQ152" s="7">
        <f>ROUND(10,2)</f>
        <v>10</v>
      </c>
      <c r="BR152" s="6"/>
      <c r="BS152" s="6"/>
      <c r="BT152" s="7">
        <f>ROUND(3.42,2)</f>
        <v>3.42</v>
      </c>
      <c r="BU152" s="7">
        <f>ROUND(24,2)</f>
        <v>24</v>
      </c>
      <c r="BV152" s="6"/>
      <c r="BW152" s="7">
        <f>ROUND(18,2)</f>
        <v>18</v>
      </c>
      <c r="BX152" s="6"/>
      <c r="BY152" s="6"/>
      <c r="BZ152" s="6"/>
      <c r="CA152" s="7">
        <f>ROUND(24,2)</f>
        <v>24</v>
      </c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7">
        <f>ROUND(2303.97999999999,2)</f>
        <v>2303.98</v>
      </c>
      <c r="CR152" s="6"/>
      <c r="CS152" s="6"/>
      <c r="CT152" s="6"/>
      <c r="CU152" s="6"/>
      <c r="CV152" s="7">
        <f>ROUND(49636.8099999999,2)</f>
        <v>49636.81</v>
      </c>
      <c r="CW152" s="6"/>
      <c r="CX152" s="6"/>
      <c r="CY152" s="7">
        <f>ROUND(7618.65999999999,2)</f>
        <v>7618.66</v>
      </c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7">
        <f>ROUND(3801.12,2)</f>
        <v>3801.12</v>
      </c>
      <c r="DO152" s="6"/>
      <c r="DP152" s="7">
        <f>ROUND(37.06,2)</f>
        <v>37.06</v>
      </c>
      <c r="DQ152" s="6"/>
      <c r="DR152" s="6"/>
      <c r="DS152" s="6"/>
      <c r="DT152" s="6"/>
      <c r="DU152" s="6"/>
      <c r="DV152" s="6"/>
      <c r="DW152" s="6"/>
      <c r="DX152" s="6"/>
      <c r="DY152" s="7">
        <f>ROUND(6896.19,2)</f>
        <v>6896.19</v>
      </c>
      <c r="DZ152" s="6"/>
      <c r="EA152" s="6"/>
      <c r="EB152" s="6"/>
      <c r="EC152" s="6"/>
      <c r="ED152" s="7">
        <f>ROUND(1541.75,2)</f>
        <v>1541.75</v>
      </c>
      <c r="EE152" s="7">
        <f>ROUND(340.61,2)</f>
        <v>340.61</v>
      </c>
      <c r="EF152" s="7">
        <f>ROUND(1057.6,2)</f>
        <v>1057.5999999999999</v>
      </c>
      <c r="EG152" s="6"/>
      <c r="EH152" s="7">
        <f>ROUND(2138.65,2)</f>
        <v>2138.65</v>
      </c>
      <c r="EI152" s="7">
        <f>ROUND(148.73,2)</f>
        <v>148.72999999999999</v>
      </c>
      <c r="EJ152" s="6"/>
      <c r="EK152" s="7">
        <f>ROUND(793.199999999999,2)</f>
        <v>793.2</v>
      </c>
      <c r="EL152" s="6"/>
      <c r="EM152" s="6"/>
      <c r="EN152" s="7">
        <f t="shared" si="7"/>
        <v>256.72000000000003</v>
      </c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7">
        <f>ROUND(990.16,2)</f>
        <v>990.16</v>
      </c>
      <c r="FC152" s="6"/>
      <c r="FD152" s="7">
        <f>ROUND(330.5,2)</f>
        <v>330.5</v>
      </c>
      <c r="FE152" s="6"/>
      <c r="FF152" s="7">
        <f>ROUND(256.72,2)</f>
        <v>256.72000000000003</v>
      </c>
      <c r="FG152" s="6"/>
      <c r="FH152" s="6"/>
      <c r="FI152" s="6"/>
      <c r="FJ152" s="7">
        <f>ROUND(575,2)</f>
        <v>575</v>
      </c>
      <c r="FK152" s="6"/>
      <c r="FL152" s="6"/>
      <c r="FM152" s="6"/>
      <c r="FN152" s="6"/>
      <c r="FO152" s="6"/>
      <c r="FP152" s="6"/>
      <c r="FQ152" s="6"/>
      <c r="FR152" s="6"/>
      <c r="FS152" s="6"/>
      <c r="FT152" s="7">
        <f t="shared" si="8"/>
        <v>3000</v>
      </c>
      <c r="FU152" s="6"/>
      <c r="FV152" s="6"/>
      <c r="FW152" s="6"/>
      <c r="FX152" s="6"/>
      <c r="FY152" s="7">
        <f>ROUND(79419.48,2)</f>
        <v>79419.48</v>
      </c>
    </row>
    <row r="153" spans="1:181" x14ac:dyDescent="0.3">
      <c r="A153" s="4" t="s">
        <v>228</v>
      </c>
      <c r="B153" s="5" t="s">
        <v>1029</v>
      </c>
      <c r="C153" s="5" t="s">
        <v>181</v>
      </c>
      <c r="D153" s="5" t="s">
        <v>229</v>
      </c>
      <c r="E153" s="5" t="s">
        <v>230</v>
      </c>
      <c r="F153" s="5" t="s">
        <v>0</v>
      </c>
      <c r="G153" s="5" t="s">
        <v>183</v>
      </c>
      <c r="H153" s="8">
        <v>34.04</v>
      </c>
      <c r="I153" s="7">
        <f>ROUND(78706.59,2)</f>
        <v>78706.59</v>
      </c>
      <c r="J153" s="6"/>
      <c r="K153" s="6"/>
      <c r="L153" s="6"/>
      <c r="M153" s="6"/>
      <c r="N153" s="7">
        <f>ROUND(1775,2)</f>
        <v>1775</v>
      </c>
      <c r="O153" s="6"/>
      <c r="P153" s="6"/>
      <c r="Q153" s="7">
        <f>ROUND(96.5,2)</f>
        <v>96.5</v>
      </c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7">
        <f>ROUND(66,2)</f>
        <v>66</v>
      </c>
      <c r="AV153" s="7">
        <f>ROUND(2,2)</f>
        <v>2</v>
      </c>
      <c r="AW153" s="7">
        <f>ROUND(57.5,2)</f>
        <v>57.5</v>
      </c>
      <c r="AX153" s="7">
        <f>ROUND(6.5,2)</f>
        <v>6.5</v>
      </c>
      <c r="AY153" s="7">
        <f>ROUND(207,2)</f>
        <v>207</v>
      </c>
      <c r="AZ153" s="7">
        <f>ROUND(1,2)</f>
        <v>1</v>
      </c>
      <c r="BA153" s="6"/>
      <c r="BB153" s="6"/>
      <c r="BC153" s="6"/>
      <c r="BD153" s="7">
        <f t="shared" si="6"/>
        <v>8</v>
      </c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7">
        <f>ROUND(8,2)</f>
        <v>8</v>
      </c>
      <c r="BZ153" s="6"/>
      <c r="CA153" s="7">
        <f>ROUND(16,2)</f>
        <v>16</v>
      </c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7">
        <f>ROUND(8,2)</f>
        <v>8</v>
      </c>
      <c r="CQ153" s="7">
        <f>ROUND(2251.5,2)</f>
        <v>2251.5</v>
      </c>
      <c r="CR153" s="6"/>
      <c r="CS153" s="6"/>
      <c r="CT153" s="6"/>
      <c r="CU153" s="6"/>
      <c r="CV153" s="7">
        <f>ROUND(57922.0399999999,2)</f>
        <v>57922.04</v>
      </c>
      <c r="CW153" s="6"/>
      <c r="CX153" s="6"/>
      <c r="CY153" s="7">
        <f>ROUND(4711.35,2)</f>
        <v>4711.3500000000004</v>
      </c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7">
        <f>ROUND(2154.66,2)</f>
        <v>2154.66</v>
      </c>
      <c r="EE153" s="7">
        <f>ROUND(99.16,2)</f>
        <v>99.16</v>
      </c>
      <c r="EF153" s="7">
        <f>ROUND(1911.75,2)</f>
        <v>1911.75</v>
      </c>
      <c r="EG153" s="7">
        <f>ROUND(329.66,2)</f>
        <v>329.66</v>
      </c>
      <c r="EH153" s="7">
        <f>ROUND(6649.35,2)</f>
        <v>6649.35</v>
      </c>
      <c r="EI153" s="7">
        <f>ROUND(49.58,2)</f>
        <v>49.58</v>
      </c>
      <c r="EJ153" s="6"/>
      <c r="EK153" s="6"/>
      <c r="EL153" s="6"/>
      <c r="EM153" s="6"/>
      <c r="EN153" s="7">
        <f t="shared" si="7"/>
        <v>256.72000000000003</v>
      </c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7">
        <f>ROUND(1350,2)</f>
        <v>1350</v>
      </c>
      <c r="FK153" s="6"/>
      <c r="FL153" s="6"/>
      <c r="FM153" s="6"/>
      <c r="FN153" s="6"/>
      <c r="FO153" s="6"/>
      <c r="FP153" s="6"/>
      <c r="FQ153" s="6"/>
      <c r="FR153" s="6"/>
      <c r="FS153" s="6"/>
      <c r="FT153" s="7">
        <f t="shared" si="8"/>
        <v>3000</v>
      </c>
      <c r="FU153" s="6"/>
      <c r="FV153" s="6"/>
      <c r="FW153" s="6"/>
      <c r="FX153" s="7">
        <f>ROUND(272.32,2)</f>
        <v>272.32</v>
      </c>
      <c r="FY153" s="7">
        <f>ROUND(78706.59,2)</f>
        <v>78706.59</v>
      </c>
    </row>
    <row r="154" spans="1:181" x14ac:dyDescent="0.3">
      <c r="A154" s="4" t="s">
        <v>231</v>
      </c>
      <c r="B154" s="5" t="s">
        <v>1029</v>
      </c>
      <c r="C154" s="5" t="s">
        <v>181</v>
      </c>
      <c r="D154" s="5" t="s">
        <v>232</v>
      </c>
      <c r="E154" s="5" t="s">
        <v>0</v>
      </c>
      <c r="F154" s="5" t="s">
        <v>0</v>
      </c>
      <c r="G154" s="5" t="s">
        <v>183</v>
      </c>
      <c r="H154" s="8">
        <v>33.71</v>
      </c>
      <c r="I154" s="7">
        <f>ROUND(81446.07,2)</f>
        <v>81446.070000000007</v>
      </c>
      <c r="J154" s="6"/>
      <c r="K154" s="6"/>
      <c r="L154" s="6"/>
      <c r="M154" s="6"/>
      <c r="N154" s="7">
        <f>ROUND(1647.67999999999,2)</f>
        <v>1647.68</v>
      </c>
      <c r="O154" s="6"/>
      <c r="P154" s="6"/>
      <c r="Q154" s="7">
        <f>ROUND(172.88,2)</f>
        <v>172.88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7">
        <f>ROUND(144,2)</f>
        <v>144</v>
      </c>
      <c r="AF154" s="6"/>
      <c r="AG154" s="7">
        <f>ROUND(17.15,2)</f>
        <v>17.149999999999999</v>
      </c>
      <c r="AH154" s="6"/>
      <c r="AI154" s="6"/>
      <c r="AJ154" s="6"/>
      <c r="AK154" s="6"/>
      <c r="AL154" s="6"/>
      <c r="AM154" s="6"/>
      <c r="AN154" s="6"/>
      <c r="AO154" s="6"/>
      <c r="AP154" s="7">
        <f>ROUND(7,2)</f>
        <v>7</v>
      </c>
      <c r="AQ154" s="6"/>
      <c r="AR154" s="6"/>
      <c r="AS154" s="6"/>
      <c r="AT154" s="6"/>
      <c r="AU154" s="7">
        <f>ROUND(65.93,2)</f>
        <v>65.930000000000007</v>
      </c>
      <c r="AV154" s="7">
        <f>ROUND(2.07,2)</f>
        <v>2.0699999999999998</v>
      </c>
      <c r="AW154" s="7">
        <f>ROUND(33.03,2)</f>
        <v>33.03</v>
      </c>
      <c r="AX154" s="7">
        <f>ROUND(6.97,2)</f>
        <v>6.97</v>
      </c>
      <c r="AY154" s="7">
        <f>ROUND(88.47,2)</f>
        <v>88.47</v>
      </c>
      <c r="AZ154" s="7">
        <f>ROUND(31.53,2)</f>
        <v>31.53</v>
      </c>
      <c r="BA154" s="6"/>
      <c r="BB154" s="7">
        <f>ROUND(40,2)</f>
        <v>40</v>
      </c>
      <c r="BC154" s="6"/>
      <c r="BD154" s="7">
        <f t="shared" si="6"/>
        <v>8</v>
      </c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7">
        <f>ROUND(48,2)</f>
        <v>48</v>
      </c>
      <c r="BT154" s="7">
        <f>ROUND(27.82,2)</f>
        <v>27.82</v>
      </c>
      <c r="BU154" s="7">
        <f>ROUND(2.97,2)</f>
        <v>2.97</v>
      </c>
      <c r="BV154" s="6"/>
      <c r="BW154" s="6"/>
      <c r="BX154" s="6"/>
      <c r="BY154" s="6"/>
      <c r="BZ154" s="7">
        <f>ROUND(24,2)</f>
        <v>24</v>
      </c>
      <c r="CA154" s="7">
        <f>ROUND(40,2)</f>
        <v>40</v>
      </c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7">
        <f>ROUND(2407.49999999999,2)</f>
        <v>2407.5</v>
      </c>
      <c r="CR154" s="6"/>
      <c r="CS154" s="6"/>
      <c r="CT154" s="6"/>
      <c r="CU154" s="6"/>
      <c r="CV154" s="7">
        <f>ROUND(53809.3199999999,2)</f>
        <v>53809.32</v>
      </c>
      <c r="CW154" s="6"/>
      <c r="CX154" s="6"/>
      <c r="CY154" s="7">
        <f>ROUND(8488.98999999999,2)</f>
        <v>8488.99</v>
      </c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7">
        <f>ROUND(4695.96,2)</f>
        <v>4695.96</v>
      </c>
      <c r="DO154" s="6"/>
      <c r="DP154" s="7">
        <f>ROUND(825.52,2)</f>
        <v>825.52</v>
      </c>
      <c r="DQ154" s="6"/>
      <c r="DR154" s="6"/>
      <c r="DS154" s="6"/>
      <c r="DT154" s="6"/>
      <c r="DU154" s="6"/>
      <c r="DV154" s="6"/>
      <c r="DW154" s="6"/>
      <c r="DX154" s="6"/>
      <c r="DY154" s="7">
        <f>ROUND(232.4,2)</f>
        <v>232.4</v>
      </c>
      <c r="DZ154" s="6"/>
      <c r="EA154" s="6"/>
      <c r="EB154" s="6"/>
      <c r="EC154" s="6"/>
      <c r="ED154" s="7">
        <f>ROUND(2149.71,2)</f>
        <v>2149.71</v>
      </c>
      <c r="EE154" s="7">
        <f>ROUND(102.63,2)</f>
        <v>102.63</v>
      </c>
      <c r="EF154" s="7">
        <f>ROUND(1092.21,2)</f>
        <v>1092.21</v>
      </c>
      <c r="EG154" s="7">
        <f>ROUND(341.09,2)</f>
        <v>341.09</v>
      </c>
      <c r="EH154" s="7">
        <f>ROUND(2912.27999999999,2)</f>
        <v>2912.28</v>
      </c>
      <c r="EI154" s="7">
        <f>ROUND(1522.96,2)</f>
        <v>1522.96</v>
      </c>
      <c r="EJ154" s="6"/>
      <c r="EK154" s="7">
        <f>ROUND(1291.28,2)</f>
        <v>1291.28</v>
      </c>
      <c r="EL154" s="6"/>
      <c r="EM154" s="6"/>
      <c r="EN154" s="7">
        <f t="shared" si="7"/>
        <v>256.72000000000003</v>
      </c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7">
        <f>ROUND(725,2)</f>
        <v>725</v>
      </c>
      <c r="FK154" s="6"/>
      <c r="FL154" s="6"/>
      <c r="FM154" s="6"/>
      <c r="FN154" s="6"/>
      <c r="FO154" s="6"/>
      <c r="FP154" s="6"/>
      <c r="FQ154" s="6"/>
      <c r="FR154" s="6"/>
      <c r="FS154" s="6"/>
      <c r="FT154" s="7">
        <f t="shared" si="8"/>
        <v>3000</v>
      </c>
      <c r="FU154" s="6"/>
      <c r="FV154" s="6"/>
      <c r="FW154" s="6"/>
      <c r="FX154" s="6"/>
      <c r="FY154" s="7">
        <f>ROUND(81446.07,2)</f>
        <v>81446.070000000007</v>
      </c>
    </row>
    <row r="155" spans="1:181" x14ac:dyDescent="0.3">
      <c r="A155" s="4" t="s">
        <v>233</v>
      </c>
      <c r="B155" s="5" t="s">
        <v>1029</v>
      </c>
      <c r="C155" s="5" t="s">
        <v>181</v>
      </c>
      <c r="D155" s="5" t="s">
        <v>234</v>
      </c>
      <c r="E155" s="5" t="s">
        <v>0</v>
      </c>
      <c r="F155" s="5" t="s">
        <v>0</v>
      </c>
      <c r="G155" s="5" t="s">
        <v>183</v>
      </c>
      <c r="H155" s="8">
        <v>33.380000000000003</v>
      </c>
      <c r="I155" s="7">
        <f>ROUND(77737.5999999999,2)</f>
        <v>77737.600000000006</v>
      </c>
      <c r="J155" s="6"/>
      <c r="K155" s="6"/>
      <c r="L155" s="6"/>
      <c r="M155" s="6"/>
      <c r="N155" s="7">
        <f>ROUND(1214.52,2)</f>
        <v>1214.52</v>
      </c>
      <c r="O155" s="6"/>
      <c r="P155" s="6"/>
      <c r="Q155" s="7">
        <f>ROUND(52.7799999999999,2)</f>
        <v>52.78</v>
      </c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7">
        <f>ROUND(94.42,2)</f>
        <v>94.42</v>
      </c>
      <c r="AF155" s="6"/>
      <c r="AG155" s="7">
        <f>ROUND(0.67,2)</f>
        <v>0.67</v>
      </c>
      <c r="AH155" s="6"/>
      <c r="AI155" s="6"/>
      <c r="AJ155" s="6"/>
      <c r="AK155" s="6"/>
      <c r="AL155" s="6"/>
      <c r="AM155" s="6"/>
      <c r="AN155" s="6"/>
      <c r="AO155" s="6"/>
      <c r="AP155" s="7">
        <f>ROUND(311.75,2)</f>
        <v>311.75</v>
      </c>
      <c r="AQ155" s="6"/>
      <c r="AR155" s="7">
        <f>ROUND(6.82,2)</f>
        <v>6.82</v>
      </c>
      <c r="AS155" s="6"/>
      <c r="AT155" s="6"/>
      <c r="AU155" s="7">
        <f>ROUND(64.5,2)</f>
        <v>64.5</v>
      </c>
      <c r="AV155" s="7">
        <f>ROUND(7.5,2)</f>
        <v>7.5</v>
      </c>
      <c r="AW155" s="7">
        <f>ROUND(19.9,2)</f>
        <v>19.899999999999999</v>
      </c>
      <c r="AX155" s="7">
        <f>ROUND(4.1,2)</f>
        <v>4.0999999999999996</v>
      </c>
      <c r="AY155" s="7">
        <f>ROUND(63.33,2)</f>
        <v>63.33</v>
      </c>
      <c r="AZ155" s="7">
        <f>ROUND(0.67,2)</f>
        <v>0.67</v>
      </c>
      <c r="BA155" s="6"/>
      <c r="BB155" s="7">
        <f>ROUND(10,2)</f>
        <v>10</v>
      </c>
      <c r="BC155" s="6"/>
      <c r="BD155" s="7">
        <f t="shared" si="6"/>
        <v>8</v>
      </c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7">
        <f>ROUND(292.25,2)</f>
        <v>292.25</v>
      </c>
      <c r="BP155" s="6"/>
      <c r="BQ155" s="7">
        <f>ROUND(20,2)</f>
        <v>20</v>
      </c>
      <c r="BR155" s="6"/>
      <c r="BS155" s="6"/>
      <c r="BT155" s="6"/>
      <c r="BU155" s="7">
        <f>ROUND(24,2)</f>
        <v>24</v>
      </c>
      <c r="BV155" s="6"/>
      <c r="BW155" s="6"/>
      <c r="BX155" s="6"/>
      <c r="BY155" s="7">
        <f>ROUND(16,2)</f>
        <v>16</v>
      </c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7">
        <f>ROUND(24,2)</f>
        <v>24</v>
      </c>
      <c r="CQ155" s="7">
        <f>ROUND(2235.20999999999,2)</f>
        <v>2235.21</v>
      </c>
      <c r="CR155" s="6"/>
      <c r="CS155" s="6"/>
      <c r="CT155" s="6"/>
      <c r="CU155" s="6"/>
      <c r="CV155" s="7">
        <f>ROUND(39677.74,2)</f>
        <v>39677.74</v>
      </c>
      <c r="CW155" s="6"/>
      <c r="CX155" s="6"/>
      <c r="CY155" s="7">
        <f>ROUND(2582.02,2)</f>
        <v>2582.02</v>
      </c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7">
        <f>ROUND(3088.55,2)</f>
        <v>3088.55</v>
      </c>
      <c r="DO155" s="6"/>
      <c r="DP155" s="7">
        <f>ROUND(33.55,2)</f>
        <v>33.549999999999997</v>
      </c>
      <c r="DQ155" s="6"/>
      <c r="DR155" s="6"/>
      <c r="DS155" s="6"/>
      <c r="DT155" s="6"/>
      <c r="DU155" s="6"/>
      <c r="DV155" s="6"/>
      <c r="DW155" s="6"/>
      <c r="DX155" s="6"/>
      <c r="DY155" s="7">
        <f>ROUND(10189.14,2)</f>
        <v>10189.14</v>
      </c>
      <c r="DZ155" s="6"/>
      <c r="EA155" s="7">
        <f>ROUND(335.24,2)</f>
        <v>335.24</v>
      </c>
      <c r="EB155" s="6"/>
      <c r="EC155" s="6"/>
      <c r="ED155" s="7">
        <f>ROUND(2098.55,2)</f>
        <v>2098.5500000000002</v>
      </c>
      <c r="EE155" s="7">
        <f>ROUND(371.85,2)</f>
        <v>371.85</v>
      </c>
      <c r="EF155" s="7">
        <f>ROUND(650.02,2)</f>
        <v>650.02</v>
      </c>
      <c r="EG155" s="7">
        <f>ROUND(203.26,2)</f>
        <v>203.26</v>
      </c>
      <c r="EH155" s="7">
        <f>ROUND(2054.66,2)</f>
        <v>2054.66</v>
      </c>
      <c r="EI155" s="7">
        <f>ROUND(33.22,2)</f>
        <v>33.22</v>
      </c>
      <c r="EJ155" s="6"/>
      <c r="EK155" s="7">
        <f>ROUND(320.9,2)</f>
        <v>320.89999999999998</v>
      </c>
      <c r="EL155" s="6"/>
      <c r="EM155" s="6"/>
      <c r="EN155" s="7">
        <f t="shared" si="7"/>
        <v>256.72000000000003</v>
      </c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7">
        <f>ROUND(9391.2,2)</f>
        <v>9391.2000000000007</v>
      </c>
      <c r="FC155" s="6"/>
      <c r="FD155" s="7">
        <f>ROUND(654.7,2)</f>
        <v>654.70000000000005</v>
      </c>
      <c r="FE155" s="6"/>
      <c r="FF155" s="7">
        <f>ROUND(770.16,2)</f>
        <v>770.16</v>
      </c>
      <c r="FG155" s="6"/>
      <c r="FH155" s="6"/>
      <c r="FI155" s="6"/>
      <c r="FJ155" s="7">
        <f>ROUND(1225,2)</f>
        <v>1225</v>
      </c>
      <c r="FK155" s="6"/>
      <c r="FL155" s="6"/>
      <c r="FM155" s="6"/>
      <c r="FN155" s="6"/>
      <c r="FO155" s="6"/>
      <c r="FP155" s="6"/>
      <c r="FQ155" s="6"/>
      <c r="FR155" s="6"/>
      <c r="FS155" s="6"/>
      <c r="FT155" s="7">
        <f t="shared" si="8"/>
        <v>3000</v>
      </c>
      <c r="FU155" s="6"/>
      <c r="FV155" s="6"/>
      <c r="FW155" s="6"/>
      <c r="FX155" s="7">
        <f>ROUND(801.12,2)</f>
        <v>801.12</v>
      </c>
      <c r="FY155" s="7">
        <f>ROUND(77737.5999999999,2)</f>
        <v>77737.600000000006</v>
      </c>
    </row>
    <row r="156" spans="1:181" x14ac:dyDescent="0.3">
      <c r="A156" s="4" t="s">
        <v>239</v>
      </c>
      <c r="B156" s="5" t="s">
        <v>1029</v>
      </c>
      <c r="C156" s="5" t="s">
        <v>181</v>
      </c>
      <c r="D156" s="5" t="s">
        <v>240</v>
      </c>
      <c r="E156" s="5" t="s">
        <v>0</v>
      </c>
      <c r="F156" s="5" t="s">
        <v>0</v>
      </c>
      <c r="G156" s="5" t="s">
        <v>183</v>
      </c>
      <c r="H156" s="8">
        <v>33.71</v>
      </c>
      <c r="I156" s="7">
        <f>ROUND(73203.9599999999,2)</f>
        <v>73203.960000000006</v>
      </c>
      <c r="J156" s="6"/>
      <c r="K156" s="6"/>
      <c r="L156" s="6"/>
      <c r="M156" s="6"/>
      <c r="N156" s="7">
        <f>ROUND(10,2)</f>
        <v>10</v>
      </c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7">
        <f>ROUND(1727.65,2)</f>
        <v>1727.65</v>
      </c>
      <c r="AF156" s="6"/>
      <c r="AG156" s="7">
        <f>ROUND(1.48,2)</f>
        <v>1.48</v>
      </c>
      <c r="AH156" s="6"/>
      <c r="AI156" s="6"/>
      <c r="AJ156" s="6"/>
      <c r="AK156" s="6"/>
      <c r="AL156" s="6"/>
      <c r="AM156" s="6"/>
      <c r="AN156" s="6"/>
      <c r="AO156" s="6"/>
      <c r="AP156" s="7">
        <f>ROUND(40,2)</f>
        <v>40</v>
      </c>
      <c r="AQ156" s="6"/>
      <c r="AR156" s="6"/>
      <c r="AS156" s="6"/>
      <c r="AT156" s="6"/>
      <c r="AU156" s="7">
        <f>ROUND(70,2)</f>
        <v>70</v>
      </c>
      <c r="AV156" s="6"/>
      <c r="AW156" s="7">
        <f>ROUND(42,2)</f>
        <v>42</v>
      </c>
      <c r="AX156" s="6"/>
      <c r="AY156" s="7">
        <f>ROUND(159.68,2)</f>
        <v>159.68</v>
      </c>
      <c r="AZ156" s="7">
        <f>ROUND(0.32,2)</f>
        <v>0.32</v>
      </c>
      <c r="BA156" s="6"/>
      <c r="BB156" s="7">
        <f>ROUND(40,2)</f>
        <v>40</v>
      </c>
      <c r="BC156" s="6"/>
      <c r="BD156" s="7">
        <f t="shared" si="6"/>
        <v>8</v>
      </c>
      <c r="BE156" s="7">
        <f>ROUND(2.67,2)</f>
        <v>2.67</v>
      </c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7">
        <f>ROUND(16,2)</f>
        <v>16</v>
      </c>
      <c r="BT156" s="6"/>
      <c r="BU156" s="6"/>
      <c r="BV156" s="6"/>
      <c r="BW156" s="6"/>
      <c r="BX156" s="6"/>
      <c r="BY156" s="6"/>
      <c r="BZ156" s="6"/>
      <c r="CA156" s="7">
        <f>ROUND(16,2)</f>
        <v>16</v>
      </c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7">
        <f>ROUND(8,2)</f>
        <v>8</v>
      </c>
      <c r="CQ156" s="7">
        <f>ROUND(2141.8,2)</f>
        <v>2141.8000000000002</v>
      </c>
      <c r="CR156" s="6"/>
      <c r="CS156" s="6"/>
      <c r="CT156" s="6"/>
      <c r="CU156" s="6"/>
      <c r="CV156" s="7">
        <f>ROUND(337.1,2)</f>
        <v>337.1</v>
      </c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7">
        <f>ROUND(56199.3599999999,2)</f>
        <v>56199.360000000001</v>
      </c>
      <c r="DO156" s="6"/>
      <c r="DP156" s="7">
        <f>ROUND(73.38,2)</f>
        <v>73.38</v>
      </c>
      <c r="DQ156" s="6"/>
      <c r="DR156" s="6"/>
      <c r="DS156" s="6"/>
      <c r="DT156" s="6"/>
      <c r="DU156" s="6"/>
      <c r="DV156" s="6"/>
      <c r="DW156" s="6"/>
      <c r="DX156" s="6"/>
      <c r="DY156" s="7">
        <f>ROUND(1348.4,2)</f>
        <v>1348.4</v>
      </c>
      <c r="DZ156" s="6"/>
      <c r="EA156" s="6"/>
      <c r="EB156" s="6"/>
      <c r="EC156" s="6"/>
      <c r="ED156" s="7">
        <f>ROUND(2285.54,2)</f>
        <v>2285.54</v>
      </c>
      <c r="EE156" s="6"/>
      <c r="EF156" s="7">
        <f>ROUND(1376.94,2)</f>
        <v>1376.94</v>
      </c>
      <c r="EG156" s="6"/>
      <c r="EH156" s="7">
        <f>ROUND(5246.7,2)</f>
        <v>5246.7</v>
      </c>
      <c r="EI156" s="7">
        <f>ROUND(15.86,2)</f>
        <v>15.86</v>
      </c>
      <c r="EJ156" s="6"/>
      <c r="EK156" s="7">
        <f>ROUND(1283.6,2)</f>
        <v>1283.5999999999999</v>
      </c>
      <c r="EL156" s="6"/>
      <c r="EM156" s="6"/>
      <c r="EN156" s="7">
        <f t="shared" si="7"/>
        <v>256.72000000000003</v>
      </c>
      <c r="EO156" s="7">
        <f>ROUND(85.68,2)</f>
        <v>85.68</v>
      </c>
      <c r="EP156" s="6"/>
      <c r="EQ156" s="6"/>
      <c r="ER156" s="6"/>
      <c r="ES156" s="6"/>
      <c r="ET156" s="6"/>
      <c r="EU156" s="6"/>
      <c r="EV156" s="7">
        <f>ROUND(500,2)</f>
        <v>500</v>
      </c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7">
        <f>ROUND(925,2)</f>
        <v>925</v>
      </c>
      <c r="FK156" s="6"/>
      <c r="FL156" s="6"/>
      <c r="FM156" s="6"/>
      <c r="FN156" s="6"/>
      <c r="FO156" s="6"/>
      <c r="FP156" s="6"/>
      <c r="FQ156" s="6"/>
      <c r="FR156" s="6"/>
      <c r="FS156" s="6"/>
      <c r="FT156" s="7">
        <f t="shared" si="8"/>
        <v>3000</v>
      </c>
      <c r="FU156" s="6"/>
      <c r="FV156" s="6"/>
      <c r="FW156" s="6"/>
      <c r="FX156" s="7">
        <f>ROUND(269.68,2)</f>
        <v>269.68</v>
      </c>
      <c r="FY156" s="7">
        <f>ROUND(73203.9599999999,2)</f>
        <v>73203.960000000006</v>
      </c>
    </row>
    <row r="157" spans="1:181" x14ac:dyDescent="0.3">
      <c r="A157" s="4" t="s">
        <v>241</v>
      </c>
      <c r="B157" s="5" t="s">
        <v>1029</v>
      </c>
      <c r="C157" s="5" t="s">
        <v>181</v>
      </c>
      <c r="D157" s="5" t="s">
        <v>242</v>
      </c>
      <c r="E157" s="5" t="s">
        <v>0</v>
      </c>
      <c r="F157" s="5" t="s">
        <v>0</v>
      </c>
      <c r="G157" s="5" t="s">
        <v>183</v>
      </c>
      <c r="H157" s="8">
        <v>34.04</v>
      </c>
      <c r="I157" s="7">
        <f>ROUND(61684.1599999999,2)</f>
        <v>61684.160000000003</v>
      </c>
      <c r="J157" s="6"/>
      <c r="K157" s="6"/>
      <c r="L157" s="6"/>
      <c r="M157" s="6"/>
      <c r="N157" s="7">
        <f>ROUND(899.939999999999,2)</f>
        <v>899.94</v>
      </c>
      <c r="O157" s="6"/>
      <c r="P157" s="6"/>
      <c r="Q157" s="7">
        <f>ROUND(24.64,2)</f>
        <v>24.64</v>
      </c>
      <c r="R157" s="6"/>
      <c r="S157" s="6"/>
      <c r="T157" s="6"/>
      <c r="U157" s="6"/>
      <c r="V157" s="6"/>
      <c r="W157" s="6"/>
      <c r="X157" s="7">
        <f>ROUND(0.77,2)</f>
        <v>0.77</v>
      </c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7">
        <f>ROUND(66,2)</f>
        <v>66</v>
      </c>
      <c r="AV157" s="7">
        <f>ROUND(8,2)</f>
        <v>8</v>
      </c>
      <c r="AW157" s="7">
        <f>ROUND(52,2)</f>
        <v>52</v>
      </c>
      <c r="AX157" s="6"/>
      <c r="AY157" s="7">
        <f>ROUND(200,2)</f>
        <v>200</v>
      </c>
      <c r="AZ157" s="6"/>
      <c r="BA157" s="6"/>
      <c r="BB157" s="7">
        <f>ROUND(24,2)</f>
        <v>24</v>
      </c>
      <c r="BC157" s="6"/>
      <c r="BD157" s="7">
        <f>ROUND(72,2)</f>
        <v>72</v>
      </c>
      <c r="BE157" s="6"/>
      <c r="BF157" s="6"/>
      <c r="BG157" s="6"/>
      <c r="BH157" s="6"/>
      <c r="BI157" s="6"/>
      <c r="BJ157" s="6"/>
      <c r="BK157" s="7">
        <f>ROUND(359.77,2)</f>
        <v>359.77</v>
      </c>
      <c r="BL157" s="7">
        <f>ROUND(8.26,2)</f>
        <v>8.26</v>
      </c>
      <c r="BM157" s="6"/>
      <c r="BN157" s="6"/>
      <c r="BO157" s="6"/>
      <c r="BP157" s="6"/>
      <c r="BQ157" s="6"/>
      <c r="BR157" s="6"/>
      <c r="BS157" s="6"/>
      <c r="BT157" s="6"/>
      <c r="BU157" s="7">
        <f>ROUND(40,2)</f>
        <v>40</v>
      </c>
      <c r="BV157" s="6"/>
      <c r="BW157" s="6"/>
      <c r="BX157" s="6"/>
      <c r="BY157" s="6"/>
      <c r="BZ157" s="6"/>
      <c r="CA157" s="6"/>
      <c r="CB157" s="7">
        <f>ROUND(463.539999999999,2)</f>
        <v>463.54</v>
      </c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7">
        <f>ROUND(2218.92,2)</f>
        <v>2218.92</v>
      </c>
      <c r="CR157" s="6"/>
      <c r="CS157" s="6"/>
      <c r="CT157" s="6"/>
      <c r="CU157" s="6"/>
      <c r="CV157" s="7">
        <f>ROUND(29266.6399999999,2)</f>
        <v>29266.639999999999</v>
      </c>
      <c r="CW157" s="6"/>
      <c r="CX157" s="6"/>
      <c r="CY157" s="7">
        <f>ROUND(1225.78,2)</f>
        <v>1225.78</v>
      </c>
      <c r="CZ157" s="6"/>
      <c r="DA157" s="6"/>
      <c r="DB157" s="6"/>
      <c r="DC157" s="6"/>
      <c r="DD157" s="6"/>
      <c r="DE157" s="6"/>
      <c r="DF157" s="7">
        <f>ROUND(24.71,2)</f>
        <v>24.71</v>
      </c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7">
        <f>ROUND(2148.9,2)</f>
        <v>2148.9</v>
      </c>
      <c r="EE157" s="7">
        <f>ROUND(396.64,2)</f>
        <v>396.64</v>
      </c>
      <c r="EF157" s="7">
        <f>ROUND(1693.88,2)</f>
        <v>1693.88</v>
      </c>
      <c r="EG157" s="6"/>
      <c r="EH157" s="7">
        <f>ROUND(6531.51999999999,2)</f>
        <v>6531.52</v>
      </c>
      <c r="EI157" s="6"/>
      <c r="EJ157" s="6"/>
      <c r="EK157" s="7">
        <f>ROUND(777.84,2)</f>
        <v>777.84</v>
      </c>
      <c r="EL157" s="6"/>
      <c r="EM157" s="6"/>
      <c r="EN157" s="7">
        <f>ROUND(2310.48,2)</f>
        <v>2310.48</v>
      </c>
      <c r="EO157" s="6"/>
      <c r="EP157" s="6"/>
      <c r="EQ157" s="6"/>
      <c r="ER157" s="6"/>
      <c r="ES157" s="6"/>
      <c r="ET157" s="6"/>
      <c r="EU157" s="6"/>
      <c r="EV157" s="6"/>
      <c r="EW157" s="6"/>
      <c r="EX157" s="7">
        <f>ROUND(11750.15,2)</f>
        <v>11750.15</v>
      </c>
      <c r="EY157" s="7">
        <f>ROUND(397.6,2)</f>
        <v>397.6</v>
      </c>
      <c r="EZ157" s="6"/>
      <c r="FA157" s="6"/>
      <c r="FB157" s="6"/>
      <c r="FC157" s="6"/>
      <c r="FD157" s="6"/>
      <c r="FE157" s="6"/>
      <c r="FF157" s="7">
        <f>ROUND(1283.6,2)</f>
        <v>1283.5999999999999</v>
      </c>
      <c r="FG157" s="6"/>
      <c r="FH157" s="7">
        <f>ROUND(-148.58,2)</f>
        <v>-148.58000000000001</v>
      </c>
      <c r="FI157" s="6"/>
      <c r="FJ157" s="7">
        <f>ROUND(1025,2)</f>
        <v>1025</v>
      </c>
      <c r="FK157" s="6"/>
      <c r="FL157" s="6"/>
      <c r="FM157" s="6"/>
      <c r="FN157" s="6"/>
      <c r="FO157" s="6"/>
      <c r="FP157" s="6"/>
      <c r="FQ157" s="6"/>
      <c r="FR157" s="6"/>
      <c r="FS157" s="6"/>
      <c r="FT157" s="7">
        <f t="shared" si="8"/>
        <v>3000</v>
      </c>
      <c r="FU157" s="6"/>
      <c r="FV157" s="6"/>
      <c r="FW157" s="6"/>
      <c r="FX157" s="6"/>
      <c r="FY157" s="7">
        <f>ROUND(61684.1599999999,2)</f>
        <v>61684.160000000003</v>
      </c>
    </row>
    <row r="158" spans="1:181" x14ac:dyDescent="0.3">
      <c r="A158" s="4" t="s">
        <v>248</v>
      </c>
      <c r="B158" s="5" t="s">
        <v>1029</v>
      </c>
      <c r="C158" s="5" t="s">
        <v>181</v>
      </c>
      <c r="D158" s="5" t="s">
        <v>249</v>
      </c>
      <c r="E158" s="5" t="s">
        <v>0</v>
      </c>
      <c r="F158" s="5" t="s">
        <v>0</v>
      </c>
      <c r="G158" s="5" t="s">
        <v>183</v>
      </c>
      <c r="H158" s="8">
        <v>33.380000000000003</v>
      </c>
      <c r="I158" s="7">
        <f>ROUND(83958.32,2)</f>
        <v>83958.32</v>
      </c>
      <c r="J158" s="6"/>
      <c r="K158" s="6"/>
      <c r="L158" s="6"/>
      <c r="M158" s="6"/>
      <c r="N158" s="7">
        <f>ROUND(1904.71,2)</f>
        <v>1904.71</v>
      </c>
      <c r="O158" s="6"/>
      <c r="P158" s="6"/>
      <c r="Q158" s="7">
        <f>ROUND(118.74,2)</f>
        <v>118.74</v>
      </c>
      <c r="R158" s="6"/>
      <c r="S158" s="6"/>
      <c r="T158" s="6"/>
      <c r="U158" s="6"/>
      <c r="V158" s="7">
        <f>ROUND(3.7,2)</f>
        <v>3.7</v>
      </c>
      <c r="W158" s="6"/>
      <c r="X158" s="7">
        <f>ROUND(0.18,2)</f>
        <v>0.18</v>
      </c>
      <c r="Y158" s="6"/>
      <c r="Z158" s="6"/>
      <c r="AA158" s="6"/>
      <c r="AB158" s="6"/>
      <c r="AC158" s="6"/>
      <c r="AD158" s="6"/>
      <c r="AE158" s="7">
        <f>ROUND(20.42,2)</f>
        <v>20.420000000000002</v>
      </c>
      <c r="AF158" s="6"/>
      <c r="AG158" s="7">
        <f>ROUND(9.75,2)</f>
        <v>9.75</v>
      </c>
      <c r="AH158" s="6"/>
      <c r="AI158" s="6"/>
      <c r="AJ158" s="6"/>
      <c r="AK158" s="6"/>
      <c r="AL158" s="6"/>
      <c r="AM158" s="6"/>
      <c r="AN158" s="6"/>
      <c r="AO158" s="6"/>
      <c r="AP158" s="7">
        <f>ROUND(30,2)</f>
        <v>30</v>
      </c>
      <c r="AQ158" s="6"/>
      <c r="AR158" s="7">
        <f>ROUND(21,2)</f>
        <v>21</v>
      </c>
      <c r="AS158" s="6"/>
      <c r="AT158" s="6"/>
      <c r="AU158" s="7">
        <f>ROUND(56.07,2)</f>
        <v>56.07</v>
      </c>
      <c r="AV158" s="7">
        <f>ROUND(3.93,2)</f>
        <v>3.93</v>
      </c>
      <c r="AW158" s="7">
        <f>ROUND(34,2)</f>
        <v>34</v>
      </c>
      <c r="AX158" s="6"/>
      <c r="AY158" s="7">
        <f>ROUND(8,2)</f>
        <v>8</v>
      </c>
      <c r="AZ158" s="6"/>
      <c r="BA158" s="6"/>
      <c r="BB158" s="7">
        <f>ROUND(40,2)</f>
        <v>40</v>
      </c>
      <c r="BC158" s="6"/>
      <c r="BD158" s="7">
        <f>ROUND(17,2)</f>
        <v>17</v>
      </c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7">
        <f>ROUND(10.25,2)</f>
        <v>10.25</v>
      </c>
      <c r="BP158" s="6"/>
      <c r="BQ158" s="6"/>
      <c r="BR158" s="6"/>
      <c r="BS158" s="6"/>
      <c r="BT158" s="6"/>
      <c r="BU158" s="6"/>
      <c r="BV158" s="6"/>
      <c r="BW158" s="7">
        <f>ROUND(8,2)</f>
        <v>8</v>
      </c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7">
        <f>ROUND(72,2)</f>
        <v>72</v>
      </c>
      <c r="CQ158" s="7">
        <f>ROUND(2357.75,2)</f>
        <v>2357.75</v>
      </c>
      <c r="CR158" s="6"/>
      <c r="CS158" s="6"/>
      <c r="CT158" s="6"/>
      <c r="CU158" s="6"/>
      <c r="CV158" s="7">
        <f>ROUND(62634.85,2)</f>
        <v>62634.85</v>
      </c>
      <c r="CW158" s="6"/>
      <c r="CX158" s="6"/>
      <c r="CY158" s="7">
        <f>ROUND(5886.54,2)</f>
        <v>5886.54</v>
      </c>
      <c r="CZ158" s="6"/>
      <c r="DA158" s="6"/>
      <c r="DB158" s="6"/>
      <c r="DC158" s="6"/>
      <c r="DD158" s="7">
        <f>ROUND(118.73,2)</f>
        <v>118.73</v>
      </c>
      <c r="DE158" s="6"/>
      <c r="DF158" s="7">
        <f>ROUND(5.78,2)</f>
        <v>5.78</v>
      </c>
      <c r="DG158" s="6"/>
      <c r="DH158" s="6"/>
      <c r="DI158" s="6"/>
      <c r="DJ158" s="6"/>
      <c r="DK158" s="6"/>
      <c r="DL158" s="6"/>
      <c r="DM158" s="6"/>
      <c r="DN158" s="7">
        <f>ROUND(655.28,2)</f>
        <v>655.28</v>
      </c>
      <c r="DO158" s="6"/>
      <c r="DP158" s="7">
        <f>ROUND(483.36,2)</f>
        <v>483.36</v>
      </c>
      <c r="DQ158" s="6"/>
      <c r="DR158" s="6"/>
      <c r="DS158" s="6"/>
      <c r="DT158" s="6"/>
      <c r="DU158" s="6"/>
      <c r="DV158" s="6"/>
      <c r="DW158" s="6"/>
      <c r="DX158" s="6"/>
      <c r="DY158" s="7">
        <f>ROUND(964.199999999999,2)</f>
        <v>964.2</v>
      </c>
      <c r="DZ158" s="6"/>
      <c r="EA158" s="7">
        <f>ROUND(1029.63,2)</f>
        <v>1029.6300000000001</v>
      </c>
      <c r="EB158" s="6"/>
      <c r="EC158" s="6"/>
      <c r="ED158" s="7">
        <f>ROUND(1828.87,2)</f>
        <v>1828.87</v>
      </c>
      <c r="EE158" s="7">
        <f>ROUND(194.85,2)</f>
        <v>194.85</v>
      </c>
      <c r="EF158" s="7">
        <f>ROUND(1114.1,2)</f>
        <v>1114.0999999999999</v>
      </c>
      <c r="EG158" s="6"/>
      <c r="EH158" s="7">
        <f>ROUND(256.72,2)</f>
        <v>256.72000000000003</v>
      </c>
      <c r="EI158" s="6"/>
      <c r="EJ158" s="6"/>
      <c r="EK158" s="7">
        <f>ROUND(1298.96,2)</f>
        <v>1298.96</v>
      </c>
      <c r="EL158" s="6"/>
      <c r="EM158" s="6"/>
      <c r="EN158" s="7">
        <f>ROUND(554.17,2)</f>
        <v>554.16999999999996</v>
      </c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7">
        <f>ROUND(328.92,2)</f>
        <v>328.92</v>
      </c>
      <c r="FC158" s="6"/>
      <c r="FD158" s="6"/>
      <c r="FE158" s="6"/>
      <c r="FF158" s="6"/>
      <c r="FG158" s="6"/>
      <c r="FH158" s="6"/>
      <c r="FI158" s="6"/>
      <c r="FJ158" s="7">
        <f>ROUND(1200,2)</f>
        <v>1200</v>
      </c>
      <c r="FK158" s="6"/>
      <c r="FL158" s="6"/>
      <c r="FM158" s="6"/>
      <c r="FN158" s="6"/>
      <c r="FO158" s="6"/>
      <c r="FP158" s="6"/>
      <c r="FQ158" s="6"/>
      <c r="FR158" s="6"/>
      <c r="FS158" s="6"/>
      <c r="FT158" s="7">
        <f t="shared" si="8"/>
        <v>3000</v>
      </c>
      <c r="FU158" s="6"/>
      <c r="FV158" s="6"/>
      <c r="FW158" s="6"/>
      <c r="FX158" s="7">
        <f>ROUND(2403.36,2)</f>
        <v>2403.36</v>
      </c>
      <c r="FY158" s="7">
        <f>ROUND(83958.32,2)</f>
        <v>83958.32</v>
      </c>
    </row>
    <row r="159" spans="1:181" x14ac:dyDescent="0.3">
      <c r="A159" s="4" t="s">
        <v>253</v>
      </c>
      <c r="B159" s="5" t="s">
        <v>1029</v>
      </c>
      <c r="C159" s="5" t="s">
        <v>181</v>
      </c>
      <c r="D159" s="5" t="s">
        <v>254</v>
      </c>
      <c r="E159" s="5" t="s">
        <v>255</v>
      </c>
      <c r="F159" s="5" t="s">
        <v>0</v>
      </c>
      <c r="G159" s="5" t="s">
        <v>183</v>
      </c>
      <c r="H159" s="9">
        <v>29.75</v>
      </c>
      <c r="I159" s="7">
        <f>ROUND(34629.69,2)</f>
        <v>34629.69</v>
      </c>
      <c r="J159" s="6"/>
      <c r="K159" s="6"/>
      <c r="L159" s="6"/>
      <c r="M159" s="6"/>
      <c r="N159" s="7">
        <f>ROUND(1065.37,2)</f>
        <v>1065.3699999999999</v>
      </c>
      <c r="O159" s="6"/>
      <c r="P159" s="6"/>
      <c r="Q159" s="7">
        <f>ROUND(12.08,2)</f>
        <v>12.08</v>
      </c>
      <c r="R159" s="6"/>
      <c r="S159" s="6"/>
      <c r="T159" s="6"/>
      <c r="U159" s="6"/>
      <c r="V159" s="6"/>
      <c r="W159" s="6"/>
      <c r="X159" s="7">
        <f>ROUND(0.18,2)</f>
        <v>0.18</v>
      </c>
      <c r="Y159" s="6"/>
      <c r="Z159" s="6"/>
      <c r="AA159" s="6"/>
      <c r="AB159" s="6"/>
      <c r="AC159" s="6"/>
      <c r="AD159" s="6"/>
      <c r="AE159" s="7">
        <f>ROUND(70.6,2)</f>
        <v>70.599999999999994</v>
      </c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7">
        <f>ROUND(19.12,2)</f>
        <v>19.12</v>
      </c>
      <c r="AQ159" s="6"/>
      <c r="AR159" s="6"/>
      <c r="AS159" s="6"/>
      <c r="AT159" s="6"/>
      <c r="AU159" s="7">
        <f>ROUND(30,2)</f>
        <v>30</v>
      </c>
      <c r="AV159" s="6"/>
      <c r="AW159" s="7">
        <f>ROUND(5,2)</f>
        <v>5</v>
      </c>
      <c r="AX159" s="6"/>
      <c r="AY159" s="7">
        <f>ROUND(15,2)</f>
        <v>15</v>
      </c>
      <c r="AZ159" s="6"/>
      <c r="BA159" s="6"/>
      <c r="BB159" s="6"/>
      <c r="BC159" s="6"/>
      <c r="BD159" s="7">
        <f>ROUND(8,2)</f>
        <v>8</v>
      </c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7">
        <f>ROUND(5,2)</f>
        <v>5</v>
      </c>
      <c r="BP159" s="6"/>
      <c r="BQ159" s="7">
        <f>ROUND(32.49,2)</f>
        <v>32.49</v>
      </c>
      <c r="BR159" s="6"/>
      <c r="BS159" s="6"/>
      <c r="BT159" s="7">
        <f>ROUND(1.83999999999999,2)</f>
        <v>1.84</v>
      </c>
      <c r="BU159" s="6"/>
      <c r="BV159" s="6"/>
      <c r="BW159" s="6"/>
      <c r="BX159" s="6"/>
      <c r="BY159" s="7">
        <f>ROUND(5,2)</f>
        <v>5</v>
      </c>
      <c r="BZ159" s="6"/>
      <c r="CA159" s="7">
        <f>ROUND(3.92,2)</f>
        <v>3.92</v>
      </c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7">
        <f>ROUND(1273.6,2)</f>
        <v>1273.5999999999999</v>
      </c>
      <c r="CR159" s="6"/>
      <c r="CS159" s="6"/>
      <c r="CT159" s="6"/>
      <c r="CU159" s="6"/>
      <c r="CV159" s="7">
        <f>ROUND(28920.3,2)</f>
        <v>28920.3</v>
      </c>
      <c r="CW159" s="6"/>
      <c r="CX159" s="6"/>
      <c r="CY159" s="7">
        <f>ROUND(484.82,2)</f>
        <v>484.82</v>
      </c>
      <c r="CZ159" s="6"/>
      <c r="DA159" s="6"/>
      <c r="DB159" s="6"/>
      <c r="DC159" s="6"/>
      <c r="DD159" s="6"/>
      <c r="DE159" s="6"/>
      <c r="DF159" s="7">
        <f>ROUND(4.91,2)</f>
        <v>4.91</v>
      </c>
      <c r="DG159" s="6"/>
      <c r="DH159" s="6"/>
      <c r="DI159" s="6"/>
      <c r="DJ159" s="6"/>
      <c r="DK159" s="6"/>
      <c r="DL159" s="6"/>
      <c r="DM159" s="6"/>
      <c r="DN159" s="7">
        <f>ROUND(1763.28,2)</f>
        <v>1763.28</v>
      </c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7">
        <f>ROUND(511.94,2)</f>
        <v>511.94</v>
      </c>
      <c r="DZ159" s="6"/>
      <c r="EA159" s="6"/>
      <c r="EB159" s="6"/>
      <c r="EC159" s="6"/>
      <c r="ED159" s="7">
        <f>ROUND(769.55,2)</f>
        <v>769.55</v>
      </c>
      <c r="EE159" s="6"/>
      <c r="EF159" s="7">
        <f>ROUND(136.4,2)</f>
        <v>136.4</v>
      </c>
      <c r="EG159" s="6"/>
      <c r="EH159" s="7">
        <f>ROUND(421.35,2)</f>
        <v>421.35</v>
      </c>
      <c r="EI159" s="6"/>
      <c r="EJ159" s="6"/>
      <c r="EK159" s="6"/>
      <c r="EL159" s="6"/>
      <c r="EM159" s="6"/>
      <c r="EN159" s="7">
        <f>ROUND(218.24,2)</f>
        <v>218.24</v>
      </c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7">
        <f>ROUND(128.35,2)</f>
        <v>128.35</v>
      </c>
      <c r="FC159" s="6"/>
      <c r="FD159" s="7">
        <f>ROUND(745.55,2)</f>
        <v>745.55</v>
      </c>
      <c r="FE159" s="6"/>
      <c r="FF159" s="6"/>
      <c r="FG159" s="6"/>
      <c r="FH159" s="6"/>
      <c r="FI159" s="6"/>
      <c r="FJ159" s="7">
        <f>ROUND(525,2)</f>
        <v>525</v>
      </c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7">
        <f>ROUND(34629.69,2)</f>
        <v>34629.69</v>
      </c>
    </row>
    <row r="160" spans="1:181" x14ac:dyDescent="0.3">
      <c r="A160" s="4" t="s">
        <v>256</v>
      </c>
      <c r="B160" s="5" t="s">
        <v>1029</v>
      </c>
      <c r="C160" s="5" t="s">
        <v>181</v>
      </c>
      <c r="D160" s="5" t="s">
        <v>257</v>
      </c>
      <c r="E160" s="5" t="s">
        <v>0</v>
      </c>
      <c r="F160" s="5" t="s">
        <v>0</v>
      </c>
      <c r="G160" s="5" t="s">
        <v>183</v>
      </c>
      <c r="H160" s="8">
        <v>33.880000000000003</v>
      </c>
      <c r="I160" s="7">
        <f>ROUND(92192.27,2)</f>
        <v>92192.27</v>
      </c>
      <c r="J160" s="6"/>
      <c r="K160" s="6"/>
      <c r="L160" s="6"/>
      <c r="M160" s="6"/>
      <c r="N160" s="7">
        <f>ROUND(1858.12999999999,2)</f>
        <v>1858.13</v>
      </c>
      <c r="O160" s="6"/>
      <c r="P160" s="6"/>
      <c r="Q160" s="7">
        <f>ROUND(349.989999999999,2)</f>
        <v>349.99</v>
      </c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7">
        <f>ROUND(63.2,2)</f>
        <v>63.2</v>
      </c>
      <c r="AV160" s="7">
        <f>ROUND(4.8,2)</f>
        <v>4.8</v>
      </c>
      <c r="AW160" s="7">
        <f>ROUND(34.52,2)</f>
        <v>34.520000000000003</v>
      </c>
      <c r="AX160" s="7">
        <f>ROUND(5.48,2)</f>
        <v>5.48</v>
      </c>
      <c r="AY160" s="7">
        <f>ROUND(165.4,2)</f>
        <v>165.4</v>
      </c>
      <c r="AZ160" s="7">
        <f>ROUND(2.6,2)</f>
        <v>2.6</v>
      </c>
      <c r="BA160" s="6"/>
      <c r="BB160" s="6"/>
      <c r="BC160" s="6"/>
      <c r="BD160" s="7">
        <f>ROUND(8,2)</f>
        <v>8</v>
      </c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7">
        <f>ROUND(16,2)</f>
        <v>16</v>
      </c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7">
        <f>ROUND(24,2)</f>
        <v>24</v>
      </c>
      <c r="CQ160" s="7">
        <f>ROUND(2532.12,2)</f>
        <v>2532.12</v>
      </c>
      <c r="CR160" s="6"/>
      <c r="CS160" s="6"/>
      <c r="CT160" s="6"/>
      <c r="CU160" s="6"/>
      <c r="CV160" s="7">
        <f>ROUND(60468.9099999999,2)</f>
        <v>60468.91</v>
      </c>
      <c r="CW160" s="6"/>
      <c r="CX160" s="6"/>
      <c r="CY160" s="7">
        <f>ROUND(17097.4699999999,2)</f>
        <v>17097.47</v>
      </c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7">
        <f>ROUND(2060.84,2)</f>
        <v>2060.84</v>
      </c>
      <c r="EE160" s="7">
        <f>ROUND(237.98,2)</f>
        <v>237.98</v>
      </c>
      <c r="EF160" s="7">
        <f>ROUND(1144.74,2)</f>
        <v>1144.74</v>
      </c>
      <c r="EG160" s="7">
        <f>ROUND(275.84,2)</f>
        <v>275.83999999999997</v>
      </c>
      <c r="EH160" s="7">
        <f>ROUND(5457.75,2)</f>
        <v>5457.75</v>
      </c>
      <c r="EI160" s="7">
        <f>ROUND(128.9,2)</f>
        <v>128.9</v>
      </c>
      <c r="EJ160" s="6"/>
      <c r="EK160" s="6"/>
      <c r="EL160" s="6"/>
      <c r="EM160" s="6"/>
      <c r="EN160" s="7">
        <f>ROUND(256.72,2)</f>
        <v>256.72000000000003</v>
      </c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7">
        <f>ROUND(1250,2)</f>
        <v>1250</v>
      </c>
      <c r="FK160" s="6"/>
      <c r="FL160" s="6"/>
      <c r="FM160" s="6"/>
      <c r="FN160" s="6"/>
      <c r="FO160" s="6"/>
      <c r="FP160" s="6"/>
      <c r="FQ160" s="6"/>
      <c r="FR160" s="6"/>
      <c r="FS160" s="6"/>
      <c r="FT160" s="7">
        <f>ROUND(3000,2)</f>
        <v>3000</v>
      </c>
      <c r="FU160" s="6"/>
      <c r="FV160" s="6"/>
      <c r="FW160" s="6"/>
      <c r="FX160" s="7">
        <f>ROUND(813.12,2)</f>
        <v>813.12</v>
      </c>
      <c r="FY160" s="7">
        <f>ROUND(92192.27,2)</f>
        <v>92192.27</v>
      </c>
    </row>
    <row r="161" spans="1:181" x14ac:dyDescent="0.3">
      <c r="A161" s="4" t="s">
        <v>260</v>
      </c>
      <c r="B161" s="5" t="s">
        <v>1029</v>
      </c>
      <c r="C161" s="5" t="s">
        <v>181</v>
      </c>
      <c r="D161" s="5" t="s">
        <v>261</v>
      </c>
      <c r="E161" s="5" t="s">
        <v>0</v>
      </c>
      <c r="F161" s="5" t="s">
        <v>0</v>
      </c>
      <c r="G161" s="5" t="s">
        <v>183</v>
      </c>
      <c r="H161" s="8">
        <v>33.380000000000003</v>
      </c>
      <c r="I161" s="7">
        <f>ROUND(108285.169999999,2)</f>
        <v>108285.17</v>
      </c>
      <c r="J161" s="6"/>
      <c r="K161" s="6"/>
      <c r="L161" s="6"/>
      <c r="M161" s="6"/>
      <c r="N161" s="7">
        <f>ROUND(1451.68999999999,2)</f>
        <v>1451.69</v>
      </c>
      <c r="O161" s="6"/>
      <c r="P161" s="6"/>
      <c r="Q161" s="7">
        <f>ROUND(346.35,2)</f>
        <v>346.35</v>
      </c>
      <c r="R161" s="6"/>
      <c r="S161" s="6"/>
      <c r="T161" s="6"/>
      <c r="U161" s="6"/>
      <c r="V161" s="7">
        <f>ROUND(12.22,2)</f>
        <v>12.22</v>
      </c>
      <c r="W161" s="7">
        <f>ROUND(28.2,2)</f>
        <v>28.2</v>
      </c>
      <c r="X161" s="7">
        <f>ROUND(11.4799999999999,2)</f>
        <v>11.48</v>
      </c>
      <c r="Y161" s="7">
        <f>ROUND(5.84,2)</f>
        <v>5.84</v>
      </c>
      <c r="Z161" s="6"/>
      <c r="AA161" s="6"/>
      <c r="AB161" s="6"/>
      <c r="AC161" s="6"/>
      <c r="AD161" s="6"/>
      <c r="AE161" s="7">
        <f>ROUND(97.15,2)</f>
        <v>97.15</v>
      </c>
      <c r="AF161" s="6"/>
      <c r="AG161" s="7">
        <f>ROUND(33.01,2)</f>
        <v>33.01</v>
      </c>
      <c r="AH161" s="6"/>
      <c r="AI161" s="6"/>
      <c r="AJ161" s="6"/>
      <c r="AK161" s="6"/>
      <c r="AL161" s="6"/>
      <c r="AM161" s="6"/>
      <c r="AN161" s="6"/>
      <c r="AO161" s="6"/>
      <c r="AP161" s="7">
        <f>ROUND(382.6,2)</f>
        <v>382.6</v>
      </c>
      <c r="AQ161" s="6"/>
      <c r="AR161" s="7">
        <f>ROUND(208.79,2)</f>
        <v>208.79</v>
      </c>
      <c r="AS161" s="6"/>
      <c r="AT161" s="6"/>
      <c r="AU161" s="7">
        <f>ROUND(64,2)</f>
        <v>64</v>
      </c>
      <c r="AV161" s="7">
        <f>ROUND(8,2)</f>
        <v>8</v>
      </c>
      <c r="AW161" s="7">
        <f>ROUND(8,2)</f>
        <v>8</v>
      </c>
      <c r="AX161" s="7">
        <f>ROUND(16,2)</f>
        <v>16</v>
      </c>
      <c r="AY161" s="7">
        <f>ROUND(76.5,2)</f>
        <v>76.5</v>
      </c>
      <c r="AZ161" s="7">
        <f>ROUND(5.5,2)</f>
        <v>5.5</v>
      </c>
      <c r="BA161" s="6"/>
      <c r="BB161" s="6"/>
      <c r="BC161" s="6"/>
      <c r="BD161" s="7">
        <f>ROUND(8,2)</f>
        <v>8</v>
      </c>
      <c r="BE161" s="7">
        <f>ROUND(1.93,2)</f>
        <v>1.93</v>
      </c>
      <c r="BF161" s="6"/>
      <c r="BG161" s="6"/>
      <c r="BH161" s="6"/>
      <c r="BI161" s="6"/>
      <c r="BJ161" s="6"/>
      <c r="BK161" s="6"/>
      <c r="BL161" s="6"/>
      <c r="BM161" s="6"/>
      <c r="BN161" s="6"/>
      <c r="BO161" s="7">
        <f>ROUND(5,2)</f>
        <v>5</v>
      </c>
      <c r="BP161" s="6"/>
      <c r="BQ161" s="7">
        <f>ROUND(5.42,2)</f>
        <v>5.42</v>
      </c>
      <c r="BR161" s="6"/>
      <c r="BS161" s="6"/>
      <c r="BT161" s="7">
        <f>ROUND(0.5,2)</f>
        <v>0.5</v>
      </c>
      <c r="BU161" s="6"/>
      <c r="BV161" s="6"/>
      <c r="BW161" s="6"/>
      <c r="BX161" s="6"/>
      <c r="BY161" s="6"/>
      <c r="BZ161" s="6"/>
      <c r="CA161" s="7">
        <f>ROUND(8,2)</f>
        <v>8</v>
      </c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7">
        <f>ROUND(64,2)</f>
        <v>64</v>
      </c>
      <c r="CQ161" s="7">
        <f>ROUND(2848.18,2)</f>
        <v>2848.18</v>
      </c>
      <c r="CR161" s="6"/>
      <c r="CS161" s="6"/>
      <c r="CT161" s="6"/>
      <c r="CU161" s="6"/>
      <c r="CV161" s="7">
        <f>ROUND(47237.1299999999,2)</f>
        <v>47237.13</v>
      </c>
      <c r="CW161" s="6"/>
      <c r="CX161" s="6"/>
      <c r="CY161" s="7">
        <f>ROUND(16996.14,2)</f>
        <v>16996.14</v>
      </c>
      <c r="CZ161" s="6"/>
      <c r="DA161" s="6"/>
      <c r="DB161" s="6"/>
      <c r="DC161" s="6"/>
      <c r="DD161" s="7">
        <f>ROUND(393.97,2)</f>
        <v>393.97</v>
      </c>
      <c r="DE161" s="7">
        <f>ROUND(1381.18999999999,2)</f>
        <v>1381.19</v>
      </c>
      <c r="DF161" s="7">
        <f>ROUND(373.43,2)</f>
        <v>373.43</v>
      </c>
      <c r="DG161" s="7">
        <f>ROUND(283.199999999999,2)</f>
        <v>283.2</v>
      </c>
      <c r="DH161" s="6"/>
      <c r="DI161" s="6"/>
      <c r="DJ161" s="6"/>
      <c r="DK161" s="6"/>
      <c r="DL161" s="6"/>
      <c r="DM161" s="6"/>
      <c r="DN161" s="7">
        <f>ROUND(3181.87999999999,2)</f>
        <v>3181.88</v>
      </c>
      <c r="DO161" s="6"/>
      <c r="DP161" s="7">
        <f>ROUND(1613.64,2)</f>
        <v>1613.64</v>
      </c>
      <c r="DQ161" s="6"/>
      <c r="DR161" s="6"/>
      <c r="DS161" s="6"/>
      <c r="DT161" s="6"/>
      <c r="DU161" s="6"/>
      <c r="DV161" s="6"/>
      <c r="DW161" s="6"/>
      <c r="DX161" s="6"/>
      <c r="DY161" s="7">
        <f>ROUND(12563.28,2)</f>
        <v>12563.28</v>
      </c>
      <c r="DZ161" s="6"/>
      <c r="EA161" s="7">
        <f>ROUND(10247.25,2)</f>
        <v>10247.25</v>
      </c>
      <c r="EB161" s="6"/>
      <c r="EC161" s="6"/>
      <c r="ED161" s="7">
        <f>ROUND(2082.02,2)</f>
        <v>2082.02</v>
      </c>
      <c r="EE161" s="7">
        <f>ROUND(396.64,2)</f>
        <v>396.64</v>
      </c>
      <c r="EF161" s="7">
        <f>ROUND(256.72,2)</f>
        <v>256.72000000000003</v>
      </c>
      <c r="EG161" s="7">
        <f>ROUND(781.68,2)</f>
        <v>781.68</v>
      </c>
      <c r="EH161" s="7">
        <f>ROUND(2485.85,2)</f>
        <v>2485.85</v>
      </c>
      <c r="EI161" s="7">
        <f>ROUND(264.74,2)</f>
        <v>264.74</v>
      </c>
      <c r="EJ161" s="6"/>
      <c r="EK161" s="6"/>
      <c r="EL161" s="6"/>
      <c r="EM161" s="6"/>
      <c r="EN161" s="7">
        <f>ROUND(256.72,2)</f>
        <v>256.72000000000003</v>
      </c>
      <c r="EO161" s="7">
        <f>ROUND(63.79,2)</f>
        <v>63.79</v>
      </c>
      <c r="EP161" s="6"/>
      <c r="EQ161" s="6"/>
      <c r="ER161" s="6"/>
      <c r="ES161" s="6"/>
      <c r="ET161" s="6"/>
      <c r="EU161" s="6"/>
      <c r="EV161" s="7">
        <f>ROUND(500,2)</f>
        <v>500</v>
      </c>
      <c r="EW161" s="6"/>
      <c r="EX161" s="6"/>
      <c r="EY161" s="6"/>
      <c r="EZ161" s="6"/>
      <c r="FA161" s="6"/>
      <c r="FB161" s="7">
        <f>ROUND(160.45,2)</f>
        <v>160.44999999999999</v>
      </c>
      <c r="FC161" s="6"/>
      <c r="FD161" s="7">
        <f>ROUND(179.13,2)</f>
        <v>179.13</v>
      </c>
      <c r="FE161" s="6"/>
      <c r="FF161" s="6"/>
      <c r="FG161" s="6"/>
      <c r="FH161" s="6"/>
      <c r="FI161" s="6"/>
      <c r="FJ161" s="7">
        <f>ROUND(1450,2)</f>
        <v>1450</v>
      </c>
      <c r="FK161" s="6"/>
      <c r="FL161" s="6"/>
      <c r="FM161" s="6"/>
      <c r="FN161" s="6"/>
      <c r="FO161" s="6"/>
      <c r="FP161" s="6"/>
      <c r="FQ161" s="6"/>
      <c r="FR161" s="6"/>
      <c r="FS161" s="6"/>
      <c r="FT161" s="7">
        <f>ROUND(3000,2)</f>
        <v>3000</v>
      </c>
      <c r="FU161" s="6"/>
      <c r="FV161" s="6"/>
      <c r="FW161" s="6"/>
      <c r="FX161" s="7">
        <f>ROUND(2136.32,2)</f>
        <v>2136.3200000000002</v>
      </c>
      <c r="FY161" s="7">
        <f>ROUND(108285.169999999,2)</f>
        <v>108285.17</v>
      </c>
    </row>
    <row r="162" spans="1:181" x14ac:dyDescent="0.3">
      <c r="A162" s="4" t="s">
        <v>266</v>
      </c>
      <c r="B162" s="5" t="s">
        <v>1029</v>
      </c>
      <c r="C162" s="5" t="s">
        <v>181</v>
      </c>
      <c r="D162" s="5" t="s">
        <v>267</v>
      </c>
      <c r="E162" s="5" t="s">
        <v>0</v>
      </c>
      <c r="F162" s="5" t="s">
        <v>268</v>
      </c>
      <c r="G162" s="5" t="s">
        <v>183</v>
      </c>
      <c r="H162" s="9">
        <v>28.37</v>
      </c>
      <c r="I162" s="7">
        <f>ROUND(31189.9199999999,2)</f>
        <v>31189.919999999998</v>
      </c>
      <c r="J162" s="6"/>
      <c r="K162" s="6"/>
      <c r="L162" s="6"/>
      <c r="M162" s="6"/>
      <c r="N162" s="7">
        <f>ROUND(596.79,2)</f>
        <v>596.79</v>
      </c>
      <c r="O162" s="6"/>
      <c r="P162" s="6"/>
      <c r="Q162" s="7">
        <f>ROUND(7.79,2)</f>
        <v>7.79</v>
      </c>
      <c r="R162" s="6"/>
      <c r="S162" s="6"/>
      <c r="T162" s="6"/>
      <c r="U162" s="6"/>
      <c r="V162" s="6"/>
      <c r="W162" s="6"/>
      <c r="X162" s="7">
        <f>ROUND(1.58,2)</f>
        <v>1.58</v>
      </c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7">
        <f>ROUND(69.16,2)</f>
        <v>69.16</v>
      </c>
      <c r="AQ162" s="6"/>
      <c r="AR162" s="6"/>
      <c r="AS162" s="6"/>
      <c r="AT162" s="6"/>
      <c r="AU162" s="7">
        <f>ROUND(40,2)</f>
        <v>40</v>
      </c>
      <c r="AV162" s="6"/>
      <c r="AW162" s="7">
        <f>ROUND(14.75,2)</f>
        <v>14.75</v>
      </c>
      <c r="AX162" s="7">
        <f>ROUND(5.25,2)</f>
        <v>5.25</v>
      </c>
      <c r="AY162" s="6"/>
      <c r="AZ162" s="6"/>
      <c r="BA162" s="6"/>
      <c r="BB162" s="6"/>
      <c r="BC162" s="6"/>
      <c r="BD162" s="7">
        <f>ROUND(370.98,2)</f>
        <v>370.98</v>
      </c>
      <c r="BE162" s="6"/>
      <c r="BF162" s="7">
        <f>ROUND(44.52,2)</f>
        <v>44.52</v>
      </c>
      <c r="BG162" s="6"/>
      <c r="BH162" s="6"/>
      <c r="BI162" s="7">
        <f>ROUND(34,2)</f>
        <v>34</v>
      </c>
      <c r="BJ162" s="7">
        <f>ROUND(6,2)</f>
        <v>6</v>
      </c>
      <c r="BK162" s="6"/>
      <c r="BL162" s="6"/>
      <c r="BM162" s="6"/>
      <c r="BN162" s="6"/>
      <c r="BO162" s="7">
        <f>ROUND(10.25,2)</f>
        <v>10.25</v>
      </c>
      <c r="BP162" s="6"/>
      <c r="BQ162" s="6"/>
      <c r="BR162" s="6"/>
      <c r="BS162" s="7">
        <f>ROUND(5,2)</f>
        <v>5</v>
      </c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7">
        <f>ROUND(39,2)</f>
        <v>39</v>
      </c>
      <c r="CQ162" s="7">
        <f>ROUND(1245.07,2)</f>
        <v>1245.07</v>
      </c>
      <c r="CR162" s="6"/>
      <c r="CS162" s="6"/>
      <c r="CT162" s="6"/>
      <c r="CU162" s="6"/>
      <c r="CV162" s="7">
        <f>ROUND(15809.1,2)</f>
        <v>15809.1</v>
      </c>
      <c r="CW162" s="6"/>
      <c r="CX162" s="6"/>
      <c r="CY162" s="7">
        <f>ROUND(321.5,2)</f>
        <v>321.5</v>
      </c>
      <c r="CZ162" s="6"/>
      <c r="DA162" s="6"/>
      <c r="DB162" s="6"/>
      <c r="DC162" s="6"/>
      <c r="DD162" s="6"/>
      <c r="DE162" s="6"/>
      <c r="DF162" s="7">
        <f>ROUND(42.73,2)</f>
        <v>42.73</v>
      </c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7">
        <f>ROUND(1862.19999999999,2)</f>
        <v>1862.2</v>
      </c>
      <c r="DZ162" s="6"/>
      <c r="EA162" s="6"/>
      <c r="EB162" s="6"/>
      <c r="EC162" s="6"/>
      <c r="ED162" s="7">
        <f>ROUND(1047.6,2)</f>
        <v>1047.5999999999999</v>
      </c>
      <c r="EE162" s="6"/>
      <c r="EF162" s="7">
        <f>ROUND(402.38,2)</f>
        <v>402.38</v>
      </c>
      <c r="EG162" s="7">
        <f>ROUND(214.83,2)</f>
        <v>214.83</v>
      </c>
      <c r="EH162" s="6"/>
      <c r="EI162" s="6"/>
      <c r="EJ162" s="6"/>
      <c r="EK162" s="6"/>
      <c r="EL162" s="6"/>
      <c r="EM162" s="6"/>
      <c r="EN162" s="7">
        <f>ROUND(6492.15,2)</f>
        <v>6492.15</v>
      </c>
      <c r="EO162" s="6"/>
      <c r="EP162" s="7">
        <f>ROUND(1168.65,2)</f>
        <v>1168.6500000000001</v>
      </c>
      <c r="EQ162" s="6"/>
      <c r="ER162" s="6"/>
      <c r="ES162" s="6"/>
      <c r="ET162" s="7">
        <f>ROUND(595,2)</f>
        <v>595</v>
      </c>
      <c r="EU162" s="7">
        <f>ROUND(157.5,2)</f>
        <v>157.5</v>
      </c>
      <c r="EV162" s="6"/>
      <c r="EW162" s="6"/>
      <c r="EX162" s="6"/>
      <c r="EY162" s="6"/>
      <c r="EZ162" s="6"/>
      <c r="FA162" s="6"/>
      <c r="FB162" s="7">
        <f>ROUND(271.01,2)</f>
        <v>271.01</v>
      </c>
      <c r="FC162" s="6"/>
      <c r="FD162" s="6"/>
      <c r="FE162" s="6"/>
      <c r="FF162" s="6"/>
      <c r="FG162" s="6"/>
      <c r="FH162" s="6"/>
      <c r="FI162" s="6"/>
      <c r="FJ162" s="7">
        <f>ROUND(225,2)</f>
        <v>225</v>
      </c>
      <c r="FK162" s="6"/>
      <c r="FL162" s="6"/>
      <c r="FM162" s="6"/>
      <c r="FN162" s="6"/>
      <c r="FO162" s="6"/>
      <c r="FP162" s="6"/>
      <c r="FQ162" s="6"/>
      <c r="FR162" s="6"/>
      <c r="FS162" s="6"/>
      <c r="FT162" s="7">
        <f>ROUND(1500,2)</f>
        <v>1500</v>
      </c>
      <c r="FU162" s="6"/>
      <c r="FV162" s="6"/>
      <c r="FW162" s="6"/>
      <c r="FX162" s="7">
        <f>ROUND(1080.27,2)</f>
        <v>1080.27</v>
      </c>
      <c r="FY162" s="7">
        <f>ROUND(31189.9199999999,2)</f>
        <v>31189.919999999998</v>
      </c>
    </row>
    <row r="163" spans="1:181" x14ac:dyDescent="0.3">
      <c r="A163" s="4" t="s">
        <v>273</v>
      </c>
      <c r="B163" s="5" t="s">
        <v>1029</v>
      </c>
      <c r="C163" s="5" t="s">
        <v>181</v>
      </c>
      <c r="D163" s="5" t="s">
        <v>274</v>
      </c>
      <c r="E163" s="5" t="s">
        <v>0</v>
      </c>
      <c r="F163" s="5" t="s">
        <v>0</v>
      </c>
      <c r="G163" s="5" t="s">
        <v>183</v>
      </c>
      <c r="H163" s="8">
        <v>34.04</v>
      </c>
      <c r="I163" s="7">
        <f>ROUND(87069.2299999999,2)</f>
        <v>87069.23</v>
      </c>
      <c r="J163" s="6"/>
      <c r="K163" s="6"/>
      <c r="L163" s="6"/>
      <c r="M163" s="6"/>
      <c r="N163" s="7">
        <f>ROUND(1862.38,2)</f>
        <v>1862.38</v>
      </c>
      <c r="O163" s="6"/>
      <c r="P163" s="6"/>
      <c r="Q163" s="7">
        <f>ROUND(259.609999999999,2)</f>
        <v>259.61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7">
        <f>ROUND(63.92,2)</f>
        <v>63.92</v>
      </c>
      <c r="AV163" s="7">
        <f>ROUND(4.08,2)</f>
        <v>4.08</v>
      </c>
      <c r="AW163" s="7">
        <f>ROUND(48,2)</f>
        <v>48</v>
      </c>
      <c r="AX163" s="6"/>
      <c r="AY163" s="7">
        <f>ROUND(97.1,2)</f>
        <v>97.1</v>
      </c>
      <c r="AZ163" s="7">
        <f>ROUND(22.9,2)</f>
        <v>22.9</v>
      </c>
      <c r="BA163" s="6"/>
      <c r="BB163" s="7">
        <f>ROUND(40,2)</f>
        <v>40</v>
      </c>
      <c r="BC163" s="6"/>
      <c r="BD163" s="7">
        <f>ROUND(8,2)</f>
        <v>8</v>
      </c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7">
        <f>ROUND(40,2)</f>
        <v>40</v>
      </c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7">
        <f>ROUND(2445.99,2)</f>
        <v>2445.9899999999998</v>
      </c>
      <c r="CR163" s="6"/>
      <c r="CS163" s="6"/>
      <c r="CT163" s="6"/>
      <c r="CU163" s="6"/>
      <c r="CV163" s="7">
        <f>ROUND(60806.0099999999,2)</f>
        <v>60806.01</v>
      </c>
      <c r="CW163" s="6"/>
      <c r="CX163" s="6"/>
      <c r="CY163" s="7">
        <f>ROUND(12707.25,2)</f>
        <v>12707.25</v>
      </c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7">
        <f>ROUND(2083.28,2)</f>
        <v>2083.2800000000002</v>
      </c>
      <c r="EE163" s="7">
        <f>ROUND(202.29,2)</f>
        <v>202.29</v>
      </c>
      <c r="EF163" s="7">
        <f>ROUND(1571.04,2)</f>
        <v>1571.04</v>
      </c>
      <c r="EG163" s="6"/>
      <c r="EH163" s="7">
        <f>ROUND(3130.44,2)</f>
        <v>3130.44</v>
      </c>
      <c r="EI163" s="7">
        <f>ROUND(1103.6,2)</f>
        <v>1103.5999999999999</v>
      </c>
      <c r="EJ163" s="6"/>
      <c r="EK163" s="7">
        <f>ROUND(1283.6,2)</f>
        <v>1283.5999999999999</v>
      </c>
      <c r="EL163" s="6"/>
      <c r="EM163" s="6"/>
      <c r="EN163" s="7">
        <f>ROUND(256.72,2)</f>
        <v>256.72000000000003</v>
      </c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7">
        <f>ROUND(925,2)</f>
        <v>925</v>
      </c>
      <c r="FK163" s="6"/>
      <c r="FL163" s="6"/>
      <c r="FM163" s="6"/>
      <c r="FN163" s="6"/>
      <c r="FO163" s="6"/>
      <c r="FP163" s="6"/>
      <c r="FQ163" s="6"/>
      <c r="FR163" s="6"/>
      <c r="FS163" s="6"/>
      <c r="FT163" s="7">
        <f>ROUND(3000,2)</f>
        <v>3000</v>
      </c>
      <c r="FU163" s="6"/>
      <c r="FV163" s="6"/>
      <c r="FW163" s="6"/>
      <c r="FX163" s="6"/>
      <c r="FY163" s="7">
        <f>ROUND(87069.2299999999,2)</f>
        <v>87069.23</v>
      </c>
    </row>
    <row r="164" spans="1:181" x14ac:dyDescent="0.3">
      <c r="A164" s="4" t="s">
        <v>275</v>
      </c>
      <c r="B164" s="5" t="s">
        <v>1029</v>
      </c>
      <c r="C164" s="5" t="s">
        <v>181</v>
      </c>
      <c r="D164" s="5" t="s">
        <v>276</v>
      </c>
      <c r="E164" s="5" t="s">
        <v>0</v>
      </c>
      <c r="F164" s="5" t="s">
        <v>0</v>
      </c>
      <c r="G164" s="5" t="s">
        <v>183</v>
      </c>
      <c r="H164" s="8">
        <v>33.380000000000003</v>
      </c>
      <c r="I164" s="7">
        <f>ROUND(82827.6899999999,2)</f>
        <v>82827.69</v>
      </c>
      <c r="J164" s="6"/>
      <c r="K164" s="6"/>
      <c r="L164" s="6"/>
      <c r="M164" s="6"/>
      <c r="N164" s="7">
        <f>ROUND(1424.45,2)</f>
        <v>1424.45</v>
      </c>
      <c r="O164" s="6"/>
      <c r="P164" s="6"/>
      <c r="Q164" s="7">
        <f>ROUND(93.22,2)</f>
        <v>93.22</v>
      </c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7">
        <f>ROUND(336.979999999999,2)</f>
        <v>336.98</v>
      </c>
      <c r="AF164" s="6"/>
      <c r="AG164" s="7">
        <f>ROUND(122.69,2)</f>
        <v>122.69</v>
      </c>
      <c r="AH164" s="6"/>
      <c r="AI164" s="6"/>
      <c r="AJ164" s="6"/>
      <c r="AK164" s="6"/>
      <c r="AL164" s="6"/>
      <c r="AM164" s="6"/>
      <c r="AN164" s="6"/>
      <c r="AO164" s="6"/>
      <c r="AP164" s="7">
        <f>ROUND(133.51,2)</f>
        <v>133.51</v>
      </c>
      <c r="AQ164" s="6"/>
      <c r="AR164" s="6"/>
      <c r="AS164" s="6"/>
      <c r="AT164" s="6"/>
      <c r="AU164" s="7">
        <f>ROUND(54,2)</f>
        <v>54</v>
      </c>
      <c r="AV164" s="6"/>
      <c r="AW164" s="7">
        <f>ROUND(32,2)</f>
        <v>32</v>
      </c>
      <c r="AX164" s="6"/>
      <c r="AY164" s="7">
        <f>ROUND(43,2)</f>
        <v>43</v>
      </c>
      <c r="AZ164" s="7">
        <f>ROUND(5,2)</f>
        <v>5</v>
      </c>
      <c r="BA164" s="6"/>
      <c r="BB164" s="7">
        <f>ROUND(40,2)</f>
        <v>40</v>
      </c>
      <c r="BC164" s="6"/>
      <c r="BD164" s="7">
        <f>ROUND(8,2)</f>
        <v>8</v>
      </c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7">
        <f>ROUND(24,2)</f>
        <v>24</v>
      </c>
      <c r="BT164" s="7">
        <f>ROUND(0.97,2)</f>
        <v>0.97</v>
      </c>
      <c r="BU164" s="6"/>
      <c r="BV164" s="6"/>
      <c r="BW164" s="7">
        <f>ROUND(16,2)</f>
        <v>16</v>
      </c>
      <c r="BX164" s="7">
        <f>ROUND(48,2)</f>
        <v>48</v>
      </c>
      <c r="BY164" s="6"/>
      <c r="BZ164" s="6"/>
      <c r="CA164" s="7">
        <f>ROUND(32,2)</f>
        <v>32</v>
      </c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7">
        <f>ROUND(2413.82,2)</f>
        <v>2413.8200000000002</v>
      </c>
      <c r="CR164" s="6"/>
      <c r="CS164" s="6"/>
      <c r="CT164" s="6"/>
      <c r="CU164" s="6"/>
      <c r="CV164" s="7">
        <f>ROUND(46250.9099999999,2)</f>
        <v>46250.91</v>
      </c>
      <c r="CW164" s="6"/>
      <c r="CX164" s="6"/>
      <c r="CY164" s="7">
        <f>ROUND(4493.48,2)</f>
        <v>4493.4799999999996</v>
      </c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7">
        <f>ROUND(11073.9199999999,2)</f>
        <v>11073.92</v>
      </c>
      <c r="DO164" s="6"/>
      <c r="DP164" s="7">
        <f>ROUND(6035.48,2)</f>
        <v>6035.48</v>
      </c>
      <c r="DQ164" s="6"/>
      <c r="DR164" s="6"/>
      <c r="DS164" s="6"/>
      <c r="DT164" s="6"/>
      <c r="DU164" s="6"/>
      <c r="DV164" s="6"/>
      <c r="DW164" s="6"/>
      <c r="DX164" s="6"/>
      <c r="DY164" s="7">
        <f>ROUND(4434.67,2)</f>
        <v>4434.67</v>
      </c>
      <c r="DZ164" s="6"/>
      <c r="EA164" s="6"/>
      <c r="EB164" s="6"/>
      <c r="EC164" s="6"/>
      <c r="ED164" s="7">
        <f>ROUND(1761.12,2)</f>
        <v>1761.12</v>
      </c>
      <c r="EE164" s="6"/>
      <c r="EF164" s="7">
        <f>ROUND(1034.56,2)</f>
        <v>1034.56</v>
      </c>
      <c r="EG164" s="6"/>
      <c r="EH164" s="7">
        <f>ROUND(1387.55,2)</f>
        <v>1387.55</v>
      </c>
      <c r="EI164" s="7">
        <f>ROUND(240.68,2)</f>
        <v>240.68</v>
      </c>
      <c r="EJ164" s="6"/>
      <c r="EK164" s="7">
        <f>ROUND(1283.6,2)</f>
        <v>1283.5999999999999</v>
      </c>
      <c r="EL164" s="6"/>
      <c r="EM164" s="6"/>
      <c r="EN164" s="7">
        <f>ROUND(256.72,2)</f>
        <v>256.72000000000003</v>
      </c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7">
        <f>ROUND(1575,2)</f>
        <v>1575</v>
      </c>
      <c r="FK164" s="6"/>
      <c r="FL164" s="6"/>
      <c r="FM164" s="6"/>
      <c r="FN164" s="6"/>
      <c r="FO164" s="6"/>
      <c r="FP164" s="6"/>
      <c r="FQ164" s="6"/>
      <c r="FR164" s="6"/>
      <c r="FS164" s="6"/>
      <c r="FT164" s="7">
        <f>ROUND(3000,2)</f>
        <v>3000</v>
      </c>
      <c r="FU164" s="6"/>
      <c r="FV164" s="6"/>
      <c r="FW164" s="6"/>
      <c r="FX164" s="6"/>
      <c r="FY164" s="7">
        <f>ROUND(82827.6899999999,2)</f>
        <v>82827.69</v>
      </c>
    </row>
    <row r="165" spans="1:181" x14ac:dyDescent="0.3">
      <c r="A165" s="4" t="s">
        <v>277</v>
      </c>
      <c r="B165" s="5" t="s">
        <v>1029</v>
      </c>
      <c r="C165" s="5" t="s">
        <v>181</v>
      </c>
      <c r="D165" s="5" t="s">
        <v>278</v>
      </c>
      <c r="E165" s="5" t="s">
        <v>0</v>
      </c>
      <c r="F165" s="5" t="s">
        <v>0</v>
      </c>
      <c r="G165" s="5" t="s">
        <v>183</v>
      </c>
      <c r="H165" s="9">
        <v>26.7</v>
      </c>
      <c r="I165" s="7">
        <f>ROUND(17939.19,2)</f>
        <v>17939.189999999999</v>
      </c>
      <c r="J165" s="6"/>
      <c r="K165" s="6"/>
      <c r="L165" s="6"/>
      <c r="M165" s="6"/>
      <c r="N165" s="7">
        <f>ROUND(316.25,2)</f>
        <v>316.25</v>
      </c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7">
        <f>ROUND(2.75,2)</f>
        <v>2.75</v>
      </c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7">
        <f>ROUND(4.25,2)</f>
        <v>4.25</v>
      </c>
      <c r="AQ165" s="6"/>
      <c r="AR165" s="6"/>
      <c r="AS165" s="6"/>
      <c r="AT165" s="6"/>
      <c r="AU165" s="7">
        <f>ROUND(15,2)</f>
        <v>15</v>
      </c>
      <c r="AV165" s="6"/>
      <c r="AW165" s="6"/>
      <c r="AX165" s="6"/>
      <c r="AY165" s="6"/>
      <c r="AZ165" s="6"/>
      <c r="BA165" s="6"/>
      <c r="BB165" s="6"/>
      <c r="BC165" s="6"/>
      <c r="BD165" s="7">
        <f>ROUND(335.8,2)</f>
        <v>335.8</v>
      </c>
      <c r="BE165" s="6"/>
      <c r="BF165" s="7">
        <f>ROUND(17.65,2)</f>
        <v>17.649999999999999</v>
      </c>
      <c r="BG165" s="6"/>
      <c r="BH165" s="6"/>
      <c r="BI165" s="7">
        <f>ROUND(61.03,2)</f>
        <v>61.03</v>
      </c>
      <c r="BJ165" s="7">
        <f>ROUND(11.47,2)</f>
        <v>11.47</v>
      </c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7">
        <f>ROUND(764.2,2)</f>
        <v>764.2</v>
      </c>
      <c r="CR165" s="6"/>
      <c r="CS165" s="6"/>
      <c r="CT165" s="6"/>
      <c r="CU165" s="6"/>
      <c r="CV165" s="7">
        <f>ROUND(8041.96,2)</f>
        <v>8041.96</v>
      </c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7">
        <f>ROUND(72.71,2)</f>
        <v>72.709999999999994</v>
      </c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7">
        <f>ROUND(112.37,2)</f>
        <v>112.37</v>
      </c>
      <c r="DZ165" s="6"/>
      <c r="EA165" s="6"/>
      <c r="EB165" s="6"/>
      <c r="EC165" s="6"/>
      <c r="ED165" s="7">
        <f>ROUND(353.2,2)</f>
        <v>353.2</v>
      </c>
      <c r="EE165" s="6"/>
      <c r="EF165" s="6"/>
      <c r="EG165" s="6"/>
      <c r="EH165" s="6"/>
      <c r="EI165" s="6"/>
      <c r="EJ165" s="6"/>
      <c r="EK165" s="6"/>
      <c r="EL165" s="6"/>
      <c r="EM165" s="6"/>
      <c r="EN165" s="7">
        <f>ROUND(5876.51,2)</f>
        <v>5876.51</v>
      </c>
      <c r="EO165" s="6"/>
      <c r="EP165" s="7">
        <f>ROUND(463.31,2)</f>
        <v>463.31</v>
      </c>
      <c r="EQ165" s="6"/>
      <c r="ER165" s="6"/>
      <c r="ES165" s="6"/>
      <c r="ET165" s="7">
        <f>ROUND(1068.04,2)</f>
        <v>1068.04</v>
      </c>
      <c r="EU165" s="7">
        <f>ROUND(301.09,2)</f>
        <v>301.08999999999997</v>
      </c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7">
        <f>ROUND(150,2)</f>
        <v>150</v>
      </c>
      <c r="FK165" s="6"/>
      <c r="FL165" s="6"/>
      <c r="FM165" s="6"/>
      <c r="FN165" s="6"/>
      <c r="FO165" s="6"/>
      <c r="FP165" s="6"/>
      <c r="FQ165" s="6"/>
      <c r="FR165" s="6"/>
      <c r="FS165" s="6"/>
      <c r="FT165" s="7">
        <f>ROUND(1500,2)</f>
        <v>1500</v>
      </c>
      <c r="FU165" s="6"/>
      <c r="FV165" s="6"/>
      <c r="FW165" s="6"/>
      <c r="FX165" s="6"/>
      <c r="FY165" s="7">
        <f>ROUND(17939.19,2)</f>
        <v>17939.189999999999</v>
      </c>
    </row>
    <row r="166" spans="1:181" x14ac:dyDescent="0.3">
      <c r="A166" s="4" t="s">
        <v>279</v>
      </c>
      <c r="B166" s="5" t="s">
        <v>1029</v>
      </c>
      <c r="C166" s="5" t="s">
        <v>181</v>
      </c>
      <c r="D166" s="5" t="s">
        <v>257</v>
      </c>
      <c r="E166" s="5" t="s">
        <v>0</v>
      </c>
      <c r="F166" s="5" t="s">
        <v>0</v>
      </c>
      <c r="G166" s="5" t="s">
        <v>183</v>
      </c>
      <c r="H166" s="8">
        <v>33.880000000000003</v>
      </c>
      <c r="I166" s="7">
        <f>ROUND(88291.61,2)</f>
        <v>88291.61</v>
      </c>
      <c r="J166" s="6"/>
      <c r="K166" s="6"/>
      <c r="L166" s="6"/>
      <c r="M166" s="6"/>
      <c r="N166" s="7">
        <f>ROUND(1827.6,2)</f>
        <v>1827.6</v>
      </c>
      <c r="O166" s="6"/>
      <c r="P166" s="6"/>
      <c r="Q166" s="7">
        <f>ROUND(264.01,2)</f>
        <v>264.01</v>
      </c>
      <c r="R166" s="6"/>
      <c r="S166" s="6"/>
      <c r="T166" s="6"/>
      <c r="U166" s="6"/>
      <c r="V166" s="6"/>
      <c r="W166" s="6"/>
      <c r="X166" s="7">
        <f>ROUND(0.22,2)</f>
        <v>0.22</v>
      </c>
      <c r="Y166" s="6"/>
      <c r="Z166" s="6"/>
      <c r="AA166" s="6"/>
      <c r="AB166" s="6"/>
      <c r="AC166" s="6"/>
      <c r="AD166" s="6"/>
      <c r="AE166" s="7">
        <f>ROUND(8,2)</f>
        <v>8</v>
      </c>
      <c r="AF166" s="6"/>
      <c r="AG166" s="7">
        <f>ROUND(6.25,2)</f>
        <v>6.25</v>
      </c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7">
        <f>ROUND(4.75,2)</f>
        <v>4.75</v>
      </c>
      <c r="AS166" s="6"/>
      <c r="AT166" s="6"/>
      <c r="AU166" s="7">
        <f>ROUND(52,2)</f>
        <v>52</v>
      </c>
      <c r="AV166" s="6"/>
      <c r="AW166" s="7">
        <f>ROUND(27.23,2)</f>
        <v>27.23</v>
      </c>
      <c r="AX166" s="7">
        <f>ROUND(12.77,2)</f>
        <v>12.77</v>
      </c>
      <c r="AY166" s="7">
        <f>ROUND(70.5399999999999,2)</f>
        <v>70.540000000000006</v>
      </c>
      <c r="AZ166" s="7">
        <f>ROUND(17.46,2)</f>
        <v>17.46</v>
      </c>
      <c r="BA166" s="6"/>
      <c r="BB166" s="7">
        <f>ROUND(8,2)</f>
        <v>8</v>
      </c>
      <c r="BC166" s="6"/>
      <c r="BD166" s="7">
        <f>ROUND(8,2)</f>
        <v>8</v>
      </c>
      <c r="BE166" s="7">
        <f>ROUND(5.33,2)</f>
        <v>5.33</v>
      </c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7">
        <f>ROUND(0.67,2)</f>
        <v>0.67</v>
      </c>
      <c r="BU166" s="6"/>
      <c r="BV166" s="6"/>
      <c r="BW166" s="7">
        <f>ROUND(16,2)</f>
        <v>16</v>
      </c>
      <c r="BX166" s="7">
        <f>ROUND(48,2)</f>
        <v>48</v>
      </c>
      <c r="BY166" s="6"/>
      <c r="BZ166" s="7">
        <f>ROUND(76.67,2)</f>
        <v>76.67</v>
      </c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7">
        <f>ROUND(112,2)</f>
        <v>112</v>
      </c>
      <c r="CQ166" s="7">
        <f>ROUND(2565.49999999999,2)</f>
        <v>2565.5</v>
      </c>
      <c r="CR166" s="6"/>
      <c r="CS166" s="6"/>
      <c r="CT166" s="6"/>
      <c r="CU166" s="6"/>
      <c r="CV166" s="7">
        <f>ROUND(59636.2299999999,2)</f>
        <v>59636.23</v>
      </c>
      <c r="CW166" s="6"/>
      <c r="CX166" s="6"/>
      <c r="CY166" s="7">
        <f>ROUND(12947.19,2)</f>
        <v>12947.19</v>
      </c>
      <c r="CZ166" s="6"/>
      <c r="DA166" s="6"/>
      <c r="DB166" s="6"/>
      <c r="DC166" s="6"/>
      <c r="DD166" s="6"/>
      <c r="DE166" s="6"/>
      <c r="DF166" s="7">
        <f>ROUND(7.06,2)</f>
        <v>7.06</v>
      </c>
      <c r="DG166" s="6"/>
      <c r="DH166" s="6"/>
      <c r="DI166" s="6"/>
      <c r="DJ166" s="6"/>
      <c r="DK166" s="6"/>
      <c r="DL166" s="6"/>
      <c r="DM166" s="6"/>
      <c r="DN166" s="7">
        <f>ROUND(256.72,2)</f>
        <v>256.72000000000003</v>
      </c>
      <c r="DO166" s="6"/>
      <c r="DP166" s="7">
        <f>ROUND(309.84,2)</f>
        <v>309.83999999999997</v>
      </c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7">
        <f>ROUND(235.48,2)</f>
        <v>235.48</v>
      </c>
      <c r="EB166" s="6"/>
      <c r="EC166" s="6"/>
      <c r="ED166" s="7">
        <f>ROUND(1706.04,2)</f>
        <v>1706.04</v>
      </c>
      <c r="EE166" s="6"/>
      <c r="EF166" s="7">
        <f>ROUND(899.579999999999,2)</f>
        <v>899.58</v>
      </c>
      <c r="EG166" s="7">
        <f>ROUND(632.069999999999,2)</f>
        <v>632.07000000000005</v>
      </c>
      <c r="EH166" s="7">
        <f>ROUND(2274.50999999999,2)</f>
        <v>2274.5100000000002</v>
      </c>
      <c r="EI166" s="7">
        <f>ROUND(847.17,2)</f>
        <v>847.17</v>
      </c>
      <c r="EJ166" s="6"/>
      <c r="EK166" s="7">
        <f>ROUND(256.72,2)</f>
        <v>256.72000000000003</v>
      </c>
      <c r="EL166" s="6"/>
      <c r="EM166" s="6"/>
      <c r="EN166" s="7">
        <f>ROUND(256.72,2)</f>
        <v>256.72000000000003</v>
      </c>
      <c r="EO166" s="7">
        <f>ROUND(171.04,2)</f>
        <v>171.04</v>
      </c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7">
        <f>ROUND(1075,2)</f>
        <v>1075</v>
      </c>
      <c r="FK166" s="6"/>
      <c r="FL166" s="6"/>
      <c r="FM166" s="6"/>
      <c r="FN166" s="6"/>
      <c r="FO166" s="6"/>
      <c r="FP166" s="6"/>
      <c r="FQ166" s="6"/>
      <c r="FR166" s="6"/>
      <c r="FS166" s="6"/>
      <c r="FT166" s="7">
        <f>ROUND(3000,2)</f>
        <v>3000</v>
      </c>
      <c r="FU166" s="6"/>
      <c r="FV166" s="6"/>
      <c r="FW166" s="6"/>
      <c r="FX166" s="7">
        <f>ROUND(3780.24,2)</f>
        <v>3780.24</v>
      </c>
      <c r="FY166" s="7">
        <f>ROUND(88291.61,2)</f>
        <v>88291.61</v>
      </c>
    </row>
    <row r="167" spans="1:181" x14ac:dyDescent="0.3">
      <c r="A167" s="4" t="s">
        <v>288</v>
      </c>
      <c r="B167" s="5" t="s">
        <v>1029</v>
      </c>
      <c r="C167" s="5" t="s">
        <v>181</v>
      </c>
      <c r="D167" s="5" t="s">
        <v>289</v>
      </c>
      <c r="E167" s="5" t="s">
        <v>0</v>
      </c>
      <c r="F167" s="5" t="s">
        <v>0</v>
      </c>
      <c r="G167" s="5" t="s">
        <v>183</v>
      </c>
      <c r="H167" s="8">
        <v>33.880000000000003</v>
      </c>
      <c r="I167" s="7">
        <f>ROUND(52612.28,2)</f>
        <v>52612.28</v>
      </c>
      <c r="J167" s="6"/>
      <c r="K167" s="6"/>
      <c r="L167" s="6"/>
      <c r="M167" s="6"/>
      <c r="N167" s="7">
        <f>ROUND(611.349999999999,2)</f>
        <v>611.35</v>
      </c>
      <c r="O167" s="6"/>
      <c r="P167" s="6"/>
      <c r="Q167" s="7">
        <f>ROUND(27.8099999999999,2)</f>
        <v>27.81</v>
      </c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7">
        <f>ROUND(474.739999999999,2)</f>
        <v>474.74</v>
      </c>
      <c r="AF167" s="6"/>
      <c r="AG167" s="7">
        <f>ROUND(29.88,2)</f>
        <v>29.88</v>
      </c>
      <c r="AH167" s="6"/>
      <c r="AI167" s="6"/>
      <c r="AJ167" s="6"/>
      <c r="AK167" s="6"/>
      <c r="AL167" s="6"/>
      <c r="AM167" s="6"/>
      <c r="AN167" s="6"/>
      <c r="AO167" s="6"/>
      <c r="AP167" s="7">
        <f>ROUND(98.33,2)</f>
        <v>98.33</v>
      </c>
      <c r="AQ167" s="6"/>
      <c r="AR167" s="7">
        <f>ROUND(13,2)</f>
        <v>13</v>
      </c>
      <c r="AS167" s="6"/>
      <c r="AT167" s="6"/>
      <c r="AU167" s="7">
        <f>ROUND(56,2)</f>
        <v>56</v>
      </c>
      <c r="AV167" s="6"/>
      <c r="AW167" s="7">
        <f>ROUND(32,2)</f>
        <v>32</v>
      </c>
      <c r="AX167" s="6"/>
      <c r="AY167" s="6"/>
      <c r="AZ167" s="7">
        <f>ROUND(10,2)</f>
        <v>10</v>
      </c>
      <c r="BA167" s="6"/>
      <c r="BB167" s="7">
        <f>ROUND(16,2)</f>
        <v>16</v>
      </c>
      <c r="BC167" s="6"/>
      <c r="BD167" s="7">
        <f>ROUND(8,2)</f>
        <v>8</v>
      </c>
      <c r="BE167" s="7">
        <f>ROUND(2.67,2)</f>
        <v>2.67</v>
      </c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7">
        <f>ROUND(9.3,2)</f>
        <v>9.3000000000000007</v>
      </c>
      <c r="BR167" s="7">
        <f>ROUND(0.7,2)</f>
        <v>0.7</v>
      </c>
      <c r="BS167" s="7">
        <f>ROUND(104,2)</f>
        <v>104</v>
      </c>
      <c r="BT167" s="7">
        <f>ROUND(6.59,2)</f>
        <v>6.59</v>
      </c>
      <c r="BU167" s="7">
        <f>ROUND(80,2)</f>
        <v>80</v>
      </c>
      <c r="BV167" s="6"/>
      <c r="BW167" s="7">
        <f>ROUND(16,2)</f>
        <v>16</v>
      </c>
      <c r="BX167" s="6"/>
      <c r="BY167" s="7">
        <f>ROUND(24,2)</f>
        <v>24</v>
      </c>
      <c r="BZ167" s="6"/>
      <c r="CA167" s="7">
        <f>ROUND(32,2)</f>
        <v>32</v>
      </c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7">
        <f>ROUND(64,2)</f>
        <v>64</v>
      </c>
      <c r="CQ167" s="7">
        <f>ROUND(1716.37,2)</f>
        <v>1716.37</v>
      </c>
      <c r="CR167" s="6"/>
      <c r="CS167" s="6"/>
      <c r="CT167" s="6"/>
      <c r="CU167" s="6"/>
      <c r="CV167" s="7">
        <f>ROUND(19762.42,2)</f>
        <v>19762.419999999998</v>
      </c>
      <c r="CW167" s="6"/>
      <c r="CX167" s="6"/>
      <c r="CY167" s="7">
        <f>ROUND(1338.62999999999,2)</f>
        <v>1338.63</v>
      </c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7">
        <f>ROUND(15453.78,2)</f>
        <v>15453.78</v>
      </c>
      <c r="DO167" s="6"/>
      <c r="DP167" s="7">
        <f>ROUND(1447.42999999999,2)</f>
        <v>1447.43</v>
      </c>
      <c r="DQ167" s="6"/>
      <c r="DR167" s="6"/>
      <c r="DS167" s="6"/>
      <c r="DT167" s="6"/>
      <c r="DU167" s="6"/>
      <c r="DV167" s="6"/>
      <c r="DW167" s="6"/>
      <c r="DX167" s="6"/>
      <c r="DY167" s="7">
        <f>ROUND(3251.3,2)</f>
        <v>3251.3</v>
      </c>
      <c r="DZ167" s="6"/>
      <c r="EA167" s="7">
        <f>ROUND(628.46,2)</f>
        <v>628.46</v>
      </c>
      <c r="EB167" s="6"/>
      <c r="EC167" s="6"/>
      <c r="ED167" s="7">
        <f>ROUND(1812.4,2)</f>
        <v>1812.4</v>
      </c>
      <c r="EE167" s="6"/>
      <c r="EF167" s="7">
        <f>ROUND(1026.88,2)</f>
        <v>1026.8800000000001</v>
      </c>
      <c r="EG167" s="6"/>
      <c r="EH167" s="6"/>
      <c r="EI167" s="7">
        <f>ROUND(481.35,2)</f>
        <v>481.35</v>
      </c>
      <c r="EJ167" s="6"/>
      <c r="EK167" s="7">
        <f>ROUND(513.44,2)</f>
        <v>513.44000000000005</v>
      </c>
      <c r="EL167" s="6"/>
      <c r="EM167" s="6"/>
      <c r="EN167" s="7">
        <f>ROUND(256.72,2)</f>
        <v>256.72000000000003</v>
      </c>
      <c r="EO167" s="7">
        <f>ROUND(86.08,2)</f>
        <v>86.08</v>
      </c>
      <c r="EP167" s="6"/>
      <c r="EQ167" s="6"/>
      <c r="ER167" s="6"/>
      <c r="ES167" s="6"/>
      <c r="ET167" s="6"/>
      <c r="EU167" s="6"/>
      <c r="EV167" s="7">
        <f>ROUND(500,2)</f>
        <v>500</v>
      </c>
      <c r="EW167" s="6"/>
      <c r="EX167" s="6"/>
      <c r="EY167" s="6"/>
      <c r="EZ167" s="6"/>
      <c r="FA167" s="6"/>
      <c r="FB167" s="6"/>
      <c r="FC167" s="6"/>
      <c r="FD167" s="7">
        <f>ROUND(307.37,2)</f>
        <v>307.37</v>
      </c>
      <c r="FE167" s="7">
        <f>ROUND(34.7,2)</f>
        <v>34.700000000000003</v>
      </c>
      <c r="FF167" s="6"/>
      <c r="FG167" s="6"/>
      <c r="FH167" s="6"/>
      <c r="FI167" s="6"/>
      <c r="FJ167" s="7">
        <f>ROUND(575,2)</f>
        <v>575</v>
      </c>
      <c r="FK167" s="6"/>
      <c r="FL167" s="6"/>
      <c r="FM167" s="6"/>
      <c r="FN167" s="6"/>
      <c r="FO167" s="6"/>
      <c r="FP167" s="6"/>
      <c r="FQ167" s="6"/>
      <c r="FR167" s="6"/>
      <c r="FS167" s="6"/>
      <c r="FT167" s="7">
        <f>ROUND(3000,2)</f>
        <v>3000</v>
      </c>
      <c r="FU167" s="6"/>
      <c r="FV167" s="6"/>
      <c r="FW167" s="6"/>
      <c r="FX167" s="7">
        <f>ROUND(2136.32,2)</f>
        <v>2136.3200000000002</v>
      </c>
      <c r="FY167" s="7">
        <f>ROUND(52612.28,2)</f>
        <v>52612.28</v>
      </c>
    </row>
    <row r="168" spans="1:181" x14ac:dyDescent="0.3">
      <c r="A168" s="4" t="s">
        <v>297</v>
      </c>
      <c r="B168" s="5" t="s">
        <v>1029</v>
      </c>
      <c r="C168" s="5" t="s">
        <v>181</v>
      </c>
      <c r="D168" s="5" t="s">
        <v>298</v>
      </c>
      <c r="E168" s="5" t="s">
        <v>299</v>
      </c>
      <c r="F168" s="5" t="s">
        <v>0</v>
      </c>
      <c r="G168" s="5" t="s">
        <v>183</v>
      </c>
      <c r="H168" s="8">
        <v>32.090000000000003</v>
      </c>
      <c r="I168" s="7">
        <f>ROUND(16356.1499999999,2)</f>
        <v>16356.15</v>
      </c>
      <c r="J168" s="6"/>
      <c r="K168" s="6"/>
      <c r="L168" s="6"/>
      <c r="M168" s="6"/>
      <c r="N168" s="7">
        <f>ROUND(249.8,2)</f>
        <v>249.8</v>
      </c>
      <c r="O168" s="6"/>
      <c r="P168" s="6"/>
      <c r="Q168" s="7">
        <f>ROUND(3.66,2)</f>
        <v>3.66</v>
      </c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7">
        <f>ROUND(16,2)</f>
        <v>16</v>
      </c>
      <c r="AV168" s="6"/>
      <c r="AW168" s="7">
        <f>ROUND(29.33,2)</f>
        <v>29.33</v>
      </c>
      <c r="AX168" s="7">
        <f>ROUND(2.67,2)</f>
        <v>2.67</v>
      </c>
      <c r="AY168" s="7">
        <f>ROUND(152,2)</f>
        <v>152</v>
      </c>
      <c r="AZ168" s="6"/>
      <c r="BA168" s="6"/>
      <c r="BB168" s="7">
        <f>ROUND(40,2)</f>
        <v>40</v>
      </c>
      <c r="BC168" s="6"/>
      <c r="BD168" s="7">
        <f>ROUND(8,2)</f>
        <v>8</v>
      </c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7">
        <f>ROUND(344,2)</f>
        <v>344</v>
      </c>
      <c r="BT168" s="6"/>
      <c r="BU168" s="6"/>
      <c r="BV168" s="6"/>
      <c r="BW168" s="7">
        <f>ROUND(8,2)</f>
        <v>8</v>
      </c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7">
        <f>ROUND(853.46,2)</f>
        <v>853.46</v>
      </c>
      <c r="CR168" s="6"/>
      <c r="CS168" s="6"/>
      <c r="CT168" s="6"/>
      <c r="CU168" s="6"/>
      <c r="CV168" s="7">
        <f>ROUND(8053.82,2)</f>
        <v>8053.82</v>
      </c>
      <c r="CW168" s="6"/>
      <c r="CX168" s="6"/>
      <c r="CY168" s="7">
        <f>ROUND(176.17,2)</f>
        <v>176.17</v>
      </c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7">
        <f>ROUND(513.44,2)</f>
        <v>513.44000000000005</v>
      </c>
      <c r="EE168" s="6"/>
      <c r="EF168" s="7">
        <f>ROUND(941.2,2)</f>
        <v>941.2</v>
      </c>
      <c r="EG168" s="7">
        <f>ROUND(128.52,2)</f>
        <v>128.52000000000001</v>
      </c>
      <c r="EH168" s="7">
        <f>ROUND(4877.68,2)</f>
        <v>4877.68</v>
      </c>
      <c r="EI168" s="6"/>
      <c r="EJ168" s="6"/>
      <c r="EK168" s="7">
        <f>ROUND(1283.6,2)</f>
        <v>1283.5999999999999</v>
      </c>
      <c r="EL168" s="6"/>
      <c r="EM168" s="6"/>
      <c r="EN168" s="7">
        <f>ROUND(256.72,2)</f>
        <v>256.72000000000003</v>
      </c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7">
        <f>ROUND(125,2)</f>
        <v>125</v>
      </c>
      <c r="FS168" s="6"/>
      <c r="FT168" s="6"/>
      <c r="FU168" s="6"/>
      <c r="FV168" s="6"/>
      <c r="FW168" s="6"/>
      <c r="FX168" s="6"/>
      <c r="FY168" s="7">
        <f>ROUND(16356.15,2)</f>
        <v>16356.15</v>
      </c>
    </row>
    <row r="169" spans="1:181" x14ac:dyDescent="0.3">
      <c r="A169" s="4" t="s">
        <v>300</v>
      </c>
      <c r="B169" s="5" t="s">
        <v>1029</v>
      </c>
      <c r="C169" s="5" t="s">
        <v>181</v>
      </c>
      <c r="D169" s="5" t="s">
        <v>301</v>
      </c>
      <c r="E169" s="5" t="s">
        <v>292</v>
      </c>
      <c r="F169" s="5" t="s">
        <v>0</v>
      </c>
      <c r="G169" s="5" t="s">
        <v>183</v>
      </c>
      <c r="H169" s="9">
        <v>17.5</v>
      </c>
      <c r="I169" s="7">
        <f>ROUND(2612.93,2)</f>
        <v>2612.9299999999998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7">
        <f>ROUND(149.31,2)</f>
        <v>149.31</v>
      </c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7">
        <f>ROUND(5,2)</f>
        <v>5</v>
      </c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7">
        <f>ROUND(154.31,2)</f>
        <v>154.31</v>
      </c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7">
        <f>ROUND(2612.93,2)</f>
        <v>2612.9299999999998</v>
      </c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7">
        <f>ROUND(2612.93,2)</f>
        <v>2612.9299999999998</v>
      </c>
    </row>
    <row r="170" spans="1:181" x14ac:dyDescent="0.3">
      <c r="A170" s="4" t="s">
        <v>302</v>
      </c>
      <c r="B170" s="5" t="s">
        <v>1029</v>
      </c>
      <c r="C170" s="5" t="s">
        <v>181</v>
      </c>
      <c r="D170" s="5" t="s">
        <v>303</v>
      </c>
      <c r="E170" s="5" t="s">
        <v>0</v>
      </c>
      <c r="F170" s="5" t="s">
        <v>0</v>
      </c>
      <c r="G170" s="5" t="s">
        <v>183</v>
      </c>
      <c r="H170" s="9">
        <v>33.380000000000003</v>
      </c>
      <c r="I170" s="7">
        <f>ROUND(79724.78,2)</f>
        <v>79724.78</v>
      </c>
      <c r="J170" s="6"/>
      <c r="K170" s="6"/>
      <c r="L170" s="6"/>
      <c r="M170" s="6"/>
      <c r="N170" s="7">
        <f>ROUND(830.899999999999,2)</f>
        <v>830.9</v>
      </c>
      <c r="O170" s="6"/>
      <c r="P170" s="6"/>
      <c r="Q170" s="7">
        <f>ROUND(102.1,2)</f>
        <v>102.1</v>
      </c>
      <c r="R170" s="6"/>
      <c r="S170" s="6"/>
      <c r="T170" s="6"/>
      <c r="U170" s="6"/>
      <c r="V170" s="7">
        <f>ROUND(21.4799999999999,2)</f>
        <v>21.48</v>
      </c>
      <c r="W170" s="6"/>
      <c r="X170" s="6"/>
      <c r="Y170" s="6"/>
      <c r="Z170" s="6"/>
      <c r="AA170" s="6"/>
      <c r="AB170" s="6"/>
      <c r="AC170" s="6"/>
      <c r="AD170" s="6"/>
      <c r="AE170" s="7">
        <f>ROUND(375.92,2)</f>
        <v>375.92</v>
      </c>
      <c r="AF170" s="6"/>
      <c r="AG170" s="7">
        <f>ROUND(27.9,2)</f>
        <v>27.9</v>
      </c>
      <c r="AH170" s="6"/>
      <c r="AI170" s="6"/>
      <c r="AJ170" s="6"/>
      <c r="AK170" s="6"/>
      <c r="AL170" s="6"/>
      <c r="AM170" s="6"/>
      <c r="AN170" s="6"/>
      <c r="AO170" s="6"/>
      <c r="AP170" s="7">
        <f>ROUND(724.64,2)</f>
        <v>724.64</v>
      </c>
      <c r="AQ170" s="6"/>
      <c r="AR170" s="7">
        <f>ROUND(81.69,2)</f>
        <v>81.69</v>
      </c>
      <c r="AS170" s="6"/>
      <c r="AT170" s="6"/>
      <c r="AU170" s="7">
        <f>ROUND(76,2)</f>
        <v>76</v>
      </c>
      <c r="AV170" s="6"/>
      <c r="AW170" s="7">
        <f>ROUND(28.83,2)</f>
        <v>28.83</v>
      </c>
      <c r="AX170" s="7">
        <f>ROUND(1.17,2)</f>
        <v>1.17</v>
      </c>
      <c r="AY170" s="7">
        <f>ROUND(20.83,2)</f>
        <v>20.83</v>
      </c>
      <c r="AZ170" s="7">
        <f>ROUND(3.17,2)</f>
        <v>3.17</v>
      </c>
      <c r="BA170" s="6"/>
      <c r="BB170" s="7">
        <f>ROUND(16,2)</f>
        <v>16</v>
      </c>
      <c r="BC170" s="6"/>
      <c r="BD170" s="7">
        <f>ROUND(8,2)</f>
        <v>8</v>
      </c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7">
        <f>ROUND(18.58,2)</f>
        <v>18.579999999999998</v>
      </c>
      <c r="BP170" s="6"/>
      <c r="BQ170" s="7">
        <f>ROUND(16,2)</f>
        <v>16</v>
      </c>
      <c r="BR170" s="6"/>
      <c r="BS170" s="6"/>
      <c r="BT170" s="6"/>
      <c r="BU170" s="6"/>
      <c r="BV170" s="6"/>
      <c r="BW170" s="6"/>
      <c r="BX170" s="6"/>
      <c r="BY170" s="7">
        <f>ROUND(16,2)</f>
        <v>16</v>
      </c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7">
        <f>ROUND(2369.21,2)</f>
        <v>2369.21</v>
      </c>
      <c r="CR170" s="6"/>
      <c r="CS170" s="6"/>
      <c r="CT170" s="6"/>
      <c r="CU170" s="6"/>
      <c r="CV170" s="7">
        <f>ROUND(25496.7899999999,2)</f>
        <v>25496.79</v>
      </c>
      <c r="CW170" s="6"/>
      <c r="CX170" s="6"/>
      <c r="CY170" s="7">
        <f>ROUND(4778.66999999999,2)</f>
        <v>4778.67</v>
      </c>
      <c r="CZ170" s="6"/>
      <c r="DA170" s="6"/>
      <c r="DB170" s="6"/>
      <c r="DC170" s="6"/>
      <c r="DD170" s="7">
        <f>ROUND(694.42,2)</f>
        <v>694.42</v>
      </c>
      <c r="DE170" s="6"/>
      <c r="DF170" s="6"/>
      <c r="DG170" s="6"/>
      <c r="DH170" s="6"/>
      <c r="DI170" s="6"/>
      <c r="DJ170" s="6"/>
      <c r="DK170" s="6"/>
      <c r="DL170" s="6"/>
      <c r="DM170" s="6"/>
      <c r="DN170" s="7">
        <f>ROUND(11510.81,2)</f>
        <v>11510.81</v>
      </c>
      <c r="DO170" s="6"/>
      <c r="DP170" s="7">
        <f>ROUND(1318.18,2)</f>
        <v>1318.18</v>
      </c>
      <c r="DQ170" s="6"/>
      <c r="DR170" s="6"/>
      <c r="DS170" s="6"/>
      <c r="DT170" s="6"/>
      <c r="DU170" s="6"/>
      <c r="DV170" s="6"/>
      <c r="DW170" s="6"/>
      <c r="DX170" s="6"/>
      <c r="DY170" s="7">
        <f>ROUND(22143.0699999999,2)</f>
        <v>22143.07</v>
      </c>
      <c r="DZ170" s="6"/>
      <c r="EA170" s="7">
        <f>ROUND(3721.62,2)</f>
        <v>3721.62</v>
      </c>
      <c r="EB170" s="6"/>
      <c r="EC170" s="6"/>
      <c r="ED170" s="7">
        <f>ROUND(2325.7,2)</f>
        <v>2325.6999999999998</v>
      </c>
      <c r="EE170" s="6"/>
      <c r="EF170" s="7">
        <f>ROUND(888.13,2)</f>
        <v>888.13</v>
      </c>
      <c r="EG170" s="7">
        <f>ROUND(53.51,2)</f>
        <v>53.51</v>
      </c>
      <c r="EH170" s="7">
        <f>ROUND(667.26,2)</f>
        <v>667.26</v>
      </c>
      <c r="EI170" s="7">
        <f>ROUND(149.31,2)</f>
        <v>149.31</v>
      </c>
      <c r="EJ170" s="6"/>
      <c r="EK170" s="7">
        <f>ROUND(462.08,2)</f>
        <v>462.08</v>
      </c>
      <c r="EL170" s="6"/>
      <c r="EM170" s="6"/>
      <c r="EN170" s="7">
        <f>ROUND(243.92,2)</f>
        <v>243.92</v>
      </c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7">
        <f>ROUND(600.87,2)</f>
        <v>600.87</v>
      </c>
      <c r="FC170" s="6"/>
      <c r="FD170" s="7">
        <f>ROUND(495.439999999999,2)</f>
        <v>495.44</v>
      </c>
      <c r="FE170" s="6"/>
      <c r="FF170" s="6"/>
      <c r="FG170" s="6"/>
      <c r="FH170" s="6"/>
      <c r="FI170" s="6"/>
      <c r="FJ170" s="7">
        <f>ROUND(1175,2)</f>
        <v>1175</v>
      </c>
      <c r="FK170" s="6"/>
      <c r="FL170" s="6"/>
      <c r="FM170" s="6"/>
      <c r="FN170" s="6"/>
      <c r="FO170" s="6"/>
      <c r="FP170" s="6"/>
      <c r="FQ170" s="6"/>
      <c r="FR170" s="6"/>
      <c r="FS170" s="6"/>
      <c r="FT170" s="7">
        <f>ROUND(3000,2)</f>
        <v>3000</v>
      </c>
      <c r="FU170" s="6"/>
      <c r="FV170" s="6"/>
      <c r="FW170" s="6"/>
      <c r="FX170" s="6"/>
      <c r="FY170" s="7">
        <f>ROUND(79724.78,2)</f>
        <v>79724.78</v>
      </c>
    </row>
    <row r="171" spans="1:181" x14ac:dyDescent="0.3">
      <c r="A171" s="4" t="s">
        <v>308</v>
      </c>
      <c r="B171" s="5" t="s">
        <v>1029</v>
      </c>
      <c r="C171" s="5" t="s">
        <v>181</v>
      </c>
      <c r="D171" s="5" t="s">
        <v>309</v>
      </c>
      <c r="E171" s="5" t="s">
        <v>0</v>
      </c>
      <c r="F171" s="5" t="s">
        <v>0</v>
      </c>
      <c r="G171" s="5" t="s">
        <v>183</v>
      </c>
      <c r="H171" s="8">
        <v>33.380000000000003</v>
      </c>
      <c r="I171" s="7">
        <f>ROUND(94378.0199999999,2)</f>
        <v>94378.02</v>
      </c>
      <c r="J171" s="6"/>
      <c r="K171" s="6"/>
      <c r="L171" s="6"/>
      <c r="M171" s="6"/>
      <c r="N171" s="7">
        <f>ROUND(1248.89,2)</f>
        <v>1248.8900000000001</v>
      </c>
      <c r="O171" s="6"/>
      <c r="P171" s="6"/>
      <c r="Q171" s="7">
        <f>ROUND(298.88,2)</f>
        <v>298.88</v>
      </c>
      <c r="R171" s="6"/>
      <c r="S171" s="6"/>
      <c r="T171" s="6"/>
      <c r="U171" s="6"/>
      <c r="V171" s="6"/>
      <c r="W171" s="6"/>
      <c r="X171" s="7">
        <f>ROUND(4.65999999999999,2)</f>
        <v>4.66</v>
      </c>
      <c r="Y171" s="7">
        <f>ROUND(1.1,2)</f>
        <v>1.1000000000000001</v>
      </c>
      <c r="Z171" s="6"/>
      <c r="AA171" s="6"/>
      <c r="AB171" s="6"/>
      <c r="AC171" s="6"/>
      <c r="AD171" s="6"/>
      <c r="AE171" s="7">
        <f>ROUND(124.92,2)</f>
        <v>124.92</v>
      </c>
      <c r="AF171" s="6"/>
      <c r="AG171" s="7">
        <f>ROUND(9.75,2)</f>
        <v>9.75</v>
      </c>
      <c r="AH171" s="6"/>
      <c r="AI171" s="6"/>
      <c r="AJ171" s="6"/>
      <c r="AK171" s="6"/>
      <c r="AL171" s="6"/>
      <c r="AM171" s="6"/>
      <c r="AN171" s="6"/>
      <c r="AO171" s="6"/>
      <c r="AP171" s="7">
        <f>ROUND(442.46,2)</f>
        <v>442.46</v>
      </c>
      <c r="AQ171" s="6"/>
      <c r="AR171" s="7">
        <f>ROUND(16.96,2)</f>
        <v>16.96</v>
      </c>
      <c r="AS171" s="6"/>
      <c r="AT171" s="6"/>
      <c r="AU171" s="7">
        <f>ROUND(68,2)</f>
        <v>68</v>
      </c>
      <c r="AV171" s="7">
        <f>ROUND(8,2)</f>
        <v>8</v>
      </c>
      <c r="AW171" s="7">
        <f>ROUND(26,2)</f>
        <v>26</v>
      </c>
      <c r="AX171" s="7">
        <f>ROUND(8,2)</f>
        <v>8</v>
      </c>
      <c r="AY171" s="7">
        <f>ROUND(50,2)</f>
        <v>50</v>
      </c>
      <c r="AZ171" s="6"/>
      <c r="BA171" s="6"/>
      <c r="BB171" s="7">
        <f>ROUND(34,2)</f>
        <v>34</v>
      </c>
      <c r="BC171" s="6"/>
      <c r="BD171" s="7">
        <f>ROUND(8,2)</f>
        <v>8</v>
      </c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7">
        <f>ROUND(5,2)</f>
        <v>5</v>
      </c>
      <c r="BQ171" s="7">
        <f>ROUND(120.609999999999,2)</f>
        <v>120.61</v>
      </c>
      <c r="BR171" s="7">
        <f>ROUND(78.22,2)</f>
        <v>78.22</v>
      </c>
      <c r="BS171" s="7">
        <f>ROUND(43.42,2)</f>
        <v>43.42</v>
      </c>
      <c r="BT171" s="7">
        <f>ROUND(0.73,2)</f>
        <v>0.73</v>
      </c>
      <c r="BU171" s="6"/>
      <c r="BV171" s="6"/>
      <c r="BW171" s="6"/>
      <c r="BX171" s="6"/>
      <c r="BY171" s="6"/>
      <c r="BZ171" s="6"/>
      <c r="CA171" s="7">
        <f>ROUND(8,2)</f>
        <v>8</v>
      </c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7">
        <f>ROUND(2605.59999999999,2)</f>
        <v>2605.6</v>
      </c>
      <c r="CR171" s="6"/>
      <c r="CS171" s="6"/>
      <c r="CT171" s="6"/>
      <c r="CU171" s="6"/>
      <c r="CV171" s="7">
        <f>ROUND(40705.93,2)</f>
        <v>40705.93</v>
      </c>
      <c r="CW171" s="6"/>
      <c r="CX171" s="6"/>
      <c r="CY171" s="7">
        <f>ROUND(14656.08,2)</f>
        <v>14656.08</v>
      </c>
      <c r="CZ171" s="6"/>
      <c r="DA171" s="6"/>
      <c r="DB171" s="6"/>
      <c r="DC171" s="6"/>
      <c r="DD171" s="6"/>
      <c r="DE171" s="6"/>
      <c r="DF171" s="7">
        <f>ROUND(151.049999999999,2)</f>
        <v>151.05000000000001</v>
      </c>
      <c r="DG171" s="7">
        <f>ROUND(53.5599999999999,2)</f>
        <v>53.56</v>
      </c>
      <c r="DH171" s="6"/>
      <c r="DI171" s="6"/>
      <c r="DJ171" s="6"/>
      <c r="DK171" s="6"/>
      <c r="DL171" s="6"/>
      <c r="DM171" s="6"/>
      <c r="DN171" s="7">
        <f>ROUND(4111.76999999999,2)</f>
        <v>4111.7700000000004</v>
      </c>
      <c r="DO171" s="6"/>
      <c r="DP171" s="7">
        <f>ROUND(475.25,2)</f>
        <v>475.25</v>
      </c>
      <c r="DQ171" s="6"/>
      <c r="DR171" s="6"/>
      <c r="DS171" s="6"/>
      <c r="DT171" s="6"/>
      <c r="DU171" s="6"/>
      <c r="DV171" s="6"/>
      <c r="DW171" s="6"/>
      <c r="DX171" s="6"/>
      <c r="DY171" s="7">
        <f>ROUND(14420.93,2)</f>
        <v>14420.93</v>
      </c>
      <c r="DZ171" s="6"/>
      <c r="EA171" s="7">
        <f>ROUND(821.41,2)</f>
        <v>821.41</v>
      </c>
      <c r="EB171" s="6"/>
      <c r="EC171" s="6"/>
      <c r="ED171" s="7">
        <f>ROUND(2210.38,2)</f>
        <v>2210.38</v>
      </c>
      <c r="EE171" s="7">
        <f>ROUND(396.64,2)</f>
        <v>396.64</v>
      </c>
      <c r="EF171" s="7">
        <f>ROUND(842.02,2)</f>
        <v>842.02</v>
      </c>
      <c r="EG171" s="7">
        <f>ROUND(385.08,2)</f>
        <v>385.08</v>
      </c>
      <c r="EH171" s="7">
        <f>ROUND(1642.9,2)</f>
        <v>1642.9</v>
      </c>
      <c r="EI171" s="6"/>
      <c r="EJ171" s="6"/>
      <c r="EK171" s="7">
        <f>ROUND(1091.06,2)</f>
        <v>1091.06</v>
      </c>
      <c r="EL171" s="6"/>
      <c r="EM171" s="6"/>
      <c r="EN171" s="7">
        <f>ROUND(256.72,2)</f>
        <v>256.72000000000003</v>
      </c>
      <c r="EO171" s="6"/>
      <c r="EP171" s="6"/>
      <c r="EQ171" s="6"/>
      <c r="ER171" s="6"/>
      <c r="ES171" s="6"/>
      <c r="ET171" s="6"/>
      <c r="EU171" s="6"/>
      <c r="EV171" s="7">
        <f>ROUND(500,2)</f>
        <v>500</v>
      </c>
      <c r="EW171" s="6"/>
      <c r="EX171" s="6"/>
      <c r="EY171" s="6"/>
      <c r="EZ171" s="6"/>
      <c r="FA171" s="6"/>
      <c r="FB171" s="6"/>
      <c r="FC171" s="7">
        <f>ROUND(240.68,2)</f>
        <v>240.68</v>
      </c>
      <c r="FD171" s="7">
        <f>ROUND(3909.91,2)</f>
        <v>3909.91</v>
      </c>
      <c r="FE171" s="7">
        <f>ROUND(3806.64999999999,2)</f>
        <v>3806.65</v>
      </c>
      <c r="FF171" s="6"/>
      <c r="FG171" s="6"/>
      <c r="FH171" s="6"/>
      <c r="FI171" s="6"/>
      <c r="FJ171" s="7">
        <f>ROUND(700,2)</f>
        <v>700</v>
      </c>
      <c r="FK171" s="6"/>
      <c r="FL171" s="6"/>
      <c r="FM171" s="6"/>
      <c r="FN171" s="6"/>
      <c r="FO171" s="6"/>
      <c r="FP171" s="6"/>
      <c r="FQ171" s="6"/>
      <c r="FR171" s="6"/>
      <c r="FS171" s="6"/>
      <c r="FT171" s="7">
        <f>ROUND(3000,2)</f>
        <v>3000</v>
      </c>
      <c r="FU171" s="6"/>
      <c r="FV171" s="6"/>
      <c r="FW171" s="6"/>
      <c r="FX171" s="6"/>
      <c r="FY171" s="7">
        <f>ROUND(94378.0199999999,2)</f>
        <v>94378.02</v>
      </c>
    </row>
    <row r="172" spans="1:181" x14ac:dyDescent="0.3">
      <c r="A172" s="4" t="s">
        <v>323</v>
      </c>
      <c r="B172" s="5" t="s">
        <v>1029</v>
      </c>
      <c r="C172" s="5" t="s">
        <v>181</v>
      </c>
      <c r="D172" s="5" t="s">
        <v>324</v>
      </c>
      <c r="E172" s="5" t="s">
        <v>0</v>
      </c>
      <c r="F172" s="5" t="s">
        <v>0</v>
      </c>
      <c r="G172" s="5" t="s">
        <v>183</v>
      </c>
      <c r="H172" s="8">
        <v>33.380000000000003</v>
      </c>
      <c r="I172" s="7">
        <f>ROUND(87894.43,2)</f>
        <v>87894.43</v>
      </c>
      <c r="J172" s="6"/>
      <c r="K172" s="6"/>
      <c r="L172" s="6"/>
      <c r="M172" s="6"/>
      <c r="N172" s="7">
        <f>ROUND(1465.28,2)</f>
        <v>1465.28</v>
      </c>
      <c r="O172" s="6"/>
      <c r="P172" s="6"/>
      <c r="Q172" s="7">
        <f>ROUND(269.929999999999,2)</f>
        <v>269.93</v>
      </c>
      <c r="R172" s="6"/>
      <c r="S172" s="6"/>
      <c r="T172" s="6"/>
      <c r="U172" s="6"/>
      <c r="V172" s="6"/>
      <c r="W172" s="7">
        <f>ROUND(20.37,2)</f>
        <v>20.37</v>
      </c>
      <c r="X172" s="7">
        <f>ROUND(2.25,2)</f>
        <v>2.25</v>
      </c>
      <c r="Y172" s="6"/>
      <c r="Z172" s="6"/>
      <c r="AA172" s="6"/>
      <c r="AB172" s="6"/>
      <c r="AC172" s="6"/>
      <c r="AD172" s="6"/>
      <c r="AE172" s="7">
        <f>ROUND(75.67,2)</f>
        <v>75.67</v>
      </c>
      <c r="AF172" s="6"/>
      <c r="AG172" s="7">
        <f>ROUND(13,2)</f>
        <v>13</v>
      </c>
      <c r="AH172" s="6"/>
      <c r="AI172" s="6"/>
      <c r="AJ172" s="6"/>
      <c r="AK172" s="6"/>
      <c r="AL172" s="6"/>
      <c r="AM172" s="6"/>
      <c r="AN172" s="6"/>
      <c r="AO172" s="6"/>
      <c r="AP172" s="7">
        <f>ROUND(182.699999999999,2)</f>
        <v>182.7</v>
      </c>
      <c r="AQ172" s="6"/>
      <c r="AR172" s="7">
        <f>ROUND(27.2,2)</f>
        <v>27.2</v>
      </c>
      <c r="AS172" s="6"/>
      <c r="AT172" s="6"/>
      <c r="AU172" s="7">
        <f>ROUND(64,2)</f>
        <v>64</v>
      </c>
      <c r="AV172" s="7">
        <f>ROUND(6,2)</f>
        <v>6</v>
      </c>
      <c r="AW172" s="7">
        <f>ROUND(24,2)</f>
        <v>24</v>
      </c>
      <c r="AX172" s="7">
        <f>ROUND(8,2)</f>
        <v>8</v>
      </c>
      <c r="AY172" s="7">
        <f>ROUND(72,2)</f>
        <v>72</v>
      </c>
      <c r="AZ172" s="6"/>
      <c r="BA172" s="6"/>
      <c r="BB172" s="7">
        <f>ROUND(44,2)</f>
        <v>44</v>
      </c>
      <c r="BC172" s="6"/>
      <c r="BD172" s="7">
        <f>ROUND(1.83,2)</f>
        <v>1.83</v>
      </c>
      <c r="BE172" s="7">
        <f>ROUND(1.02,2)</f>
        <v>1.02</v>
      </c>
      <c r="BF172" s="7">
        <f>ROUND(6.17,2)</f>
        <v>6.17</v>
      </c>
      <c r="BG172" s="6"/>
      <c r="BH172" s="6"/>
      <c r="BI172" s="6"/>
      <c r="BJ172" s="6"/>
      <c r="BK172" s="6"/>
      <c r="BL172" s="6"/>
      <c r="BM172" s="6"/>
      <c r="BN172" s="6"/>
      <c r="BO172" s="7">
        <f>ROUND(10.25,2)</f>
        <v>10.25</v>
      </c>
      <c r="BP172" s="6"/>
      <c r="BQ172" s="7">
        <f>ROUND(71.6,2)</f>
        <v>71.599999999999994</v>
      </c>
      <c r="BR172" s="7">
        <f>ROUND(7.32,2)</f>
        <v>7.32</v>
      </c>
      <c r="BS172" s="7">
        <f>ROUND(82.83,2)</f>
        <v>82.83</v>
      </c>
      <c r="BT172" s="6"/>
      <c r="BU172" s="6"/>
      <c r="BV172" s="6"/>
      <c r="BW172" s="6"/>
      <c r="BX172" s="7">
        <f>ROUND(80,2)</f>
        <v>80</v>
      </c>
      <c r="BY172" s="6"/>
      <c r="BZ172" s="6"/>
      <c r="CA172" s="7">
        <f>ROUND(20.23,2)</f>
        <v>20.23</v>
      </c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7">
        <f>ROUND(8,2)</f>
        <v>8</v>
      </c>
      <c r="CQ172" s="7">
        <f>ROUND(2563.65,2)</f>
        <v>2563.65</v>
      </c>
      <c r="CR172" s="6"/>
      <c r="CS172" s="6"/>
      <c r="CT172" s="6"/>
      <c r="CU172" s="6"/>
      <c r="CV172" s="7">
        <f>ROUND(47821.83,2)</f>
        <v>47821.83</v>
      </c>
      <c r="CW172" s="6"/>
      <c r="CX172" s="6"/>
      <c r="CY172" s="7">
        <f>ROUND(13242.99,2)</f>
        <v>13242.99</v>
      </c>
      <c r="CZ172" s="6"/>
      <c r="DA172" s="6"/>
      <c r="DB172" s="6"/>
      <c r="DC172" s="6"/>
      <c r="DD172" s="6"/>
      <c r="DE172" s="7">
        <f>ROUND(1011.25,2)</f>
        <v>1011.25</v>
      </c>
      <c r="DF172" s="7">
        <f>ROUND(72.2,2)</f>
        <v>72.2</v>
      </c>
      <c r="DG172" s="6"/>
      <c r="DH172" s="6"/>
      <c r="DI172" s="6"/>
      <c r="DJ172" s="6"/>
      <c r="DK172" s="6"/>
      <c r="DL172" s="6"/>
      <c r="DM172" s="6"/>
      <c r="DN172" s="7">
        <f>ROUND(2501.71,2)</f>
        <v>2501.71</v>
      </c>
      <c r="DO172" s="6"/>
      <c r="DP172" s="7">
        <f>ROUND(644.849999999999,2)</f>
        <v>644.85</v>
      </c>
      <c r="DQ172" s="6"/>
      <c r="DR172" s="6"/>
      <c r="DS172" s="6"/>
      <c r="DT172" s="6"/>
      <c r="DU172" s="6"/>
      <c r="DV172" s="6"/>
      <c r="DW172" s="6"/>
      <c r="DX172" s="6"/>
      <c r="DY172" s="7">
        <f>ROUND(5987.37999999999,2)</f>
        <v>5987.38</v>
      </c>
      <c r="DZ172" s="6"/>
      <c r="EA172" s="7">
        <f>ROUND(1352.09,2)</f>
        <v>1352.09</v>
      </c>
      <c r="EB172" s="6"/>
      <c r="EC172" s="6"/>
      <c r="ED172" s="7">
        <f>ROUND(2083.94,2)</f>
        <v>2083.94</v>
      </c>
      <c r="EE172" s="7">
        <f>ROUND(297.48,2)</f>
        <v>297.48</v>
      </c>
      <c r="EF172" s="7">
        <f>ROUND(777.84,2)</f>
        <v>777.84</v>
      </c>
      <c r="EG172" s="7">
        <f>ROUND(385.08,2)</f>
        <v>385.08</v>
      </c>
      <c r="EH172" s="7">
        <f>ROUND(2364.24,2)</f>
        <v>2364.2399999999998</v>
      </c>
      <c r="EI172" s="6"/>
      <c r="EJ172" s="6"/>
      <c r="EK172" s="7">
        <f>ROUND(1411.96,2)</f>
        <v>1411.96</v>
      </c>
      <c r="EL172" s="6"/>
      <c r="EM172" s="6"/>
      <c r="EN172" s="7">
        <f>ROUND(58.72,2)</f>
        <v>58.72</v>
      </c>
      <c r="EO172" s="7">
        <f>ROUND(32.73,2)</f>
        <v>32.729999999999997</v>
      </c>
      <c r="EP172" s="7">
        <f>ROUND(296.99,2)</f>
        <v>296.99</v>
      </c>
      <c r="EQ172" s="6"/>
      <c r="ER172" s="6"/>
      <c r="ES172" s="6"/>
      <c r="ET172" s="6"/>
      <c r="EU172" s="6"/>
      <c r="EV172" s="7">
        <f>ROUND(500,2)</f>
        <v>500</v>
      </c>
      <c r="EW172" s="6"/>
      <c r="EX172" s="6"/>
      <c r="EY172" s="6"/>
      <c r="EZ172" s="6"/>
      <c r="FA172" s="6"/>
      <c r="FB172" s="7">
        <f>ROUND(328.92,2)</f>
        <v>328.92</v>
      </c>
      <c r="FC172" s="6"/>
      <c r="FD172" s="7">
        <f>ROUND(2302.84,2)</f>
        <v>2302.84</v>
      </c>
      <c r="FE172" s="7">
        <f>ROUND(352.35,2)</f>
        <v>352.35</v>
      </c>
      <c r="FF172" s="6"/>
      <c r="FG172" s="6"/>
      <c r="FH172" s="6"/>
      <c r="FI172" s="6"/>
      <c r="FJ172" s="7">
        <f>ROUND(800,2)</f>
        <v>800</v>
      </c>
      <c r="FK172" s="6"/>
      <c r="FL172" s="6"/>
      <c r="FM172" s="6"/>
      <c r="FN172" s="6"/>
      <c r="FO172" s="6"/>
      <c r="FP172" s="6"/>
      <c r="FQ172" s="6"/>
      <c r="FR172" s="6"/>
      <c r="FS172" s="6"/>
      <c r="FT172" s="7">
        <f>ROUND(3000,2)</f>
        <v>3000</v>
      </c>
      <c r="FU172" s="6"/>
      <c r="FV172" s="6"/>
      <c r="FW172" s="6"/>
      <c r="FX172" s="7">
        <f>ROUND(267.04,2)</f>
        <v>267.04000000000002</v>
      </c>
      <c r="FY172" s="7">
        <f>ROUND(87894.43,2)</f>
        <v>87894.43</v>
      </c>
    </row>
    <row r="173" spans="1:181" x14ac:dyDescent="0.3">
      <c r="A173" s="4" t="s">
        <v>334</v>
      </c>
      <c r="B173" s="5" t="s">
        <v>1029</v>
      </c>
      <c r="C173" s="5" t="s">
        <v>181</v>
      </c>
      <c r="D173" s="5" t="s">
        <v>335</v>
      </c>
      <c r="E173" s="5" t="s">
        <v>0</v>
      </c>
      <c r="F173" s="5" t="s">
        <v>0</v>
      </c>
      <c r="G173" s="5" t="s">
        <v>183</v>
      </c>
      <c r="H173" s="6">
        <v>33.380000000000003</v>
      </c>
      <c r="I173" s="7">
        <f>ROUND(77240.3399999999,2)</f>
        <v>77240.34</v>
      </c>
      <c r="J173" s="6"/>
      <c r="K173" s="6"/>
      <c r="L173" s="6"/>
      <c r="M173" s="6"/>
      <c r="N173" s="7">
        <f>ROUND(971.46,2)</f>
        <v>971.46</v>
      </c>
      <c r="O173" s="6"/>
      <c r="P173" s="6"/>
      <c r="Q173" s="7">
        <f>ROUND(167.4,2)</f>
        <v>167.4</v>
      </c>
      <c r="R173" s="6"/>
      <c r="S173" s="6"/>
      <c r="T173" s="6"/>
      <c r="U173" s="6"/>
      <c r="V173" s="7">
        <f>ROUND(34.5,2)</f>
        <v>34.5</v>
      </c>
      <c r="W173" s="7">
        <f>ROUND(2.83,2)</f>
        <v>2.83</v>
      </c>
      <c r="X173" s="6"/>
      <c r="Y173" s="6"/>
      <c r="Z173" s="6"/>
      <c r="AA173" s="6"/>
      <c r="AB173" s="6"/>
      <c r="AC173" s="6"/>
      <c r="AD173" s="6"/>
      <c r="AE173" s="7">
        <f>ROUND(356.979999999999,2)</f>
        <v>356.98</v>
      </c>
      <c r="AF173" s="6"/>
      <c r="AG173" s="7">
        <f>ROUND(62.55,2)</f>
        <v>62.55</v>
      </c>
      <c r="AH173" s="6"/>
      <c r="AI173" s="6"/>
      <c r="AJ173" s="6"/>
      <c r="AK173" s="6"/>
      <c r="AL173" s="6"/>
      <c r="AM173" s="6"/>
      <c r="AN173" s="6"/>
      <c r="AO173" s="6"/>
      <c r="AP173" s="7">
        <f>ROUND(303.14,2)</f>
        <v>303.14</v>
      </c>
      <c r="AQ173" s="6"/>
      <c r="AR173" s="7">
        <f>ROUND(56.73,2)</f>
        <v>56.73</v>
      </c>
      <c r="AS173" s="6"/>
      <c r="AT173" s="6"/>
      <c r="AU173" s="7">
        <f>ROUND(66,2)</f>
        <v>66</v>
      </c>
      <c r="AV173" s="6"/>
      <c r="AW173" s="7">
        <f>ROUND(42.98,2)</f>
        <v>42.98</v>
      </c>
      <c r="AX173" s="7">
        <f>ROUND(1.02,2)</f>
        <v>1.02</v>
      </c>
      <c r="AY173" s="7">
        <f>ROUND(19.15,2)</f>
        <v>19.149999999999999</v>
      </c>
      <c r="AZ173" s="7">
        <f>ROUND(12.85,2)</f>
        <v>12.85</v>
      </c>
      <c r="BA173" s="6"/>
      <c r="BB173" s="7">
        <f>ROUND(8,2)</f>
        <v>8</v>
      </c>
      <c r="BC173" s="6"/>
      <c r="BD173" s="7">
        <f t="shared" ref="BD173:BD179" si="9">ROUND(8,2)</f>
        <v>8</v>
      </c>
      <c r="BE173" s="7">
        <f>ROUND(5.27,2)</f>
        <v>5.27</v>
      </c>
      <c r="BF173" s="6"/>
      <c r="BG173" s="6"/>
      <c r="BH173" s="6"/>
      <c r="BI173" s="6"/>
      <c r="BJ173" s="6"/>
      <c r="BK173" s="6"/>
      <c r="BL173" s="6"/>
      <c r="BM173" s="6"/>
      <c r="BN173" s="6"/>
      <c r="BO173" s="7">
        <f>ROUND(30.25,2)</f>
        <v>30.25</v>
      </c>
      <c r="BP173" s="6"/>
      <c r="BQ173" s="7">
        <f>ROUND(8,2)</f>
        <v>8</v>
      </c>
      <c r="BR173" s="6"/>
      <c r="BS173" s="7">
        <f>ROUND(82.2499999999999,2)</f>
        <v>82.25</v>
      </c>
      <c r="BT173" s="6"/>
      <c r="BU173" s="6"/>
      <c r="BV173" s="6"/>
      <c r="BW173" s="7">
        <f>ROUND(8,2)</f>
        <v>8</v>
      </c>
      <c r="BX173" s="7">
        <f>ROUND(24,2)</f>
        <v>24</v>
      </c>
      <c r="BY173" s="7">
        <f>ROUND(34,2)</f>
        <v>34</v>
      </c>
      <c r="BZ173" s="7">
        <f>ROUND(112,2)</f>
        <v>112</v>
      </c>
      <c r="CA173" s="7">
        <f>ROUND(88.5,2)</f>
        <v>88.5</v>
      </c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7">
        <f>ROUND(2505.86,2)</f>
        <v>2505.86</v>
      </c>
      <c r="CR173" s="6"/>
      <c r="CS173" s="6"/>
      <c r="CT173" s="6"/>
      <c r="CU173" s="6"/>
      <c r="CV173" s="7">
        <f>ROUND(31470.29,2)</f>
        <v>31470.29</v>
      </c>
      <c r="CW173" s="6"/>
      <c r="CX173" s="6"/>
      <c r="CY173" s="7">
        <f>ROUND(8062.29,2)</f>
        <v>8062.29</v>
      </c>
      <c r="CZ173" s="6"/>
      <c r="DA173" s="6"/>
      <c r="DB173" s="6"/>
      <c r="DC173" s="6"/>
      <c r="DD173" s="7">
        <f>ROUND(1104.11,2)</f>
        <v>1104.1099999999999</v>
      </c>
      <c r="DE173" s="7">
        <f>ROUND(136.22,2)</f>
        <v>136.22</v>
      </c>
      <c r="DF173" s="6"/>
      <c r="DG173" s="6"/>
      <c r="DH173" s="6"/>
      <c r="DI173" s="6"/>
      <c r="DJ173" s="6"/>
      <c r="DK173" s="6"/>
      <c r="DL173" s="6"/>
      <c r="DM173" s="6"/>
      <c r="DN173" s="7">
        <f>ROUND(11394.13,2)</f>
        <v>11394.13</v>
      </c>
      <c r="DO173" s="6"/>
      <c r="DP173" s="7">
        <f>ROUND(2977.46,2)</f>
        <v>2977.46</v>
      </c>
      <c r="DQ173" s="6"/>
      <c r="DR173" s="6"/>
      <c r="DS173" s="6"/>
      <c r="DT173" s="6"/>
      <c r="DU173" s="6"/>
      <c r="DV173" s="6"/>
      <c r="DW173" s="6"/>
      <c r="DX173" s="6"/>
      <c r="DY173" s="7">
        <f>ROUND(9435.46999999999,2)</f>
        <v>9435.4699999999993</v>
      </c>
      <c r="DZ173" s="6"/>
      <c r="EA173" s="7">
        <f>ROUND(2655.79,2)</f>
        <v>2655.79</v>
      </c>
      <c r="EB173" s="6"/>
      <c r="EC173" s="6"/>
      <c r="ED173" s="7">
        <f>ROUND(2092.42,2)</f>
        <v>2092.42</v>
      </c>
      <c r="EE173" s="6"/>
      <c r="EF173" s="7">
        <f>ROUND(1382.17,2)</f>
        <v>1382.17</v>
      </c>
      <c r="EG173" s="7">
        <f>ROUND(50.57,2)</f>
        <v>50.57</v>
      </c>
      <c r="EH173" s="7">
        <f>ROUND(627.15,2)</f>
        <v>627.15</v>
      </c>
      <c r="EI173" s="7">
        <f>ROUND(614.96,2)</f>
        <v>614.96</v>
      </c>
      <c r="EJ173" s="6"/>
      <c r="EK173" s="7">
        <f>ROUND(243.92,2)</f>
        <v>243.92</v>
      </c>
      <c r="EL173" s="6"/>
      <c r="EM173" s="6"/>
      <c r="EN173" s="7">
        <f>ROUND(256.72,2)</f>
        <v>256.72000000000003</v>
      </c>
      <c r="EO173" s="7">
        <f>ROUND(188.43,2)</f>
        <v>188.43</v>
      </c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7">
        <f>ROUND(954.319999999999,2)</f>
        <v>954.32</v>
      </c>
      <c r="FC173" s="6"/>
      <c r="FD173" s="7">
        <f>ROUND(243.92,2)</f>
        <v>243.92</v>
      </c>
      <c r="FE173" s="6"/>
      <c r="FF173" s="6"/>
      <c r="FG173" s="6"/>
      <c r="FH173" s="6"/>
      <c r="FI173" s="6"/>
      <c r="FJ173" s="7">
        <f>ROUND(350,2)</f>
        <v>350</v>
      </c>
      <c r="FK173" s="6"/>
      <c r="FL173" s="6"/>
      <c r="FM173" s="6"/>
      <c r="FN173" s="6"/>
      <c r="FO173" s="6"/>
      <c r="FP173" s="6"/>
      <c r="FQ173" s="6"/>
      <c r="FR173" s="6"/>
      <c r="FS173" s="6"/>
      <c r="FT173" s="7">
        <f>ROUND(3000,2)</f>
        <v>3000</v>
      </c>
      <c r="FU173" s="6"/>
      <c r="FV173" s="6"/>
      <c r="FW173" s="6"/>
      <c r="FX173" s="6"/>
      <c r="FY173" s="7">
        <f>ROUND(77240.34,2)</f>
        <v>77240.34</v>
      </c>
    </row>
    <row r="174" spans="1:181" x14ac:dyDescent="0.3">
      <c r="A174" s="4" t="s">
        <v>341</v>
      </c>
      <c r="B174" s="5" t="s">
        <v>1029</v>
      </c>
      <c r="C174" s="5" t="s">
        <v>181</v>
      </c>
      <c r="D174" s="5" t="s">
        <v>342</v>
      </c>
      <c r="E174" s="5" t="s">
        <v>0</v>
      </c>
      <c r="F174" s="5" t="s">
        <v>0</v>
      </c>
      <c r="G174" s="5" t="s">
        <v>183</v>
      </c>
      <c r="H174" s="8">
        <v>33.380000000000003</v>
      </c>
      <c r="I174" s="7">
        <f>ROUND(103830.62,2)</f>
        <v>103830.62</v>
      </c>
      <c r="J174" s="6"/>
      <c r="K174" s="6"/>
      <c r="L174" s="6"/>
      <c r="M174" s="6"/>
      <c r="N174" s="7">
        <f>ROUND(1650.29,2)</f>
        <v>1650.29</v>
      </c>
      <c r="O174" s="6"/>
      <c r="P174" s="6"/>
      <c r="Q174" s="7">
        <f>ROUND(478.409999999999,2)</f>
        <v>478.41</v>
      </c>
      <c r="R174" s="6"/>
      <c r="S174" s="6"/>
      <c r="T174" s="6"/>
      <c r="U174" s="6"/>
      <c r="V174" s="7">
        <f>ROUND(12.92,2)</f>
        <v>12.92</v>
      </c>
      <c r="W174" s="6"/>
      <c r="X174" s="7">
        <f>ROUND(0.47,2)</f>
        <v>0.47</v>
      </c>
      <c r="Y174" s="6"/>
      <c r="Z174" s="6"/>
      <c r="AA174" s="6"/>
      <c r="AB174" s="6"/>
      <c r="AC174" s="6"/>
      <c r="AD174" s="6"/>
      <c r="AE174" s="7">
        <f>ROUND(327.75,2)</f>
        <v>327.75</v>
      </c>
      <c r="AF174" s="6"/>
      <c r="AG174" s="7">
        <f>ROUND(35.08,2)</f>
        <v>35.08</v>
      </c>
      <c r="AH174" s="6"/>
      <c r="AI174" s="6"/>
      <c r="AJ174" s="6"/>
      <c r="AK174" s="6"/>
      <c r="AL174" s="6"/>
      <c r="AM174" s="6"/>
      <c r="AN174" s="6"/>
      <c r="AO174" s="6"/>
      <c r="AP174" s="7">
        <f>ROUND(22.17,2)</f>
        <v>22.17</v>
      </c>
      <c r="AQ174" s="6"/>
      <c r="AR174" s="7">
        <f>ROUND(30.4,2)</f>
        <v>30.4</v>
      </c>
      <c r="AS174" s="6"/>
      <c r="AT174" s="6"/>
      <c r="AU174" s="7">
        <f>ROUND(68,2)</f>
        <v>68</v>
      </c>
      <c r="AV174" s="6"/>
      <c r="AW174" s="7">
        <f>ROUND(26.98,2)</f>
        <v>26.98</v>
      </c>
      <c r="AX174" s="7">
        <f>ROUND(5.02,2)</f>
        <v>5.0199999999999996</v>
      </c>
      <c r="AY174" s="6"/>
      <c r="AZ174" s="6"/>
      <c r="BA174" s="6"/>
      <c r="BB174" s="6"/>
      <c r="BC174" s="6"/>
      <c r="BD174" s="7">
        <f t="shared" si="9"/>
        <v>8</v>
      </c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7">
        <f>ROUND(10,2)</f>
        <v>10</v>
      </c>
      <c r="BP174" s="6"/>
      <c r="BQ174" s="7">
        <f>ROUND(5.42,2)</f>
        <v>5.42</v>
      </c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7">
        <f>ROUND(80,2)</f>
        <v>80</v>
      </c>
      <c r="CQ174" s="7">
        <f>ROUND(2760.90999999999,2)</f>
        <v>2760.91</v>
      </c>
      <c r="CR174" s="6"/>
      <c r="CS174" s="6"/>
      <c r="CT174" s="6"/>
      <c r="CU174" s="6"/>
      <c r="CV174" s="7">
        <f>ROUND(53605.3099999999,2)</f>
        <v>53605.31</v>
      </c>
      <c r="CW174" s="6"/>
      <c r="CX174" s="6"/>
      <c r="CY174" s="7">
        <f>ROUND(23252.72,2)</f>
        <v>23252.720000000001</v>
      </c>
      <c r="CZ174" s="6"/>
      <c r="DA174" s="6"/>
      <c r="DB174" s="6"/>
      <c r="DC174" s="6"/>
      <c r="DD174" s="7">
        <f>ROUND(421.58,2)</f>
        <v>421.58</v>
      </c>
      <c r="DE174" s="6"/>
      <c r="DF174" s="7">
        <f>ROUND(15.08,2)</f>
        <v>15.08</v>
      </c>
      <c r="DG174" s="6"/>
      <c r="DH174" s="6"/>
      <c r="DI174" s="6"/>
      <c r="DJ174" s="6"/>
      <c r="DK174" s="6"/>
      <c r="DL174" s="6"/>
      <c r="DM174" s="6"/>
      <c r="DN174" s="7">
        <f>ROUND(10832.41,2)</f>
        <v>10832.41</v>
      </c>
      <c r="DO174" s="6"/>
      <c r="DP174" s="7">
        <f>ROUND(1743.29,2)</f>
        <v>1743.29</v>
      </c>
      <c r="DQ174" s="6"/>
      <c r="DR174" s="6"/>
      <c r="DS174" s="6"/>
      <c r="DT174" s="6"/>
      <c r="DU174" s="6"/>
      <c r="DV174" s="6"/>
      <c r="DW174" s="6"/>
      <c r="DX174" s="6"/>
      <c r="DY174" s="7">
        <f>ROUND(712.339999999999,2)</f>
        <v>712.34</v>
      </c>
      <c r="DZ174" s="6"/>
      <c r="EA174" s="7">
        <f>ROUND(1468.7,2)</f>
        <v>1468.7</v>
      </c>
      <c r="EB174" s="6"/>
      <c r="EC174" s="6"/>
      <c r="ED174" s="7">
        <f>ROUND(2215.48,2)</f>
        <v>2215.48</v>
      </c>
      <c r="EE174" s="6"/>
      <c r="EF174" s="7">
        <f>ROUND(887.87,2)</f>
        <v>887.87</v>
      </c>
      <c r="EG174" s="7">
        <f>ROUND(243.079999999999,2)</f>
        <v>243.08</v>
      </c>
      <c r="EH174" s="6"/>
      <c r="EI174" s="6"/>
      <c r="EJ174" s="6"/>
      <c r="EK174" s="6"/>
      <c r="EL174" s="6"/>
      <c r="EM174" s="6"/>
      <c r="EN174" s="7">
        <f>ROUND(256.72,2)</f>
        <v>256.72000000000003</v>
      </c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7">
        <f>ROUND(325.7,2)</f>
        <v>325.7</v>
      </c>
      <c r="FC174" s="6"/>
      <c r="FD174" s="7">
        <f>ROUND(179.94,2)</f>
        <v>179.94</v>
      </c>
      <c r="FE174" s="6"/>
      <c r="FF174" s="6"/>
      <c r="FG174" s="6"/>
      <c r="FH174" s="6"/>
      <c r="FI174" s="6"/>
      <c r="FJ174" s="7">
        <f>ROUND(2000,2)</f>
        <v>2000</v>
      </c>
      <c r="FK174" s="6"/>
      <c r="FL174" s="6"/>
      <c r="FM174" s="6"/>
      <c r="FN174" s="6"/>
      <c r="FO174" s="6"/>
      <c r="FP174" s="6"/>
      <c r="FQ174" s="6"/>
      <c r="FR174" s="6"/>
      <c r="FS174" s="6"/>
      <c r="FT174" s="7">
        <f>ROUND(3000,2)</f>
        <v>3000</v>
      </c>
      <c r="FU174" s="6"/>
      <c r="FV174" s="6"/>
      <c r="FW174" s="6"/>
      <c r="FX174" s="7">
        <f>ROUND(2670.4,2)</f>
        <v>2670.4</v>
      </c>
      <c r="FY174" s="7">
        <f>ROUND(103830.62,2)</f>
        <v>103830.62</v>
      </c>
    </row>
    <row r="175" spans="1:181" x14ac:dyDescent="0.3">
      <c r="A175" s="4" t="s">
        <v>343</v>
      </c>
      <c r="B175" s="5" t="s">
        <v>1029</v>
      </c>
      <c r="C175" s="5" t="s">
        <v>181</v>
      </c>
      <c r="D175" s="5" t="s">
        <v>344</v>
      </c>
      <c r="E175" s="5" t="s">
        <v>0</v>
      </c>
      <c r="F175" s="5" t="s">
        <v>0</v>
      </c>
      <c r="G175" s="5" t="s">
        <v>183</v>
      </c>
      <c r="H175" s="8">
        <v>33.380000000000003</v>
      </c>
      <c r="I175" s="7">
        <f>ROUND(47211.25,2)</f>
        <v>47211.25</v>
      </c>
      <c r="J175" s="6"/>
      <c r="K175" s="6"/>
      <c r="L175" s="6"/>
      <c r="M175" s="6"/>
      <c r="N175" s="7">
        <f>ROUND(789.889999999999,2)</f>
        <v>789.89</v>
      </c>
      <c r="O175" s="6"/>
      <c r="P175" s="6"/>
      <c r="Q175" s="6"/>
      <c r="R175" s="6"/>
      <c r="S175" s="6"/>
      <c r="T175" s="6"/>
      <c r="U175" s="6"/>
      <c r="V175" s="6"/>
      <c r="W175" s="6"/>
      <c r="X175" s="7">
        <f>ROUND(1.54999999999999,2)</f>
        <v>1.55</v>
      </c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7">
        <f>ROUND(6.27,2)</f>
        <v>6.27</v>
      </c>
      <c r="AQ175" s="6"/>
      <c r="AR175" s="6"/>
      <c r="AS175" s="6"/>
      <c r="AT175" s="6"/>
      <c r="AU175" s="7">
        <f>ROUND(40,2)</f>
        <v>40</v>
      </c>
      <c r="AV175" s="6"/>
      <c r="AW175" s="7">
        <f>ROUND(5,2)</f>
        <v>5</v>
      </c>
      <c r="AX175" s="6"/>
      <c r="AY175" s="7">
        <f>ROUND(20,2)</f>
        <v>20</v>
      </c>
      <c r="AZ175" s="6"/>
      <c r="BA175" s="6"/>
      <c r="BB175" s="7">
        <f>ROUND(5,2)</f>
        <v>5</v>
      </c>
      <c r="BC175" s="6"/>
      <c r="BD175" s="7">
        <f t="shared" si="9"/>
        <v>8</v>
      </c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7">
        <f>ROUND(520.12,2)</f>
        <v>520.12</v>
      </c>
      <c r="BP175" s="6"/>
      <c r="BQ175" s="6"/>
      <c r="BR175" s="6"/>
      <c r="BS175" s="6"/>
      <c r="BT175" s="7">
        <f>ROUND(5.02999999999999,2)</f>
        <v>5.03</v>
      </c>
      <c r="BU175" s="6"/>
      <c r="BV175" s="6"/>
      <c r="BW175" s="6"/>
      <c r="BX175" s="6"/>
      <c r="BY175" s="7">
        <f>ROUND(5,2)</f>
        <v>5</v>
      </c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7">
        <f>ROUND(1405.86,2)</f>
        <v>1405.86</v>
      </c>
      <c r="CR175" s="6"/>
      <c r="CS175" s="6"/>
      <c r="CT175" s="6"/>
      <c r="CU175" s="6"/>
      <c r="CV175" s="7">
        <f>ROUND(25698.9299999999,2)</f>
        <v>25698.93</v>
      </c>
      <c r="CW175" s="6"/>
      <c r="CX175" s="6"/>
      <c r="CY175" s="6"/>
      <c r="CZ175" s="6"/>
      <c r="DA175" s="6"/>
      <c r="DB175" s="6"/>
      <c r="DC175" s="6"/>
      <c r="DD175" s="6"/>
      <c r="DE175" s="6"/>
      <c r="DF175" s="7">
        <f>ROUND(51.23,2)</f>
        <v>51.23</v>
      </c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7">
        <f>ROUND(207.22,2)</f>
        <v>207.22</v>
      </c>
      <c r="DZ175" s="6"/>
      <c r="EA175" s="6"/>
      <c r="EB175" s="6"/>
      <c r="EC175" s="6"/>
      <c r="ED175" s="7">
        <f>ROUND(1288.45,2)</f>
        <v>1288.45</v>
      </c>
      <c r="EE175" s="6"/>
      <c r="EF175" s="7">
        <f>ROUND(165.25,2)</f>
        <v>165.25</v>
      </c>
      <c r="EG175" s="6"/>
      <c r="EH175" s="7">
        <f>ROUND(661,2)</f>
        <v>661</v>
      </c>
      <c r="EI175" s="6"/>
      <c r="EJ175" s="6"/>
      <c r="EK175" s="7">
        <f>ROUND(160.45,2)</f>
        <v>160.44999999999999</v>
      </c>
      <c r="EL175" s="6"/>
      <c r="EM175" s="6"/>
      <c r="EN175" s="7">
        <f>ROUND(256.72,2)</f>
        <v>256.72000000000003</v>
      </c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7">
        <f>ROUND(16447,2)</f>
        <v>16447</v>
      </c>
      <c r="FC175" s="6"/>
      <c r="FD175" s="6"/>
      <c r="FE175" s="6"/>
      <c r="FF175" s="6"/>
      <c r="FG175" s="6"/>
      <c r="FH175" s="6"/>
      <c r="FI175" s="6"/>
      <c r="FJ175" s="7">
        <f>ROUND(775,2)</f>
        <v>775</v>
      </c>
      <c r="FK175" s="6"/>
      <c r="FL175" s="6"/>
      <c r="FM175" s="6"/>
      <c r="FN175" s="6"/>
      <c r="FO175" s="6"/>
      <c r="FP175" s="6"/>
      <c r="FQ175" s="6"/>
      <c r="FR175" s="6"/>
      <c r="FS175" s="6"/>
      <c r="FT175" s="7">
        <f>ROUND(1500,2)</f>
        <v>1500</v>
      </c>
      <c r="FU175" s="6"/>
      <c r="FV175" s="6"/>
      <c r="FW175" s="6"/>
      <c r="FX175" s="6"/>
      <c r="FY175" s="7">
        <f>ROUND(47211.25,2)</f>
        <v>47211.25</v>
      </c>
    </row>
    <row r="176" spans="1:181" x14ac:dyDescent="0.3">
      <c r="A176" s="4" t="s">
        <v>352</v>
      </c>
      <c r="B176" s="5" t="s">
        <v>1029</v>
      </c>
      <c r="C176" s="5" t="s">
        <v>181</v>
      </c>
      <c r="D176" s="5" t="s">
        <v>209</v>
      </c>
      <c r="E176" s="5" t="s">
        <v>0</v>
      </c>
      <c r="F176" s="5" t="s">
        <v>0</v>
      </c>
      <c r="G176" s="5" t="s">
        <v>183</v>
      </c>
      <c r="H176" s="8">
        <v>33.380000000000003</v>
      </c>
      <c r="I176" s="7">
        <f>ROUND(58649.1299999999,2)</f>
        <v>58649.13</v>
      </c>
      <c r="J176" s="6"/>
      <c r="K176" s="6"/>
      <c r="L176" s="6"/>
      <c r="M176" s="6"/>
      <c r="N176" s="7">
        <f>ROUND(749.109999999999,2)</f>
        <v>749.11</v>
      </c>
      <c r="O176" s="6"/>
      <c r="P176" s="6"/>
      <c r="Q176" s="7">
        <f>ROUND(78.34,2)</f>
        <v>78.34</v>
      </c>
      <c r="R176" s="6"/>
      <c r="S176" s="6"/>
      <c r="T176" s="6"/>
      <c r="U176" s="6"/>
      <c r="V176" s="7">
        <f>ROUND(8.15,2)</f>
        <v>8.15</v>
      </c>
      <c r="W176" s="6"/>
      <c r="X176" s="6"/>
      <c r="Y176" s="6"/>
      <c r="Z176" s="6"/>
      <c r="AA176" s="6"/>
      <c r="AB176" s="6"/>
      <c r="AC176" s="6"/>
      <c r="AD176" s="6"/>
      <c r="AE176" s="7">
        <f>ROUND(177.109999999999,2)</f>
        <v>177.11</v>
      </c>
      <c r="AF176" s="6"/>
      <c r="AG176" s="7">
        <f>ROUND(14.4,2)</f>
        <v>14.4</v>
      </c>
      <c r="AH176" s="6"/>
      <c r="AI176" s="6"/>
      <c r="AJ176" s="6"/>
      <c r="AK176" s="6"/>
      <c r="AL176" s="6"/>
      <c r="AM176" s="6"/>
      <c r="AN176" s="6"/>
      <c r="AO176" s="6"/>
      <c r="AP176" s="7">
        <f>ROUND(393.15,2)</f>
        <v>393.15</v>
      </c>
      <c r="AQ176" s="6"/>
      <c r="AR176" s="7">
        <f>ROUND(15.58,2)</f>
        <v>15.58</v>
      </c>
      <c r="AS176" s="6"/>
      <c r="AT176" s="6"/>
      <c r="AU176" s="7">
        <f>ROUND(58,2)</f>
        <v>58</v>
      </c>
      <c r="AV176" s="6"/>
      <c r="AW176" s="7">
        <f>ROUND(20,2)</f>
        <v>20</v>
      </c>
      <c r="AX176" s="6"/>
      <c r="AY176" s="7">
        <f>ROUND(68,2)</f>
        <v>68</v>
      </c>
      <c r="AZ176" s="6"/>
      <c r="BA176" s="6"/>
      <c r="BB176" s="7">
        <f>ROUND(16,2)</f>
        <v>16</v>
      </c>
      <c r="BC176" s="6"/>
      <c r="BD176" s="7">
        <f t="shared" si="9"/>
        <v>8</v>
      </c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7">
        <f>ROUND(15.58,2)</f>
        <v>15.58</v>
      </c>
      <c r="BP176" s="6"/>
      <c r="BQ176" s="7">
        <f>ROUND(18,2)</f>
        <v>18</v>
      </c>
      <c r="BR176" s="6"/>
      <c r="BS176" s="7">
        <f>ROUND(24,2)</f>
        <v>24</v>
      </c>
      <c r="BT176" s="7">
        <f>ROUND(3.46999999999999,2)</f>
        <v>3.47</v>
      </c>
      <c r="BU176" s="6"/>
      <c r="BV176" s="6"/>
      <c r="BW176" s="7">
        <f>ROUND(16,2)</f>
        <v>16</v>
      </c>
      <c r="BX176" s="6"/>
      <c r="BY176" s="7">
        <f>ROUND(16,2)</f>
        <v>16</v>
      </c>
      <c r="BZ176" s="6"/>
      <c r="CA176" s="7">
        <f>ROUND(16,2)</f>
        <v>16</v>
      </c>
      <c r="CB176" s="6"/>
      <c r="CC176" s="7">
        <f>ROUND(544,2)</f>
        <v>544</v>
      </c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7">
        <f>ROUND(2258.89,2)</f>
        <v>2258.89</v>
      </c>
      <c r="CR176" s="6"/>
      <c r="CS176" s="6"/>
      <c r="CT176" s="6"/>
      <c r="CU176" s="6"/>
      <c r="CV176" s="7">
        <f>ROUND(24356.95,2)</f>
        <v>24356.95</v>
      </c>
      <c r="CW176" s="6"/>
      <c r="CX176" s="6"/>
      <c r="CY176" s="7">
        <f>ROUND(3805.2,2)</f>
        <v>3805.2</v>
      </c>
      <c r="CZ176" s="6"/>
      <c r="DA176" s="6"/>
      <c r="DB176" s="6"/>
      <c r="DC176" s="6"/>
      <c r="DD176" s="7">
        <f>ROUND(261.53,2)</f>
        <v>261.52999999999997</v>
      </c>
      <c r="DE176" s="6"/>
      <c r="DF176" s="6"/>
      <c r="DG176" s="6"/>
      <c r="DH176" s="6"/>
      <c r="DI176" s="6"/>
      <c r="DJ176" s="6"/>
      <c r="DK176" s="6"/>
      <c r="DL176" s="6"/>
      <c r="DM176" s="6"/>
      <c r="DN176" s="7">
        <f>ROUND(5736.18,2)</f>
        <v>5736.18</v>
      </c>
      <c r="DO176" s="6"/>
      <c r="DP176" s="7">
        <f>ROUND(693.15,2)</f>
        <v>693.15</v>
      </c>
      <c r="DQ176" s="6"/>
      <c r="DR176" s="6"/>
      <c r="DS176" s="6"/>
      <c r="DT176" s="6"/>
      <c r="DU176" s="6"/>
      <c r="DV176" s="6"/>
      <c r="DW176" s="6"/>
      <c r="DX176" s="6"/>
      <c r="DY176" s="7">
        <f>ROUND(12707.61,2)</f>
        <v>12707.61</v>
      </c>
      <c r="DZ176" s="6"/>
      <c r="EA176" s="7">
        <f>ROUND(749.95,2)</f>
        <v>749.95</v>
      </c>
      <c r="EB176" s="6"/>
      <c r="EC176" s="6"/>
      <c r="ED176" s="7">
        <f>ROUND(1878.5,2)</f>
        <v>1878.5</v>
      </c>
      <c r="EE176" s="6"/>
      <c r="EF176" s="7">
        <f>ROUND(661,2)</f>
        <v>661</v>
      </c>
      <c r="EG176" s="6"/>
      <c r="EH176" s="7">
        <f>ROUND(2201.31999999999,2)</f>
        <v>2201.3200000000002</v>
      </c>
      <c r="EI176" s="6"/>
      <c r="EJ176" s="6"/>
      <c r="EK176" s="7">
        <f>ROUND(513.44,2)</f>
        <v>513.44000000000005</v>
      </c>
      <c r="EL176" s="6"/>
      <c r="EM176" s="6"/>
      <c r="EN176" s="7">
        <f>ROUND(256.72,2)</f>
        <v>256.72000000000003</v>
      </c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7">
        <f>ROUND(499.96,2)</f>
        <v>499.96</v>
      </c>
      <c r="FC176" s="6"/>
      <c r="FD176" s="7">
        <f>ROUND(577.62,2)</f>
        <v>577.62</v>
      </c>
      <c r="FE176" s="6"/>
      <c r="FF176" s="6"/>
      <c r="FG176" s="6"/>
      <c r="FH176" s="6"/>
      <c r="FI176" s="6"/>
      <c r="FJ176" s="7">
        <f>ROUND(750,2)</f>
        <v>750</v>
      </c>
      <c r="FK176" s="6"/>
      <c r="FL176" s="6"/>
      <c r="FM176" s="6"/>
      <c r="FN176" s="6"/>
      <c r="FO176" s="6"/>
      <c r="FP176" s="6"/>
      <c r="FQ176" s="6"/>
      <c r="FR176" s="6"/>
      <c r="FS176" s="6"/>
      <c r="FT176" s="7">
        <f>ROUND(3000,2)</f>
        <v>3000</v>
      </c>
      <c r="FU176" s="6"/>
      <c r="FV176" s="6"/>
      <c r="FW176" s="6"/>
      <c r="FX176" s="6"/>
      <c r="FY176" s="7">
        <f>ROUND(58649.1299999999,2)</f>
        <v>58649.13</v>
      </c>
    </row>
    <row r="177" spans="1:181" x14ac:dyDescent="0.3">
      <c r="A177" s="4" t="s">
        <v>353</v>
      </c>
      <c r="B177" s="5" t="s">
        <v>1029</v>
      </c>
      <c r="C177" s="5" t="s">
        <v>181</v>
      </c>
      <c r="D177" s="5" t="s">
        <v>354</v>
      </c>
      <c r="E177" s="5" t="s">
        <v>0</v>
      </c>
      <c r="F177" s="5" t="s">
        <v>0</v>
      </c>
      <c r="G177" s="5" t="s">
        <v>183</v>
      </c>
      <c r="H177" s="9">
        <v>31.71</v>
      </c>
      <c r="I177" s="7">
        <f>ROUND(65591.04,2)</f>
        <v>65591.039999999994</v>
      </c>
      <c r="J177" s="6"/>
      <c r="K177" s="6"/>
      <c r="L177" s="6"/>
      <c r="M177" s="6"/>
      <c r="N177" s="7">
        <f>ROUND(1023.47999999999,2)</f>
        <v>1023.48</v>
      </c>
      <c r="O177" s="6"/>
      <c r="P177" s="6"/>
      <c r="Q177" s="7">
        <f>ROUND(61.83,2)</f>
        <v>61.83</v>
      </c>
      <c r="R177" s="6"/>
      <c r="S177" s="6"/>
      <c r="T177" s="6"/>
      <c r="U177" s="6"/>
      <c r="V177" s="7">
        <f>ROUND(9.77,2)</f>
        <v>9.77</v>
      </c>
      <c r="W177" s="7">
        <f>ROUND(7.23,2)</f>
        <v>7.23</v>
      </c>
      <c r="X177" s="6"/>
      <c r="Y177" s="6"/>
      <c r="Z177" s="6"/>
      <c r="AA177" s="6"/>
      <c r="AB177" s="6"/>
      <c r="AC177" s="6"/>
      <c r="AD177" s="6"/>
      <c r="AE177" s="7">
        <f>ROUND(192.39,2)</f>
        <v>192.39</v>
      </c>
      <c r="AF177" s="6"/>
      <c r="AG177" s="7">
        <f>ROUND(3.83,2)</f>
        <v>3.83</v>
      </c>
      <c r="AH177" s="6"/>
      <c r="AI177" s="6"/>
      <c r="AJ177" s="6"/>
      <c r="AK177" s="6"/>
      <c r="AL177" s="6"/>
      <c r="AM177" s="6"/>
      <c r="AN177" s="6"/>
      <c r="AO177" s="6"/>
      <c r="AP177" s="7">
        <f>ROUND(562.37,2)</f>
        <v>562.37</v>
      </c>
      <c r="AQ177" s="6"/>
      <c r="AR177" s="7">
        <f>ROUND(64.0599999999999,2)</f>
        <v>64.06</v>
      </c>
      <c r="AS177" s="6"/>
      <c r="AT177" s="6"/>
      <c r="AU177" s="7">
        <f>ROUND(56,2)</f>
        <v>56</v>
      </c>
      <c r="AV177" s="6"/>
      <c r="AW177" s="7">
        <f>ROUND(37,2)</f>
        <v>37</v>
      </c>
      <c r="AX177" s="6"/>
      <c r="AY177" s="7">
        <f>ROUND(22.07,2)</f>
        <v>22.07</v>
      </c>
      <c r="AZ177" s="7">
        <f>ROUND(6.93,2)</f>
        <v>6.93</v>
      </c>
      <c r="BA177" s="6"/>
      <c r="BB177" s="7">
        <f>ROUND(5,2)</f>
        <v>5</v>
      </c>
      <c r="BC177" s="6"/>
      <c r="BD177" s="7">
        <f t="shared" si="9"/>
        <v>8</v>
      </c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7">
        <f>ROUND(1.5,2)</f>
        <v>1.5</v>
      </c>
      <c r="BP177" s="6"/>
      <c r="BQ177" s="7">
        <f>ROUND(8,2)</f>
        <v>8</v>
      </c>
      <c r="BR177" s="6"/>
      <c r="BS177" s="7">
        <f>ROUND(21.2,2)</f>
        <v>21.2</v>
      </c>
      <c r="BT177" s="7">
        <f>ROUND(6.89999999999999,2)</f>
        <v>6.9</v>
      </c>
      <c r="BU177" s="6"/>
      <c r="BV177" s="6"/>
      <c r="BW177" s="7">
        <f>ROUND(8,2)</f>
        <v>8</v>
      </c>
      <c r="BX177" s="6"/>
      <c r="BY177" s="7">
        <f>ROUND(34,2)</f>
        <v>34</v>
      </c>
      <c r="BZ177" s="6"/>
      <c r="CA177" s="7">
        <f>ROUND(8,2)</f>
        <v>8</v>
      </c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7">
        <f>ROUND(2147.55999999999,2)</f>
        <v>2147.56</v>
      </c>
      <c r="CR177" s="6"/>
      <c r="CS177" s="6"/>
      <c r="CT177" s="6"/>
      <c r="CU177" s="6"/>
      <c r="CV177" s="7">
        <f>ROUND(29527.33,2)</f>
        <v>29527.33</v>
      </c>
      <c r="CW177" s="6"/>
      <c r="CX177" s="6"/>
      <c r="CY177" s="7">
        <f>ROUND(2741.46999999999,2)</f>
        <v>2741.47</v>
      </c>
      <c r="CZ177" s="6"/>
      <c r="DA177" s="6"/>
      <c r="DB177" s="6"/>
      <c r="DC177" s="6"/>
      <c r="DD177" s="7">
        <f>ROUND(272.36,2)</f>
        <v>272.36</v>
      </c>
      <c r="DE177" s="7">
        <f>ROUND(324.27,2)</f>
        <v>324.27</v>
      </c>
      <c r="DF177" s="6"/>
      <c r="DG177" s="6"/>
      <c r="DH177" s="6"/>
      <c r="DI177" s="6"/>
      <c r="DJ177" s="6"/>
      <c r="DK177" s="6"/>
      <c r="DL177" s="6"/>
      <c r="DM177" s="6"/>
      <c r="DN177" s="7">
        <f>ROUND(5547.42,2)</f>
        <v>5547.42</v>
      </c>
      <c r="DO177" s="6"/>
      <c r="DP177" s="7">
        <f>ROUND(170.92,2)</f>
        <v>170.92</v>
      </c>
      <c r="DQ177" s="6"/>
      <c r="DR177" s="6"/>
      <c r="DS177" s="6"/>
      <c r="DT177" s="6"/>
      <c r="DU177" s="6"/>
      <c r="DV177" s="6"/>
      <c r="DW177" s="6"/>
      <c r="DX177" s="6"/>
      <c r="DY177" s="7">
        <f>ROUND(15928.47,2)</f>
        <v>15928.47</v>
      </c>
      <c r="DZ177" s="6"/>
      <c r="EA177" s="7">
        <f>ROUND(2795.84,2)</f>
        <v>2795.84</v>
      </c>
      <c r="EB177" s="6"/>
      <c r="EC177" s="6"/>
      <c r="ED177" s="7">
        <f>ROUND(1602.64,2)</f>
        <v>1602.64</v>
      </c>
      <c r="EE177" s="6"/>
      <c r="EF177" s="7">
        <f>ROUND(1064.56,2)</f>
        <v>1064.56</v>
      </c>
      <c r="EG177" s="6"/>
      <c r="EH177" s="7">
        <f>ROUND(644.23,2)</f>
        <v>644.23</v>
      </c>
      <c r="EI177" s="7">
        <f>ROUND(309.26,2)</f>
        <v>309.26</v>
      </c>
      <c r="EJ177" s="6"/>
      <c r="EK177" s="7">
        <f>ROUND(136.4,2)</f>
        <v>136.4</v>
      </c>
      <c r="EL177" s="6"/>
      <c r="EM177" s="6"/>
      <c r="EN177" s="7">
        <f>ROUND(218.24,2)</f>
        <v>218.24</v>
      </c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7">
        <f>ROUND(44.63,2)</f>
        <v>44.63</v>
      </c>
      <c r="FC177" s="6"/>
      <c r="FD177" s="7">
        <f>ROUND(238,2)</f>
        <v>238</v>
      </c>
      <c r="FE177" s="6"/>
      <c r="FF177" s="6"/>
      <c r="FG177" s="6"/>
      <c r="FH177" s="6"/>
      <c r="FI177" s="6"/>
      <c r="FJ177" s="7">
        <f>ROUND(1025,2)</f>
        <v>1025</v>
      </c>
      <c r="FK177" s="6"/>
      <c r="FL177" s="6"/>
      <c r="FM177" s="6"/>
      <c r="FN177" s="6"/>
      <c r="FO177" s="6"/>
      <c r="FP177" s="6"/>
      <c r="FQ177" s="6"/>
      <c r="FR177" s="6"/>
      <c r="FS177" s="6"/>
      <c r="FT177" s="7">
        <f>ROUND(3000,2)</f>
        <v>3000</v>
      </c>
      <c r="FU177" s="6"/>
      <c r="FV177" s="6"/>
      <c r="FW177" s="6"/>
      <c r="FX177" s="6"/>
      <c r="FY177" s="7">
        <f>ROUND(65591.04,2)</f>
        <v>65591.039999999994</v>
      </c>
    </row>
    <row r="178" spans="1:181" x14ac:dyDescent="0.3">
      <c r="A178" s="4" t="s">
        <v>355</v>
      </c>
      <c r="B178" s="5" t="s">
        <v>1029</v>
      </c>
      <c r="C178" s="5" t="s">
        <v>181</v>
      </c>
      <c r="D178" s="5" t="s">
        <v>289</v>
      </c>
      <c r="E178" s="5" t="s">
        <v>0</v>
      </c>
      <c r="F178" s="5" t="s">
        <v>0</v>
      </c>
      <c r="G178" s="5" t="s">
        <v>183</v>
      </c>
      <c r="H178" s="8">
        <v>33.380000000000003</v>
      </c>
      <c r="I178" s="7">
        <f>ROUND(83954.9499999999,2)</f>
        <v>83954.95</v>
      </c>
      <c r="J178" s="6"/>
      <c r="K178" s="6"/>
      <c r="L178" s="6"/>
      <c r="M178" s="6"/>
      <c r="N178" s="7">
        <f>ROUND(1114.88999999999,2)</f>
        <v>1114.8900000000001</v>
      </c>
      <c r="O178" s="6"/>
      <c r="P178" s="6"/>
      <c r="Q178" s="7">
        <f>ROUND(148.03,2)</f>
        <v>148.03</v>
      </c>
      <c r="R178" s="6"/>
      <c r="S178" s="6"/>
      <c r="T178" s="6"/>
      <c r="U178" s="6"/>
      <c r="V178" s="7">
        <f>ROUND(19.5099999999999,2)</f>
        <v>19.510000000000002</v>
      </c>
      <c r="W178" s="6"/>
      <c r="X178" s="6"/>
      <c r="Y178" s="6"/>
      <c r="Z178" s="6"/>
      <c r="AA178" s="6"/>
      <c r="AB178" s="6"/>
      <c r="AC178" s="6"/>
      <c r="AD178" s="6"/>
      <c r="AE178" s="7">
        <f>ROUND(290.34,2)</f>
        <v>290.33999999999997</v>
      </c>
      <c r="AF178" s="6"/>
      <c r="AG178" s="7">
        <f>ROUND(26.6899999999999,2)</f>
        <v>26.69</v>
      </c>
      <c r="AH178" s="6"/>
      <c r="AI178" s="6"/>
      <c r="AJ178" s="6"/>
      <c r="AK178" s="6"/>
      <c r="AL178" s="6"/>
      <c r="AM178" s="6"/>
      <c r="AN178" s="6"/>
      <c r="AO178" s="6"/>
      <c r="AP178" s="7">
        <f>ROUND(509.059999999999,2)</f>
        <v>509.06</v>
      </c>
      <c r="AQ178" s="6"/>
      <c r="AR178" s="7">
        <f>ROUND(12.35,2)</f>
        <v>12.35</v>
      </c>
      <c r="AS178" s="6"/>
      <c r="AT178" s="6"/>
      <c r="AU178" s="7">
        <f>ROUND(76,2)</f>
        <v>76</v>
      </c>
      <c r="AV178" s="6"/>
      <c r="AW178" s="7">
        <f>ROUND(24.33,2)</f>
        <v>24.33</v>
      </c>
      <c r="AX178" s="7">
        <f>ROUND(3.67,2)</f>
        <v>3.67</v>
      </c>
      <c r="AY178" s="7">
        <f>ROUND(41.25,2)</f>
        <v>41.25</v>
      </c>
      <c r="AZ178" s="7">
        <f>ROUND(2.75,2)</f>
        <v>2.75</v>
      </c>
      <c r="BA178" s="6"/>
      <c r="BB178" s="7">
        <f>ROUND(26,2)</f>
        <v>26</v>
      </c>
      <c r="BC178" s="6"/>
      <c r="BD178" s="7">
        <f t="shared" si="9"/>
        <v>8</v>
      </c>
      <c r="BE178" s="7">
        <f>ROUND(0.83,2)</f>
        <v>0.83</v>
      </c>
      <c r="BF178" s="6"/>
      <c r="BG178" s="6"/>
      <c r="BH178" s="6"/>
      <c r="BI178" s="6"/>
      <c r="BJ178" s="6"/>
      <c r="BK178" s="6"/>
      <c r="BL178" s="6"/>
      <c r="BM178" s="6"/>
      <c r="BN178" s="6"/>
      <c r="BO178" s="7">
        <f>ROUND(21,2)</f>
        <v>21</v>
      </c>
      <c r="BP178" s="6"/>
      <c r="BQ178" s="6"/>
      <c r="BR178" s="6"/>
      <c r="BS178" s="6"/>
      <c r="BT178" s="7">
        <f>ROUND(7.72,2)</f>
        <v>7.72</v>
      </c>
      <c r="BU178" s="6"/>
      <c r="BV178" s="6"/>
      <c r="BW178" s="6"/>
      <c r="BX178" s="6"/>
      <c r="BY178" s="7">
        <f>ROUND(8,2)</f>
        <v>8</v>
      </c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7">
        <f>ROUND(8,2)</f>
        <v>8</v>
      </c>
      <c r="CQ178" s="7">
        <f>ROUND(2348.42,2)</f>
        <v>2348.42</v>
      </c>
      <c r="CR178" s="6"/>
      <c r="CS178" s="6"/>
      <c r="CT178" s="6"/>
      <c r="CU178" s="6"/>
      <c r="CV178" s="7">
        <f>ROUND(36402.1299999999,2)</f>
        <v>36402.129999999997</v>
      </c>
      <c r="CW178" s="6"/>
      <c r="CX178" s="6"/>
      <c r="CY178" s="7">
        <f>ROUND(7254.90999999999,2)</f>
        <v>7254.91</v>
      </c>
      <c r="CZ178" s="6"/>
      <c r="DA178" s="6"/>
      <c r="DB178" s="6"/>
      <c r="DC178" s="6"/>
      <c r="DD178" s="7">
        <f>ROUND(627.319999999999,2)</f>
        <v>627.32000000000005</v>
      </c>
      <c r="DE178" s="6"/>
      <c r="DF178" s="6"/>
      <c r="DG178" s="6"/>
      <c r="DH178" s="6"/>
      <c r="DI178" s="6"/>
      <c r="DJ178" s="6"/>
      <c r="DK178" s="6"/>
      <c r="DL178" s="6"/>
      <c r="DM178" s="6"/>
      <c r="DN178" s="7">
        <f>ROUND(9491.34999999999,2)</f>
        <v>9491.35</v>
      </c>
      <c r="DO178" s="6"/>
      <c r="DP178" s="7">
        <f>ROUND(1316.55,2)</f>
        <v>1316.55</v>
      </c>
      <c r="DQ178" s="6"/>
      <c r="DR178" s="6"/>
      <c r="DS178" s="6"/>
      <c r="DT178" s="6"/>
      <c r="DU178" s="6"/>
      <c r="DV178" s="6"/>
      <c r="DW178" s="6"/>
      <c r="DX178" s="6"/>
      <c r="DY178" s="7">
        <f>ROUND(16567.7,2)</f>
        <v>16567.7</v>
      </c>
      <c r="DZ178" s="6"/>
      <c r="EA178" s="7">
        <f>ROUND(604.15,2)</f>
        <v>604.15</v>
      </c>
      <c r="EB178" s="6"/>
      <c r="EC178" s="6"/>
      <c r="ED178" s="7">
        <f>ROUND(2476.7,2)</f>
        <v>2476.6999999999998</v>
      </c>
      <c r="EE178" s="6"/>
      <c r="EF178" s="7">
        <f>ROUND(786.83,2)</f>
        <v>786.83</v>
      </c>
      <c r="EG178" s="7">
        <f>ROUND(181.94,2)</f>
        <v>181.94</v>
      </c>
      <c r="EH178" s="7">
        <f>ROUND(1353.71,2)</f>
        <v>1353.71</v>
      </c>
      <c r="EI178" s="7">
        <f>ROUND(136.33,2)</f>
        <v>136.33000000000001</v>
      </c>
      <c r="EJ178" s="6"/>
      <c r="EK178" s="7">
        <f>ROUND(842.02,2)</f>
        <v>842.02</v>
      </c>
      <c r="EL178" s="6"/>
      <c r="EM178" s="6"/>
      <c r="EN178" s="7">
        <f>ROUND(256.72,2)</f>
        <v>256.72000000000003</v>
      </c>
      <c r="EO178" s="7">
        <f>ROUND(27.43,2)</f>
        <v>27.43</v>
      </c>
      <c r="EP178" s="6"/>
      <c r="EQ178" s="6"/>
      <c r="ER178" s="6"/>
      <c r="ES178" s="6"/>
      <c r="ET178" s="6"/>
      <c r="EU178" s="6"/>
      <c r="EV178" s="7">
        <f>ROUND(500,2)</f>
        <v>500</v>
      </c>
      <c r="EW178" s="6"/>
      <c r="EX178" s="6"/>
      <c r="EY178" s="6"/>
      <c r="EZ178" s="6"/>
      <c r="FA178" s="6"/>
      <c r="FB178" s="7">
        <f>ROUND(687.12,2)</f>
        <v>687.12</v>
      </c>
      <c r="FC178" s="6"/>
      <c r="FD178" s="6"/>
      <c r="FE178" s="6"/>
      <c r="FF178" s="6"/>
      <c r="FG178" s="6"/>
      <c r="FH178" s="6"/>
      <c r="FI178" s="6"/>
      <c r="FJ178" s="7">
        <f>ROUND(1175,2)</f>
        <v>1175</v>
      </c>
      <c r="FK178" s="6"/>
      <c r="FL178" s="6"/>
      <c r="FM178" s="6"/>
      <c r="FN178" s="6"/>
      <c r="FO178" s="6"/>
      <c r="FP178" s="6"/>
      <c r="FQ178" s="6"/>
      <c r="FR178" s="6"/>
      <c r="FS178" s="6"/>
      <c r="FT178" s="7">
        <f>ROUND(3000,2)</f>
        <v>3000</v>
      </c>
      <c r="FU178" s="6"/>
      <c r="FV178" s="6"/>
      <c r="FW178" s="6"/>
      <c r="FX178" s="7">
        <f>ROUND(267.04,2)</f>
        <v>267.04000000000002</v>
      </c>
      <c r="FY178" s="7">
        <f>ROUND(83954.9499999999,2)</f>
        <v>83954.95</v>
      </c>
    </row>
    <row r="179" spans="1:181" x14ac:dyDescent="0.3">
      <c r="A179" s="4" t="s">
        <v>356</v>
      </c>
      <c r="B179" s="5" t="s">
        <v>1029</v>
      </c>
      <c r="C179" s="5" t="s">
        <v>181</v>
      </c>
      <c r="D179" s="5" t="s">
        <v>309</v>
      </c>
      <c r="E179" s="5" t="s">
        <v>0</v>
      </c>
      <c r="F179" s="5" t="s">
        <v>0</v>
      </c>
      <c r="G179" s="5" t="s">
        <v>183</v>
      </c>
      <c r="H179" s="8">
        <v>33.380000000000003</v>
      </c>
      <c r="I179" s="7">
        <f>ROUND(73477.9199999999,2)</f>
        <v>73477.919999999998</v>
      </c>
      <c r="J179" s="6"/>
      <c r="K179" s="6"/>
      <c r="L179" s="6"/>
      <c r="M179" s="6"/>
      <c r="N179" s="7">
        <f>ROUND(606.16,2)</f>
        <v>606.16</v>
      </c>
      <c r="O179" s="6"/>
      <c r="P179" s="6"/>
      <c r="Q179" s="7">
        <f>ROUND(41.25,2)</f>
        <v>41.25</v>
      </c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7">
        <f>ROUND(954.16,2)</f>
        <v>954.16</v>
      </c>
      <c r="AF179" s="6"/>
      <c r="AG179" s="7">
        <f>ROUND(0.4,2)</f>
        <v>0.4</v>
      </c>
      <c r="AH179" s="6"/>
      <c r="AI179" s="6"/>
      <c r="AJ179" s="6"/>
      <c r="AK179" s="6"/>
      <c r="AL179" s="6"/>
      <c r="AM179" s="6"/>
      <c r="AN179" s="6"/>
      <c r="AO179" s="6"/>
      <c r="AP179" s="7">
        <f>ROUND(262.78,2)</f>
        <v>262.77999999999997</v>
      </c>
      <c r="AQ179" s="6"/>
      <c r="AR179" s="7">
        <f>ROUND(22.34,2)</f>
        <v>22.34</v>
      </c>
      <c r="AS179" s="6"/>
      <c r="AT179" s="6"/>
      <c r="AU179" s="7">
        <f>ROUND(56,2)</f>
        <v>56</v>
      </c>
      <c r="AV179" s="6"/>
      <c r="AW179" s="7">
        <f>ROUND(30.77,2)</f>
        <v>30.77</v>
      </c>
      <c r="AX179" s="7">
        <f>ROUND(3.23,2)</f>
        <v>3.23</v>
      </c>
      <c r="AY179" s="7">
        <f>ROUND(31.07,2)</f>
        <v>31.07</v>
      </c>
      <c r="AZ179" s="7">
        <f>ROUND(10.93,2)</f>
        <v>10.93</v>
      </c>
      <c r="BA179" s="6"/>
      <c r="BB179" s="7">
        <f>ROUND(18,2)</f>
        <v>18</v>
      </c>
      <c r="BC179" s="6"/>
      <c r="BD179" s="7">
        <f t="shared" si="9"/>
        <v>8</v>
      </c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7">
        <f>ROUND(30,2)</f>
        <v>30</v>
      </c>
      <c r="BR179" s="6"/>
      <c r="BS179" s="6"/>
      <c r="BT179" s="7">
        <f>ROUND(16.51,2)</f>
        <v>16.510000000000002</v>
      </c>
      <c r="BU179" s="7">
        <f>ROUND(63.8,2)</f>
        <v>63.8</v>
      </c>
      <c r="BV179" s="7">
        <f>ROUND(12.02,2)</f>
        <v>12.02</v>
      </c>
      <c r="BW179" s="7">
        <f>ROUND(18,2)</f>
        <v>18</v>
      </c>
      <c r="BX179" s="7">
        <f>ROUND(24,2)</f>
        <v>24</v>
      </c>
      <c r="BY179" s="7">
        <f>ROUND(8,2)</f>
        <v>8</v>
      </c>
      <c r="BZ179" s="6"/>
      <c r="CA179" s="7">
        <f>ROUND(21.08,2)</f>
        <v>21.08</v>
      </c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7">
        <f>ROUND(2238.5,2)</f>
        <v>2238.5</v>
      </c>
      <c r="CR179" s="6"/>
      <c r="CS179" s="6"/>
      <c r="CT179" s="6"/>
      <c r="CU179" s="6"/>
      <c r="CV179" s="7">
        <f>ROUND(19898.79,2)</f>
        <v>19898.79</v>
      </c>
      <c r="CW179" s="6"/>
      <c r="CX179" s="6"/>
      <c r="CY179" s="7">
        <f>ROUND(2040.43,2)</f>
        <v>2040.43</v>
      </c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7">
        <f>ROUND(31200.7299999999,2)</f>
        <v>31200.73</v>
      </c>
      <c r="DO179" s="6"/>
      <c r="DP179" s="7">
        <f>ROUND(19.9,2)</f>
        <v>19.899999999999999</v>
      </c>
      <c r="DQ179" s="6"/>
      <c r="DR179" s="6"/>
      <c r="DS179" s="6"/>
      <c r="DT179" s="6"/>
      <c r="DU179" s="6"/>
      <c r="DV179" s="6"/>
      <c r="DW179" s="6"/>
      <c r="DX179" s="6"/>
      <c r="DY179" s="7">
        <f>ROUND(8551.52,2)</f>
        <v>8551.52</v>
      </c>
      <c r="DZ179" s="6"/>
      <c r="EA179" s="7">
        <f>ROUND(1112.65999999999,2)</f>
        <v>1112.6600000000001</v>
      </c>
      <c r="EB179" s="6"/>
      <c r="EC179" s="6"/>
      <c r="ED179" s="7">
        <f>ROUND(1834.9,2)</f>
        <v>1834.9</v>
      </c>
      <c r="EE179" s="6"/>
      <c r="EF179" s="7">
        <f>ROUND(1002.31,2)</f>
        <v>1002.31</v>
      </c>
      <c r="EG179" s="7">
        <f>ROUND(160.13,2)</f>
        <v>160.13</v>
      </c>
      <c r="EH179" s="7">
        <f>ROUND(1024.93999999999,2)</f>
        <v>1024.94</v>
      </c>
      <c r="EI179" s="7">
        <f>ROUND(533.21,2)</f>
        <v>533.21</v>
      </c>
      <c r="EJ179" s="6"/>
      <c r="EK179" s="7">
        <f>ROUND(587.22,2)</f>
        <v>587.22</v>
      </c>
      <c r="EL179" s="6"/>
      <c r="EM179" s="6"/>
      <c r="EN179" s="7">
        <f>ROUND(256.72,2)</f>
        <v>256.72000000000003</v>
      </c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7">
        <f>ROUND(962.7,2)</f>
        <v>962.7</v>
      </c>
      <c r="FE179" s="6"/>
      <c r="FF179" s="7">
        <f>ROUND(1141.76,2)</f>
        <v>1141.76</v>
      </c>
      <c r="FG179" s="6"/>
      <c r="FH179" s="6"/>
      <c r="FI179" s="6"/>
      <c r="FJ179" s="7">
        <f>ROUND(150,2)</f>
        <v>150</v>
      </c>
      <c r="FK179" s="6"/>
      <c r="FL179" s="6"/>
      <c r="FM179" s="6"/>
      <c r="FN179" s="6"/>
      <c r="FO179" s="6"/>
      <c r="FP179" s="6"/>
      <c r="FQ179" s="6"/>
      <c r="FR179" s="6"/>
      <c r="FS179" s="6"/>
      <c r="FT179" s="7">
        <f>ROUND(3000,2)</f>
        <v>3000</v>
      </c>
      <c r="FU179" s="6"/>
      <c r="FV179" s="6"/>
      <c r="FW179" s="6"/>
      <c r="FX179" s="6"/>
      <c r="FY179" s="7">
        <f>ROUND(73477.9199999999,2)</f>
        <v>73477.919999999998</v>
      </c>
    </row>
    <row r="180" spans="1:181" x14ac:dyDescent="0.3">
      <c r="A180" s="4" t="s">
        <v>357</v>
      </c>
      <c r="B180" s="5"/>
      <c r="C180" s="5" t="s">
        <v>181</v>
      </c>
      <c r="D180" s="5" t="s">
        <v>358</v>
      </c>
      <c r="E180" s="5" t="s">
        <v>0</v>
      </c>
      <c r="F180" s="5" t="s">
        <v>0</v>
      </c>
      <c r="G180" s="5" t="s">
        <v>351</v>
      </c>
      <c r="H180" s="8">
        <f>ROUND(50,2)</f>
        <v>50</v>
      </c>
      <c r="I180" s="7">
        <f>ROUND(8237.5,2)</f>
        <v>8237.5</v>
      </c>
      <c r="J180" s="7">
        <f>ROUND(164.75,2)</f>
        <v>164.75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7">
        <f>ROUND(164.75,2)</f>
        <v>164.75</v>
      </c>
      <c r="CR180" s="7">
        <f>ROUND(8237.5,2)</f>
        <v>8237.5</v>
      </c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7">
        <f>ROUND(8237.5,2)</f>
        <v>8237.5</v>
      </c>
    </row>
    <row r="181" spans="1:181" x14ac:dyDescent="0.3">
      <c r="A181" s="4" t="s">
        <v>363</v>
      </c>
      <c r="B181" s="5" t="s">
        <v>1029</v>
      </c>
      <c r="C181" s="5" t="s">
        <v>181</v>
      </c>
      <c r="D181" s="5" t="s">
        <v>301</v>
      </c>
      <c r="E181" s="5" t="s">
        <v>0</v>
      </c>
      <c r="F181" s="5" t="s">
        <v>0</v>
      </c>
      <c r="G181" s="5" t="s">
        <v>183</v>
      </c>
      <c r="H181" s="9">
        <v>28.37</v>
      </c>
      <c r="I181" s="7">
        <f>ROUND(29798.91,2)</f>
        <v>29798.91</v>
      </c>
      <c r="J181" s="6"/>
      <c r="K181" s="6"/>
      <c r="L181" s="6"/>
      <c r="M181" s="6"/>
      <c r="N181" s="7">
        <f>ROUND(619.269999999999,2)</f>
        <v>619.27</v>
      </c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7">
        <f>ROUND(90,2)</f>
        <v>90</v>
      </c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7">
        <f>ROUND(22.33,2)</f>
        <v>22.33</v>
      </c>
      <c r="AV181" s="7">
        <f>ROUND(2.67,2)</f>
        <v>2.67</v>
      </c>
      <c r="AW181" s="6"/>
      <c r="AX181" s="6"/>
      <c r="AY181" s="6"/>
      <c r="AZ181" s="6"/>
      <c r="BA181" s="6"/>
      <c r="BB181" s="6"/>
      <c r="BC181" s="6"/>
      <c r="BD181" s="7">
        <f>ROUND(413.67,2)</f>
        <v>413.67</v>
      </c>
      <c r="BE181" s="6"/>
      <c r="BF181" s="7">
        <f>ROUND(22.65,2)</f>
        <v>22.65</v>
      </c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7">
        <f>ROUND(5,2)</f>
        <v>5</v>
      </c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7">
        <f>ROUND(15,2)</f>
        <v>15</v>
      </c>
      <c r="CQ181" s="7">
        <f>ROUND(1190.58999999999,2)</f>
        <v>1190.5899999999999</v>
      </c>
      <c r="CR181" s="6"/>
      <c r="CS181" s="6"/>
      <c r="CT181" s="6"/>
      <c r="CU181" s="6"/>
      <c r="CV181" s="7">
        <f>ROUND(16616.2099999999,2)</f>
        <v>16616.21</v>
      </c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7">
        <f>ROUND(2460.47999999999,2)</f>
        <v>2460.48</v>
      </c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7">
        <f>ROUND(542.78,2)</f>
        <v>542.78</v>
      </c>
      <c r="EE181" s="7">
        <f>ROUND(70.09,2)</f>
        <v>70.09</v>
      </c>
      <c r="EF181" s="6"/>
      <c r="EG181" s="6"/>
      <c r="EH181" s="6"/>
      <c r="EI181" s="6"/>
      <c r="EJ181" s="6"/>
      <c r="EK181" s="6"/>
      <c r="EL181" s="6"/>
      <c r="EM181" s="6"/>
      <c r="EN181" s="7">
        <f>ROUND(7239.23,2)</f>
        <v>7239.23</v>
      </c>
      <c r="EO181" s="6"/>
      <c r="EP181" s="7">
        <f>ROUND(594.57,2)</f>
        <v>594.57000000000005</v>
      </c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7">
        <f>ROUND(350,2)</f>
        <v>350</v>
      </c>
      <c r="FK181" s="6"/>
      <c r="FL181" s="6"/>
      <c r="FM181" s="6"/>
      <c r="FN181" s="6"/>
      <c r="FO181" s="6"/>
      <c r="FP181" s="6"/>
      <c r="FQ181" s="6"/>
      <c r="FR181" s="6"/>
      <c r="FS181" s="6"/>
      <c r="FT181" s="7">
        <f>ROUND(1500,2)</f>
        <v>1500</v>
      </c>
      <c r="FU181" s="6"/>
      <c r="FV181" s="6"/>
      <c r="FW181" s="6"/>
      <c r="FX181" s="7">
        <f>ROUND(425.55,2)</f>
        <v>425.55</v>
      </c>
      <c r="FY181" s="7">
        <f>ROUND(29798.91,2)</f>
        <v>29798.91</v>
      </c>
    </row>
    <row r="182" spans="1:181" x14ac:dyDescent="0.3">
      <c r="A182" s="4" t="s">
        <v>367</v>
      </c>
      <c r="B182" s="5" t="s">
        <v>1029</v>
      </c>
      <c r="C182" s="5" t="s">
        <v>181</v>
      </c>
      <c r="D182" s="5" t="s">
        <v>368</v>
      </c>
      <c r="E182" s="5" t="s">
        <v>0</v>
      </c>
      <c r="F182" s="5" t="s">
        <v>0</v>
      </c>
      <c r="G182" s="5" t="s">
        <v>183</v>
      </c>
      <c r="H182" s="8">
        <v>33.380000000000003</v>
      </c>
      <c r="I182" s="7">
        <f>ROUND(76348.14,2)</f>
        <v>76348.14</v>
      </c>
      <c r="J182" s="6"/>
      <c r="K182" s="6"/>
      <c r="L182" s="6"/>
      <c r="M182" s="6"/>
      <c r="N182" s="7">
        <f>ROUND(1338.63999999999,2)</f>
        <v>1338.64</v>
      </c>
      <c r="O182" s="6"/>
      <c r="P182" s="6"/>
      <c r="Q182" s="7">
        <f>ROUND(139.299999999999,2)</f>
        <v>139.30000000000001</v>
      </c>
      <c r="R182" s="6"/>
      <c r="S182" s="6"/>
      <c r="T182" s="6"/>
      <c r="U182" s="6"/>
      <c r="V182" s="7">
        <f>ROUND(33.59,2)</f>
        <v>33.590000000000003</v>
      </c>
      <c r="W182" s="7">
        <f>ROUND(13.25,2)</f>
        <v>13.25</v>
      </c>
      <c r="X182" s="7">
        <f>ROUND(3,2)</f>
        <v>3</v>
      </c>
      <c r="Y182" s="6"/>
      <c r="Z182" s="6"/>
      <c r="AA182" s="6"/>
      <c r="AB182" s="6"/>
      <c r="AC182" s="6"/>
      <c r="AD182" s="6"/>
      <c r="AE182" s="7">
        <f>ROUND(10,2)</f>
        <v>10</v>
      </c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7">
        <f>ROUND(21.22,2)</f>
        <v>21.22</v>
      </c>
      <c r="AQ182" s="6"/>
      <c r="AR182" s="7">
        <f>ROUND(15.83,2)</f>
        <v>15.83</v>
      </c>
      <c r="AS182" s="6"/>
      <c r="AT182" s="6"/>
      <c r="AU182" s="7">
        <f>ROUND(62,2)</f>
        <v>62</v>
      </c>
      <c r="AV182" s="7">
        <f>ROUND(8,2)</f>
        <v>8</v>
      </c>
      <c r="AW182" s="7">
        <f>ROUND(29.52,2)</f>
        <v>29.52</v>
      </c>
      <c r="AX182" s="7">
        <f>ROUND(2.48,2)</f>
        <v>2.48</v>
      </c>
      <c r="AY182" s="7">
        <f>ROUND(107.43,2)</f>
        <v>107.43</v>
      </c>
      <c r="AZ182" s="7">
        <f>ROUND(12.57,2)</f>
        <v>12.57</v>
      </c>
      <c r="BA182" s="6"/>
      <c r="BB182" s="6"/>
      <c r="BC182" s="6"/>
      <c r="BD182" s="7">
        <f>ROUND(55.14,2)</f>
        <v>55.14</v>
      </c>
      <c r="BE182" s="6"/>
      <c r="BF182" s="7">
        <f>ROUND(33.86,2)</f>
        <v>33.86</v>
      </c>
      <c r="BG182" s="6"/>
      <c r="BH182" s="6"/>
      <c r="BI182" s="6"/>
      <c r="BJ182" s="6"/>
      <c r="BK182" s="7">
        <f>ROUND(125.279999999999,2)</f>
        <v>125.28</v>
      </c>
      <c r="BL182" s="6"/>
      <c r="BM182" s="6"/>
      <c r="BN182" s="6"/>
      <c r="BO182" s="7">
        <f>ROUND(10,2)</f>
        <v>10</v>
      </c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7">
        <f>ROUND(471.9,2)</f>
        <v>471.9</v>
      </c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7">
        <f>ROUND(40,2)</f>
        <v>40</v>
      </c>
      <c r="CQ182" s="7">
        <f>ROUND(2533.00999999999,2)</f>
        <v>2533.0100000000002</v>
      </c>
      <c r="CR182" s="6"/>
      <c r="CS182" s="6"/>
      <c r="CT182" s="6"/>
      <c r="CU182" s="6"/>
      <c r="CV182" s="7">
        <f>ROUND(43644.8499999999,2)</f>
        <v>43644.85</v>
      </c>
      <c r="CW182" s="6"/>
      <c r="CX182" s="6"/>
      <c r="CY182" s="7">
        <f>ROUND(6776.4,2)</f>
        <v>6776.4</v>
      </c>
      <c r="CZ182" s="6"/>
      <c r="DA182" s="6"/>
      <c r="DB182" s="6"/>
      <c r="DC182" s="6"/>
      <c r="DD182" s="7">
        <f>ROUND(1109.22,2)</f>
        <v>1109.22</v>
      </c>
      <c r="DE182" s="7">
        <f>ROUND(639.59,2)</f>
        <v>639.59</v>
      </c>
      <c r="DF182" s="7">
        <f>ROUND(96.62,2)</f>
        <v>96.62</v>
      </c>
      <c r="DG182" s="6"/>
      <c r="DH182" s="6"/>
      <c r="DI182" s="6"/>
      <c r="DJ182" s="6"/>
      <c r="DK182" s="6"/>
      <c r="DL182" s="6"/>
      <c r="DM182" s="6"/>
      <c r="DN182" s="7">
        <f>ROUND(333.8,2)</f>
        <v>333.8</v>
      </c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7">
        <f>ROUND(708.32,2)</f>
        <v>708.32</v>
      </c>
      <c r="DZ182" s="6"/>
      <c r="EA182" s="7">
        <f>ROUND(763.33,2)</f>
        <v>763.33</v>
      </c>
      <c r="EB182" s="6"/>
      <c r="EC182" s="6"/>
      <c r="ED182" s="7">
        <f>ROUND(2017.84,2)</f>
        <v>2017.84</v>
      </c>
      <c r="EE182" s="7">
        <f>ROUND(396.64,2)</f>
        <v>396.64</v>
      </c>
      <c r="EF182" s="7">
        <f>ROUND(947.3,2)</f>
        <v>947.3</v>
      </c>
      <c r="EG182" s="7">
        <f>ROUND(119.37,2)</f>
        <v>119.37</v>
      </c>
      <c r="EH182" s="7">
        <f>ROUND(3493.50999999999,2)</f>
        <v>3493.51</v>
      </c>
      <c r="EI182" s="7">
        <f>ROUND(616.58,2)</f>
        <v>616.58000000000004</v>
      </c>
      <c r="EJ182" s="6"/>
      <c r="EK182" s="6"/>
      <c r="EL182" s="6"/>
      <c r="EM182" s="6"/>
      <c r="EN182" s="7">
        <f>ROUND(1778.08,2)</f>
        <v>1778.08</v>
      </c>
      <c r="EO182" s="6"/>
      <c r="EP182" s="7">
        <f>ROUND(1629.86,2)</f>
        <v>1629.86</v>
      </c>
      <c r="EQ182" s="6"/>
      <c r="ER182" s="6"/>
      <c r="ES182" s="6"/>
      <c r="ET182" s="6"/>
      <c r="EU182" s="6"/>
      <c r="EV182" s="7">
        <f>ROUND(500,2)</f>
        <v>500</v>
      </c>
      <c r="EW182" s="6"/>
      <c r="EX182" s="7">
        <f>ROUND(4120.73,2)</f>
        <v>4120.7299999999996</v>
      </c>
      <c r="EY182" s="6"/>
      <c r="EZ182" s="6"/>
      <c r="FA182" s="6"/>
      <c r="FB182" s="7">
        <f>ROUND(320.9,2)</f>
        <v>320.89999999999998</v>
      </c>
      <c r="FC182" s="6"/>
      <c r="FD182" s="6"/>
      <c r="FE182" s="6"/>
      <c r="FF182" s="6"/>
      <c r="FG182" s="6"/>
      <c r="FH182" s="6"/>
      <c r="FI182" s="6"/>
      <c r="FJ182" s="7">
        <f>ROUND(2000,2)</f>
        <v>2000</v>
      </c>
      <c r="FK182" s="6"/>
      <c r="FL182" s="6"/>
      <c r="FM182" s="6"/>
      <c r="FN182" s="6"/>
      <c r="FO182" s="6"/>
      <c r="FP182" s="6"/>
      <c r="FQ182" s="6"/>
      <c r="FR182" s="6"/>
      <c r="FS182" s="6"/>
      <c r="FT182" s="7">
        <f>ROUND(3000,2)</f>
        <v>3000</v>
      </c>
      <c r="FU182" s="6"/>
      <c r="FV182" s="6"/>
      <c r="FW182" s="6"/>
      <c r="FX182" s="7">
        <f>ROUND(1335.2,2)</f>
        <v>1335.2</v>
      </c>
      <c r="FY182" s="7">
        <f>ROUND(76348.14,2)</f>
        <v>76348.14</v>
      </c>
    </row>
    <row r="183" spans="1:181" x14ac:dyDescent="0.3">
      <c r="A183" s="4" t="s">
        <v>369</v>
      </c>
      <c r="B183" s="5" t="s">
        <v>1029</v>
      </c>
      <c r="C183" s="5" t="s">
        <v>181</v>
      </c>
      <c r="D183" s="5" t="s">
        <v>370</v>
      </c>
      <c r="E183" s="5" t="s">
        <v>0</v>
      </c>
      <c r="F183" s="5" t="s">
        <v>0</v>
      </c>
      <c r="G183" s="5" t="s">
        <v>183</v>
      </c>
      <c r="H183" s="8">
        <v>33.380000000000003</v>
      </c>
      <c r="I183" s="7">
        <f>ROUND(11968.5399999999,2)</f>
        <v>11968.54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7">
        <f>ROUND(82.42,2)</f>
        <v>82.42</v>
      </c>
      <c r="AF183" s="6"/>
      <c r="AG183" s="7">
        <f>ROUND(8,2)</f>
        <v>8</v>
      </c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7">
        <f>ROUND(16,2)</f>
        <v>16</v>
      </c>
      <c r="AV183" s="6"/>
      <c r="AW183" s="6"/>
      <c r="AX183" s="6"/>
      <c r="AY183" s="7">
        <f>ROUND(16,2)</f>
        <v>16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7">
        <f>ROUND(48,2)</f>
        <v>48</v>
      </c>
      <c r="BX183" s="6"/>
      <c r="BY183" s="7">
        <f>ROUND(8,2)</f>
        <v>8</v>
      </c>
      <c r="BZ183" s="6"/>
      <c r="CA183" s="7">
        <f>ROUND(16,2)</f>
        <v>16</v>
      </c>
      <c r="CB183" s="6"/>
      <c r="CC183" s="7">
        <f>ROUND(1352,2)</f>
        <v>1352</v>
      </c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7">
        <f>ROUND(144,2)</f>
        <v>144</v>
      </c>
      <c r="CQ183" s="7">
        <f>ROUND(1690.42,2)</f>
        <v>1690.42</v>
      </c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7">
        <f>ROUND(2674.86,2)</f>
        <v>2674.86</v>
      </c>
      <c r="DO183" s="6"/>
      <c r="DP183" s="7">
        <f>ROUND(385.08,2)</f>
        <v>385.08</v>
      </c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7">
        <f>ROUND(513.44,2)</f>
        <v>513.44000000000005</v>
      </c>
      <c r="EE183" s="6"/>
      <c r="EF183" s="6"/>
      <c r="EG183" s="6"/>
      <c r="EH183" s="7">
        <f>ROUND(513.44,2)</f>
        <v>513.44000000000005</v>
      </c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7">
        <f>ROUND(75,2)</f>
        <v>75</v>
      </c>
      <c r="FK183" s="6"/>
      <c r="FL183" s="6"/>
      <c r="FM183" s="6"/>
      <c r="FN183" s="6"/>
      <c r="FO183" s="6"/>
      <c r="FP183" s="6"/>
      <c r="FQ183" s="6"/>
      <c r="FR183" s="6"/>
      <c r="FS183" s="6"/>
      <c r="FT183" s="7">
        <f>ROUND(3000,2)</f>
        <v>3000</v>
      </c>
      <c r="FU183" s="6"/>
      <c r="FV183" s="6"/>
      <c r="FW183" s="6"/>
      <c r="FX183" s="7">
        <f>ROUND(4806.72,2)</f>
        <v>4806.72</v>
      </c>
      <c r="FY183" s="7">
        <f>ROUND(11968.5399999999,2)</f>
        <v>11968.54</v>
      </c>
    </row>
    <row r="184" spans="1:181" x14ac:dyDescent="0.3">
      <c r="A184" s="4" t="s">
        <v>371</v>
      </c>
      <c r="B184" s="5" t="s">
        <v>1029</v>
      </c>
      <c r="C184" s="5" t="s">
        <v>181</v>
      </c>
      <c r="D184" s="5" t="s">
        <v>372</v>
      </c>
      <c r="E184" s="5" t="s">
        <v>0</v>
      </c>
      <c r="F184" s="5" t="s">
        <v>0</v>
      </c>
      <c r="G184" s="5" t="s">
        <v>183</v>
      </c>
      <c r="H184" s="8">
        <v>33.380000000000003</v>
      </c>
      <c r="I184" s="7">
        <f>ROUND(98632.7399999999,2)</f>
        <v>98632.74</v>
      </c>
      <c r="J184" s="6"/>
      <c r="K184" s="6"/>
      <c r="L184" s="6"/>
      <c r="M184" s="6"/>
      <c r="N184" s="7">
        <f>ROUND(1712.51,2)</f>
        <v>1712.51</v>
      </c>
      <c r="O184" s="6"/>
      <c r="P184" s="6"/>
      <c r="Q184" s="7">
        <f>ROUND(360.099999999999,2)</f>
        <v>360.1</v>
      </c>
      <c r="R184" s="6"/>
      <c r="S184" s="6"/>
      <c r="T184" s="6"/>
      <c r="U184" s="6"/>
      <c r="V184" s="6"/>
      <c r="W184" s="6"/>
      <c r="X184" s="7">
        <f>ROUND(0.33,2)</f>
        <v>0.33</v>
      </c>
      <c r="Y184" s="6"/>
      <c r="Z184" s="6"/>
      <c r="AA184" s="6"/>
      <c r="AB184" s="6"/>
      <c r="AC184" s="6"/>
      <c r="AD184" s="6"/>
      <c r="AE184" s="7">
        <f>ROUND(44.23,2)</f>
        <v>44.23</v>
      </c>
      <c r="AF184" s="6"/>
      <c r="AG184" s="7">
        <f>ROUND(120.77,2)</f>
        <v>120.77</v>
      </c>
      <c r="AH184" s="6"/>
      <c r="AI184" s="6"/>
      <c r="AJ184" s="6"/>
      <c r="AK184" s="6"/>
      <c r="AL184" s="6"/>
      <c r="AM184" s="6"/>
      <c r="AN184" s="6"/>
      <c r="AO184" s="6"/>
      <c r="AP184" s="7">
        <f>ROUND(6,2)</f>
        <v>6</v>
      </c>
      <c r="AQ184" s="6"/>
      <c r="AR184" s="6"/>
      <c r="AS184" s="6"/>
      <c r="AT184" s="6"/>
      <c r="AU184" s="7">
        <f>ROUND(68,2)</f>
        <v>68</v>
      </c>
      <c r="AV184" s="6"/>
      <c r="AW184" s="7">
        <f>ROUND(27.67,2)</f>
        <v>27.67</v>
      </c>
      <c r="AX184" s="7">
        <f>ROUND(4.33,2)</f>
        <v>4.33</v>
      </c>
      <c r="AY184" s="7">
        <f>ROUND(120,2)</f>
        <v>120</v>
      </c>
      <c r="AZ184" s="6"/>
      <c r="BA184" s="6"/>
      <c r="BB184" s="7">
        <f>ROUND(24,2)</f>
        <v>24</v>
      </c>
      <c r="BC184" s="6"/>
      <c r="BD184" s="7">
        <f>ROUND(8,2)</f>
        <v>8</v>
      </c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7">
        <f>ROUND(145.26,2)</f>
        <v>145.26</v>
      </c>
      <c r="BP184" s="7">
        <f>ROUND(10.16,2)</f>
        <v>10.16</v>
      </c>
      <c r="BQ184" s="6"/>
      <c r="BR184" s="6"/>
      <c r="BS184" s="6"/>
      <c r="BT184" s="7">
        <f>ROUND(0.13,2)</f>
        <v>0.13</v>
      </c>
      <c r="BU184" s="6"/>
      <c r="BV184" s="6"/>
      <c r="BW184" s="6"/>
      <c r="BX184" s="6"/>
      <c r="BY184" s="6"/>
      <c r="BZ184" s="6"/>
      <c r="CA184" s="7">
        <f>ROUND(8,2)</f>
        <v>8</v>
      </c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7">
        <f>ROUND(2659.48999999999,2)</f>
        <v>2659.49</v>
      </c>
      <c r="CR184" s="6"/>
      <c r="CS184" s="6"/>
      <c r="CT184" s="6"/>
      <c r="CU184" s="6"/>
      <c r="CV184" s="7">
        <f>ROUND(55823.2299999999,2)</f>
        <v>55823.23</v>
      </c>
      <c r="CW184" s="6"/>
      <c r="CX184" s="6"/>
      <c r="CY184" s="7">
        <f>ROUND(17472.6199999999,2)</f>
        <v>17472.62</v>
      </c>
      <c r="CZ184" s="6"/>
      <c r="DA184" s="6"/>
      <c r="DB184" s="6"/>
      <c r="DC184" s="6"/>
      <c r="DD184" s="6"/>
      <c r="DE184" s="6"/>
      <c r="DF184" s="7">
        <f>ROUND(10.59,2)</f>
        <v>10.59</v>
      </c>
      <c r="DG184" s="6"/>
      <c r="DH184" s="6"/>
      <c r="DI184" s="6"/>
      <c r="DJ184" s="6"/>
      <c r="DK184" s="6"/>
      <c r="DL184" s="6"/>
      <c r="DM184" s="6"/>
      <c r="DN184" s="7">
        <f>ROUND(1467.85,2)</f>
        <v>1467.85</v>
      </c>
      <c r="DO184" s="6"/>
      <c r="DP184" s="7">
        <f>ROUND(6001.91,2)</f>
        <v>6001.91</v>
      </c>
      <c r="DQ184" s="6"/>
      <c r="DR184" s="6"/>
      <c r="DS184" s="6"/>
      <c r="DT184" s="6"/>
      <c r="DU184" s="6"/>
      <c r="DV184" s="6"/>
      <c r="DW184" s="6"/>
      <c r="DX184" s="6"/>
      <c r="DY184" s="7">
        <f>ROUND(192.54,2)</f>
        <v>192.54</v>
      </c>
      <c r="DZ184" s="6"/>
      <c r="EA184" s="6"/>
      <c r="EB184" s="6"/>
      <c r="EC184" s="6"/>
      <c r="ED184" s="7">
        <f>ROUND(2215.48,2)</f>
        <v>2215.48</v>
      </c>
      <c r="EE184" s="6"/>
      <c r="EF184" s="7">
        <f>ROUND(903.29,2)</f>
        <v>903.29</v>
      </c>
      <c r="EG184" s="7">
        <f>ROUND(208.42,2)</f>
        <v>208.42</v>
      </c>
      <c r="EH184" s="7">
        <f>ROUND(3927.6,2)</f>
        <v>3927.6</v>
      </c>
      <c r="EI184" s="6"/>
      <c r="EJ184" s="6"/>
      <c r="EK184" s="7">
        <f>ROUND(793.199999999999,2)</f>
        <v>793.2</v>
      </c>
      <c r="EL184" s="6"/>
      <c r="EM184" s="6"/>
      <c r="EN184" s="7">
        <f>ROUND(256.72,2)</f>
        <v>256.72000000000003</v>
      </c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7">
        <f>ROUND(4720.23,2)</f>
        <v>4720.2299999999996</v>
      </c>
      <c r="FC184" s="7">
        <f>ROUND(489.06,2)</f>
        <v>489.06</v>
      </c>
      <c r="FD184" s="6"/>
      <c r="FE184" s="6"/>
      <c r="FF184" s="6"/>
      <c r="FG184" s="6"/>
      <c r="FH184" s="6"/>
      <c r="FI184" s="6"/>
      <c r="FJ184" s="7">
        <f>ROUND(1150,2)</f>
        <v>1150</v>
      </c>
      <c r="FK184" s="6"/>
      <c r="FL184" s="6"/>
      <c r="FM184" s="6"/>
      <c r="FN184" s="6"/>
      <c r="FO184" s="6"/>
      <c r="FP184" s="6"/>
      <c r="FQ184" s="6"/>
      <c r="FR184" s="6"/>
      <c r="FS184" s="6"/>
      <c r="FT184" s="7">
        <f>ROUND(3000,2)</f>
        <v>3000</v>
      </c>
      <c r="FU184" s="6"/>
      <c r="FV184" s="6"/>
      <c r="FW184" s="6"/>
      <c r="FX184" s="6"/>
      <c r="FY184" s="7">
        <f>ROUND(98632.7399999999,2)</f>
        <v>98632.74</v>
      </c>
    </row>
    <row r="185" spans="1:181" x14ac:dyDescent="0.3">
      <c r="A185" s="4" t="s">
        <v>373</v>
      </c>
      <c r="B185" s="5" t="s">
        <v>1029</v>
      </c>
      <c r="C185" s="5" t="s">
        <v>181</v>
      </c>
      <c r="D185" s="5" t="s">
        <v>188</v>
      </c>
      <c r="E185" s="5" t="s">
        <v>374</v>
      </c>
      <c r="F185" s="5" t="s">
        <v>0</v>
      </c>
      <c r="G185" s="5" t="s">
        <v>183</v>
      </c>
      <c r="H185" s="8">
        <v>32.090000000000003</v>
      </c>
      <c r="I185" s="7">
        <f>ROUND(20871.17,2)</f>
        <v>20871.169999999998</v>
      </c>
      <c r="J185" s="6"/>
      <c r="K185" s="6"/>
      <c r="L185" s="6"/>
      <c r="M185" s="6"/>
      <c r="N185" s="7">
        <f>ROUND(246.53,2)</f>
        <v>246.53</v>
      </c>
      <c r="O185" s="6"/>
      <c r="P185" s="6"/>
      <c r="Q185" s="7">
        <f>ROUND(11.9199999999999,2)</f>
        <v>11.92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7">
        <f>ROUND(118.179999999999,2)</f>
        <v>118.18</v>
      </c>
      <c r="AF185" s="6"/>
      <c r="AG185" s="7">
        <f>ROUND(8.4,2)</f>
        <v>8.4</v>
      </c>
      <c r="AH185" s="6"/>
      <c r="AI185" s="6"/>
      <c r="AJ185" s="6"/>
      <c r="AK185" s="6"/>
      <c r="AL185" s="6"/>
      <c r="AM185" s="6"/>
      <c r="AN185" s="6"/>
      <c r="AO185" s="6"/>
      <c r="AP185" s="7">
        <f>ROUND(163.48,2)</f>
        <v>163.47999999999999</v>
      </c>
      <c r="AQ185" s="6"/>
      <c r="AR185" s="6"/>
      <c r="AS185" s="6"/>
      <c r="AT185" s="6"/>
      <c r="AU185" s="7">
        <f>ROUND(32,2)</f>
        <v>32</v>
      </c>
      <c r="AV185" s="6"/>
      <c r="AW185" s="7">
        <f>ROUND(16.18,2)</f>
        <v>16.18</v>
      </c>
      <c r="AX185" s="7">
        <f>ROUND(1.82,2)</f>
        <v>1.82</v>
      </c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7">
        <f>ROUND(40,2)</f>
        <v>40</v>
      </c>
      <c r="BT185" s="7">
        <f>ROUND(8.25,2)</f>
        <v>8.25</v>
      </c>
      <c r="BU185" s="7">
        <f>ROUND(44.33,2)</f>
        <v>44.33</v>
      </c>
      <c r="BV185" s="6"/>
      <c r="BW185" s="6"/>
      <c r="BX185" s="6"/>
      <c r="BY185" s="7">
        <f>ROUND(16,2)</f>
        <v>16</v>
      </c>
      <c r="BZ185" s="7">
        <f>ROUND(32,2)</f>
        <v>32</v>
      </c>
      <c r="CA185" s="7">
        <f>ROUND(24,2)</f>
        <v>24</v>
      </c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7">
        <f>ROUND(40,2)</f>
        <v>40</v>
      </c>
      <c r="CQ185" s="7">
        <f>ROUND(803.089999999999,2)</f>
        <v>803.09</v>
      </c>
      <c r="CR185" s="6"/>
      <c r="CS185" s="6"/>
      <c r="CT185" s="6"/>
      <c r="CU185" s="6"/>
      <c r="CV185" s="7">
        <f>ROUND(7922.66,2)</f>
        <v>7922.66</v>
      </c>
      <c r="CW185" s="6"/>
      <c r="CX185" s="6"/>
      <c r="CY185" s="7">
        <f>ROUND(574.52,2)</f>
        <v>574.52</v>
      </c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7">
        <f>ROUND(3799.25999999999,2)</f>
        <v>3799.26</v>
      </c>
      <c r="DO185" s="6"/>
      <c r="DP185" s="7">
        <f>ROUND(404.33,2)</f>
        <v>404.33</v>
      </c>
      <c r="DQ185" s="6"/>
      <c r="DR185" s="6"/>
      <c r="DS185" s="6"/>
      <c r="DT185" s="6"/>
      <c r="DU185" s="6"/>
      <c r="DV185" s="6"/>
      <c r="DW185" s="6"/>
      <c r="DX185" s="6"/>
      <c r="DY185" s="7">
        <f>ROUND(5253.08999999999,2)</f>
        <v>5253.09</v>
      </c>
      <c r="DZ185" s="6"/>
      <c r="EA185" s="6"/>
      <c r="EB185" s="6"/>
      <c r="EC185" s="6"/>
      <c r="ED185" s="7">
        <f>ROUND(1026.88,2)</f>
        <v>1026.8800000000001</v>
      </c>
      <c r="EE185" s="6"/>
      <c r="EF185" s="7">
        <f>ROUND(519.22,2)</f>
        <v>519.22</v>
      </c>
      <c r="EG185" s="7">
        <f>ROUND(87.61,2)</f>
        <v>87.61</v>
      </c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7">
        <f>ROUND(1283.6,2)</f>
        <v>1283.5999999999999</v>
      </c>
      <c r="FY185" s="7">
        <f>ROUND(20871.17,2)</f>
        <v>20871.169999999998</v>
      </c>
    </row>
    <row r="186" spans="1:181" x14ac:dyDescent="0.3">
      <c r="A186" s="4" t="s">
        <v>375</v>
      </c>
      <c r="B186" s="5" t="s">
        <v>1029</v>
      </c>
      <c r="C186" s="5" t="s">
        <v>181</v>
      </c>
      <c r="D186" s="5" t="s">
        <v>254</v>
      </c>
      <c r="E186" s="5" t="s">
        <v>0</v>
      </c>
      <c r="F186" s="5" t="s">
        <v>0</v>
      </c>
      <c r="G186" s="5" t="s">
        <v>183</v>
      </c>
      <c r="H186" s="9">
        <v>30.04</v>
      </c>
      <c r="I186" s="7">
        <f>ROUND(40863.4599999999,2)</f>
        <v>40863.46</v>
      </c>
      <c r="J186" s="6"/>
      <c r="K186" s="6"/>
      <c r="L186" s="6"/>
      <c r="M186" s="6"/>
      <c r="N186" s="7">
        <f>ROUND(1294.92999999999,2)</f>
        <v>1294.93</v>
      </c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7">
        <f>ROUND(54.95,2)</f>
        <v>54.95</v>
      </c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7">
        <f>ROUND(40,2)</f>
        <v>40</v>
      </c>
      <c r="AV186" s="6"/>
      <c r="AW186" s="7">
        <f>ROUND(5,2)</f>
        <v>5</v>
      </c>
      <c r="AX186" s="6"/>
      <c r="AY186" s="7">
        <f>ROUND(5,2)</f>
        <v>5</v>
      </c>
      <c r="AZ186" s="6"/>
      <c r="BA186" s="6"/>
      <c r="BB186" s="7">
        <f>ROUND(10,2)</f>
        <v>10</v>
      </c>
      <c r="BC186" s="6"/>
      <c r="BD186" s="7">
        <f>ROUND(8,2)</f>
        <v>8</v>
      </c>
      <c r="BE186" s="7">
        <f>ROUND(3.02,2)</f>
        <v>3.02</v>
      </c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7">
        <f>ROUND(15,2)</f>
        <v>15</v>
      </c>
      <c r="BT186" s="6"/>
      <c r="BU186" s="6"/>
      <c r="BV186" s="6"/>
      <c r="BW186" s="6"/>
      <c r="BX186" s="6"/>
      <c r="BY186" s="7">
        <f>ROUND(5,2)</f>
        <v>5</v>
      </c>
      <c r="BZ186" s="6"/>
      <c r="CA186" s="7">
        <f>ROUND(59.03,2)</f>
        <v>59.03</v>
      </c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7">
        <f>ROUND(1499.93,2)</f>
        <v>1499.93</v>
      </c>
      <c r="CR186" s="6"/>
      <c r="CS186" s="6"/>
      <c r="CT186" s="6"/>
      <c r="CU186" s="6"/>
      <c r="CV186" s="7">
        <f>ROUND(35475.46,2)</f>
        <v>35475.46</v>
      </c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7">
        <f>ROUND(1636.51,2)</f>
        <v>1636.51</v>
      </c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7">
        <f>ROUND(1068.5,2)</f>
        <v>1068.5</v>
      </c>
      <c r="EE186" s="6"/>
      <c r="EF186" s="7">
        <f>ROUND(148.75,2)</f>
        <v>148.75</v>
      </c>
      <c r="EG186" s="6"/>
      <c r="EH186" s="7">
        <f>ROUND(136.4,2)</f>
        <v>136.4</v>
      </c>
      <c r="EI186" s="6"/>
      <c r="EJ186" s="6"/>
      <c r="EK186" s="7">
        <f>ROUND(264.75,2)</f>
        <v>264.75</v>
      </c>
      <c r="EL186" s="6"/>
      <c r="EM186" s="6"/>
      <c r="EN186" s="7">
        <f>ROUND(218.24,2)</f>
        <v>218.24</v>
      </c>
      <c r="EO186" s="7">
        <f>ROUND(89.85,2)</f>
        <v>89.85</v>
      </c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7">
        <f>ROUND(325,2)</f>
        <v>325</v>
      </c>
      <c r="FK186" s="6"/>
      <c r="FL186" s="6"/>
      <c r="FM186" s="6"/>
      <c r="FN186" s="6"/>
      <c r="FO186" s="6"/>
      <c r="FP186" s="6"/>
      <c r="FQ186" s="6"/>
      <c r="FR186" s="6"/>
      <c r="FS186" s="6"/>
      <c r="FT186" s="7">
        <f>ROUND(1500,2)</f>
        <v>1500</v>
      </c>
      <c r="FU186" s="6"/>
      <c r="FV186" s="6"/>
      <c r="FW186" s="6"/>
      <c r="FX186" s="6"/>
      <c r="FY186" s="7">
        <f>ROUND(40863.4599999999,2)</f>
        <v>40863.46</v>
      </c>
    </row>
    <row r="187" spans="1:181" x14ac:dyDescent="0.3">
      <c r="A187" s="4" t="s">
        <v>376</v>
      </c>
      <c r="B187" s="5" t="s">
        <v>1029</v>
      </c>
      <c r="C187" s="5" t="s">
        <v>181</v>
      </c>
      <c r="D187" s="5" t="s">
        <v>377</v>
      </c>
      <c r="E187" s="5" t="s">
        <v>378</v>
      </c>
      <c r="F187" s="5" t="s">
        <v>0</v>
      </c>
      <c r="G187" s="5" t="s">
        <v>183</v>
      </c>
      <c r="H187" s="9">
        <v>17.5</v>
      </c>
      <c r="I187" s="7">
        <f>ROUND(7690.29,2)</f>
        <v>7690.29</v>
      </c>
      <c r="J187" s="6"/>
      <c r="K187" s="6"/>
      <c r="L187" s="6"/>
      <c r="M187" s="6"/>
      <c r="N187" s="7">
        <f>ROUND(25.43,2)</f>
        <v>25.43</v>
      </c>
      <c r="O187" s="6"/>
      <c r="P187" s="6"/>
      <c r="Q187" s="7">
        <f>ROUND(10.05,2)</f>
        <v>10.050000000000001</v>
      </c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7">
        <f>ROUND(384.17,2)</f>
        <v>384.17</v>
      </c>
      <c r="BE187" s="6"/>
      <c r="BF187" s="7">
        <f>ROUND(5.47,2)</f>
        <v>5.47</v>
      </c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7">
        <f>ROUND(8.33,2)</f>
        <v>8.33</v>
      </c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7">
        <f>ROUND(433.45,2)</f>
        <v>433.45</v>
      </c>
      <c r="CR187" s="6"/>
      <c r="CS187" s="6"/>
      <c r="CT187" s="6"/>
      <c r="CU187" s="6"/>
      <c r="CV187" s="7">
        <f>ROUND(445.03,2)</f>
        <v>445.03</v>
      </c>
      <c r="CW187" s="6"/>
      <c r="CX187" s="6"/>
      <c r="CY187" s="7">
        <f>ROUND(263.81,2)</f>
        <v>263.81</v>
      </c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7">
        <f>ROUND(6837.86,2)</f>
        <v>6837.86</v>
      </c>
      <c r="EO187" s="6"/>
      <c r="EP187" s="7">
        <f>ROUND(143.59,2)</f>
        <v>143.59</v>
      </c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7">
        <f>ROUND(7690.29,2)</f>
        <v>7690.29</v>
      </c>
    </row>
    <row r="188" spans="1:181" x14ac:dyDescent="0.3">
      <c r="A188" s="4" t="s">
        <v>379</v>
      </c>
      <c r="B188" s="5" t="s">
        <v>1029</v>
      </c>
      <c r="C188" s="5" t="s">
        <v>181</v>
      </c>
      <c r="D188" s="5" t="s">
        <v>344</v>
      </c>
      <c r="E188" s="5" t="s">
        <v>0</v>
      </c>
      <c r="F188" s="5" t="s">
        <v>0</v>
      </c>
      <c r="G188" s="5" t="s">
        <v>183</v>
      </c>
      <c r="H188" s="8">
        <v>33.380000000000003</v>
      </c>
      <c r="I188" s="7">
        <f>ROUND(88832.05,2)</f>
        <v>88832.05</v>
      </c>
      <c r="J188" s="6"/>
      <c r="K188" s="6"/>
      <c r="L188" s="6"/>
      <c r="M188" s="6"/>
      <c r="N188" s="7">
        <f>ROUND(1736.65,2)</f>
        <v>1736.65</v>
      </c>
      <c r="O188" s="6"/>
      <c r="P188" s="6"/>
      <c r="Q188" s="7">
        <f>ROUND(276.239999999999,2)</f>
        <v>276.24</v>
      </c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7">
        <f>ROUND(42,2)</f>
        <v>42</v>
      </c>
      <c r="AF188" s="6"/>
      <c r="AG188" s="7">
        <f>ROUND(22.64,2)</f>
        <v>22.64</v>
      </c>
      <c r="AH188" s="6"/>
      <c r="AI188" s="6"/>
      <c r="AJ188" s="6"/>
      <c r="AK188" s="6"/>
      <c r="AL188" s="6"/>
      <c r="AM188" s="6"/>
      <c r="AN188" s="6"/>
      <c r="AO188" s="6"/>
      <c r="AP188" s="7">
        <f>ROUND(57.68,2)</f>
        <v>57.68</v>
      </c>
      <c r="AQ188" s="6"/>
      <c r="AR188" s="7">
        <f>ROUND(8.34,2)</f>
        <v>8.34</v>
      </c>
      <c r="AS188" s="6"/>
      <c r="AT188" s="6"/>
      <c r="AU188" s="7">
        <f>ROUND(68,2)</f>
        <v>68</v>
      </c>
      <c r="AV188" s="6"/>
      <c r="AW188" s="7">
        <f>ROUND(24,2)</f>
        <v>24</v>
      </c>
      <c r="AX188" s="6"/>
      <c r="AY188" s="7">
        <f>ROUND(39.07,2)</f>
        <v>39.07</v>
      </c>
      <c r="AZ188" s="7">
        <f>ROUND(0.93,2)</f>
        <v>0.93</v>
      </c>
      <c r="BA188" s="6"/>
      <c r="BB188" s="6"/>
      <c r="BC188" s="6"/>
      <c r="BD188" s="7">
        <f>ROUND(8,2)</f>
        <v>8</v>
      </c>
      <c r="BE188" s="7">
        <f>ROUND(2,2)</f>
        <v>2</v>
      </c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7">
        <f>ROUND(154.59,2)</f>
        <v>154.59</v>
      </c>
      <c r="BR188" s="7">
        <f>ROUND(8.24,2)</f>
        <v>8.24</v>
      </c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7">
        <f>ROUND(2448.38,2)</f>
        <v>2448.38</v>
      </c>
      <c r="CR188" s="6"/>
      <c r="CS188" s="6"/>
      <c r="CT188" s="6"/>
      <c r="CU188" s="6"/>
      <c r="CV188" s="7">
        <f>ROUND(56044.5999999999,2)</f>
        <v>56044.6</v>
      </c>
      <c r="CW188" s="6"/>
      <c r="CX188" s="6"/>
      <c r="CY188" s="7">
        <f>ROUND(13310.6099999999,2)</f>
        <v>13310.61</v>
      </c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7">
        <f>ROUND(1280.58,2)</f>
        <v>1280.58</v>
      </c>
      <c r="DO188" s="6"/>
      <c r="DP188" s="7">
        <f>ROUND(1035.44,2)</f>
        <v>1035.44</v>
      </c>
      <c r="DQ188" s="6"/>
      <c r="DR188" s="6"/>
      <c r="DS188" s="6"/>
      <c r="DT188" s="6"/>
      <c r="DU188" s="6"/>
      <c r="DV188" s="6"/>
      <c r="DW188" s="6"/>
      <c r="DX188" s="6"/>
      <c r="DY188" s="7">
        <f>ROUND(1762.49,2)</f>
        <v>1762.49</v>
      </c>
      <c r="DZ188" s="6"/>
      <c r="EA188" s="7">
        <f>ROUND(382.699999999999,2)</f>
        <v>382.7</v>
      </c>
      <c r="EB188" s="6"/>
      <c r="EC188" s="6"/>
      <c r="ED188" s="7">
        <f>ROUND(2189.88,2)</f>
        <v>2189.88</v>
      </c>
      <c r="EE188" s="6"/>
      <c r="EF188" s="7">
        <f>ROUND(785.52,2)</f>
        <v>785.52</v>
      </c>
      <c r="EG188" s="6"/>
      <c r="EH188" s="7">
        <f>ROUND(1304.15999999999,2)</f>
        <v>1304.1600000000001</v>
      </c>
      <c r="EI188" s="7">
        <f>ROUND(46.57,2)</f>
        <v>46.57</v>
      </c>
      <c r="EJ188" s="6"/>
      <c r="EK188" s="6"/>
      <c r="EL188" s="6"/>
      <c r="EM188" s="6"/>
      <c r="EN188" s="7">
        <f>ROUND(256.72,2)</f>
        <v>256.72000000000003</v>
      </c>
      <c r="EO188" s="7">
        <f>ROUND(64.18,2)</f>
        <v>64.180000000000007</v>
      </c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7">
        <f>ROUND(4991.73999999999,2)</f>
        <v>4991.74</v>
      </c>
      <c r="FE188" s="7">
        <f>ROUND(376.86,2)</f>
        <v>376.86</v>
      </c>
      <c r="FF188" s="6"/>
      <c r="FG188" s="6"/>
      <c r="FH188" s="6"/>
      <c r="FI188" s="6"/>
      <c r="FJ188" s="7">
        <f>ROUND(2000,2)</f>
        <v>2000</v>
      </c>
      <c r="FK188" s="6"/>
      <c r="FL188" s="6"/>
      <c r="FM188" s="6"/>
      <c r="FN188" s="6"/>
      <c r="FO188" s="6"/>
      <c r="FP188" s="6"/>
      <c r="FQ188" s="6"/>
      <c r="FR188" s="6"/>
      <c r="FS188" s="6"/>
      <c r="FT188" s="7">
        <f t="shared" ref="FT188:FT196" si="10">ROUND(3000,2)</f>
        <v>3000</v>
      </c>
      <c r="FU188" s="6"/>
      <c r="FV188" s="6"/>
      <c r="FW188" s="6"/>
      <c r="FX188" s="6"/>
      <c r="FY188" s="7">
        <f>ROUND(88832.05,2)</f>
        <v>88832.05</v>
      </c>
    </row>
    <row r="189" spans="1:181" x14ac:dyDescent="0.3">
      <c r="A189" s="4" t="s">
        <v>385</v>
      </c>
      <c r="B189" s="5" t="s">
        <v>1029</v>
      </c>
      <c r="C189" s="5" t="s">
        <v>181</v>
      </c>
      <c r="D189" s="5" t="s">
        <v>234</v>
      </c>
      <c r="E189" s="5" t="s">
        <v>0</v>
      </c>
      <c r="F189" s="5" t="s">
        <v>0</v>
      </c>
      <c r="G189" s="5" t="s">
        <v>183</v>
      </c>
      <c r="H189" s="8">
        <v>33.380000000000003</v>
      </c>
      <c r="I189" s="7">
        <f>ROUND(77767.5699999999,2)</f>
        <v>77767.570000000007</v>
      </c>
      <c r="J189" s="6"/>
      <c r="K189" s="6"/>
      <c r="L189" s="6"/>
      <c r="M189" s="6"/>
      <c r="N189" s="7">
        <f>ROUND(1381.38999999999,2)</f>
        <v>1381.39</v>
      </c>
      <c r="O189" s="6"/>
      <c r="P189" s="6"/>
      <c r="Q189" s="7">
        <f>ROUND(126.13,2)</f>
        <v>126.13</v>
      </c>
      <c r="R189" s="6"/>
      <c r="S189" s="6"/>
      <c r="T189" s="6"/>
      <c r="U189" s="6"/>
      <c r="V189" s="7">
        <f>ROUND(10.32,2)</f>
        <v>10.32</v>
      </c>
      <c r="W189" s="7">
        <f>ROUND(7.65,2)</f>
        <v>7.65</v>
      </c>
      <c r="X189" s="7">
        <f>ROUND(0.61,2)</f>
        <v>0.61</v>
      </c>
      <c r="Y189" s="7">
        <f>ROUND(0.35,2)</f>
        <v>0.35</v>
      </c>
      <c r="Z189" s="6"/>
      <c r="AA189" s="6"/>
      <c r="AB189" s="6"/>
      <c r="AC189" s="6"/>
      <c r="AD189" s="6"/>
      <c r="AE189" s="7">
        <f>ROUND(88.34,2)</f>
        <v>88.34</v>
      </c>
      <c r="AF189" s="6"/>
      <c r="AG189" s="7">
        <f>ROUND(19.83,2)</f>
        <v>19.829999999999998</v>
      </c>
      <c r="AH189" s="6"/>
      <c r="AI189" s="6"/>
      <c r="AJ189" s="6"/>
      <c r="AK189" s="6"/>
      <c r="AL189" s="6"/>
      <c r="AM189" s="6"/>
      <c r="AN189" s="6"/>
      <c r="AO189" s="6"/>
      <c r="AP189" s="7">
        <f>ROUND(108.97,2)</f>
        <v>108.97</v>
      </c>
      <c r="AQ189" s="6"/>
      <c r="AR189" s="7">
        <f>ROUND(4.5,2)</f>
        <v>4.5</v>
      </c>
      <c r="AS189" s="6"/>
      <c r="AT189" s="6"/>
      <c r="AU189" s="7">
        <f>ROUND(56,2)</f>
        <v>56</v>
      </c>
      <c r="AV189" s="6"/>
      <c r="AW189" s="7">
        <f>ROUND(36.5,2)</f>
        <v>36.5</v>
      </c>
      <c r="AX189" s="7">
        <f>ROUND(1.5,2)</f>
        <v>1.5</v>
      </c>
      <c r="AY189" s="7">
        <f>ROUND(39.22,2)</f>
        <v>39.22</v>
      </c>
      <c r="AZ189" s="7">
        <f>ROUND(0.78,2)</f>
        <v>0.78</v>
      </c>
      <c r="BA189" s="6"/>
      <c r="BB189" s="6"/>
      <c r="BC189" s="6"/>
      <c r="BD189" s="7">
        <f>ROUND(8,2)</f>
        <v>8</v>
      </c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7">
        <f>ROUND(202,2)</f>
        <v>202</v>
      </c>
      <c r="BR189" s="6"/>
      <c r="BS189" s="7">
        <f>ROUND(16,2)</f>
        <v>16</v>
      </c>
      <c r="BT189" s="6"/>
      <c r="BU189" s="7">
        <f>ROUND(144,2)</f>
        <v>144</v>
      </c>
      <c r="BV189" s="6"/>
      <c r="BW189" s="7">
        <f>ROUND(8,2)</f>
        <v>8</v>
      </c>
      <c r="BX189" s="6"/>
      <c r="BY189" s="7">
        <f>ROUND(24,2)</f>
        <v>24</v>
      </c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7">
        <f>ROUND(2284.09,2)</f>
        <v>2284.09</v>
      </c>
      <c r="CR189" s="6"/>
      <c r="CS189" s="6"/>
      <c r="CT189" s="6"/>
      <c r="CU189" s="6"/>
      <c r="CV189" s="7">
        <f>ROUND(45097.0999999999,2)</f>
        <v>45097.1</v>
      </c>
      <c r="CW189" s="6"/>
      <c r="CX189" s="6"/>
      <c r="CY189" s="7">
        <f>ROUND(6155.44999999999,2)</f>
        <v>6155.45</v>
      </c>
      <c r="CZ189" s="6"/>
      <c r="DA189" s="6"/>
      <c r="DB189" s="6"/>
      <c r="DC189" s="6"/>
      <c r="DD189" s="7">
        <f>ROUND(333.05,2)</f>
        <v>333.05</v>
      </c>
      <c r="DE189" s="7">
        <f>ROUND(380.97,2)</f>
        <v>380.97</v>
      </c>
      <c r="DF189" s="7">
        <f>ROUND(19.57,2)</f>
        <v>19.57</v>
      </c>
      <c r="DG189" s="7">
        <f>ROUND(17.35,2)</f>
        <v>17.350000000000001</v>
      </c>
      <c r="DH189" s="6"/>
      <c r="DI189" s="6"/>
      <c r="DJ189" s="6"/>
      <c r="DK189" s="6"/>
      <c r="DL189" s="6"/>
      <c r="DM189" s="6"/>
      <c r="DN189" s="7">
        <f>ROUND(2875.15,2)</f>
        <v>2875.15</v>
      </c>
      <c r="DO189" s="6"/>
      <c r="DP189" s="7">
        <f>ROUND(959.39,2)</f>
        <v>959.39</v>
      </c>
      <c r="DQ189" s="6"/>
      <c r="DR189" s="6"/>
      <c r="DS189" s="6"/>
      <c r="DT189" s="6"/>
      <c r="DU189" s="6"/>
      <c r="DV189" s="6"/>
      <c r="DW189" s="6"/>
      <c r="DX189" s="6"/>
      <c r="DY189" s="7">
        <f>ROUND(3601.46,2)</f>
        <v>3601.46</v>
      </c>
      <c r="DZ189" s="6"/>
      <c r="EA189" s="7">
        <f>ROUND(223.09,2)</f>
        <v>223.09</v>
      </c>
      <c r="EB189" s="6"/>
      <c r="EC189" s="6"/>
      <c r="ED189" s="7">
        <f>ROUND(1830.4,2)</f>
        <v>1830.4</v>
      </c>
      <c r="EE189" s="6"/>
      <c r="EF189" s="7">
        <f>ROUND(1206.33,2)</f>
        <v>1206.33</v>
      </c>
      <c r="EG189" s="7">
        <f>ROUND(74.36,2)</f>
        <v>74.36</v>
      </c>
      <c r="EH189" s="7">
        <f>ROUND(1258.57,2)</f>
        <v>1258.57</v>
      </c>
      <c r="EI189" s="7">
        <f>ROUND(37.55,2)</f>
        <v>37.549999999999997</v>
      </c>
      <c r="EJ189" s="6"/>
      <c r="EK189" s="6"/>
      <c r="EL189" s="6"/>
      <c r="EM189" s="6"/>
      <c r="EN189" s="7">
        <f>ROUND(256.72,2)</f>
        <v>256.72000000000003</v>
      </c>
      <c r="EO189" s="6"/>
      <c r="EP189" s="6"/>
      <c r="EQ189" s="6"/>
      <c r="ER189" s="7">
        <f>ROUND(159,2)</f>
        <v>159</v>
      </c>
      <c r="ES189" s="6"/>
      <c r="ET189" s="6"/>
      <c r="EU189" s="6"/>
      <c r="EV189" s="7">
        <f>ROUND(500,2)</f>
        <v>500</v>
      </c>
      <c r="EW189" s="6"/>
      <c r="EX189" s="6"/>
      <c r="EY189" s="6"/>
      <c r="EZ189" s="6"/>
      <c r="FA189" s="6"/>
      <c r="FB189" s="6"/>
      <c r="FC189" s="6"/>
      <c r="FD189" s="7">
        <f>ROUND(6489.86,2)</f>
        <v>6489.86</v>
      </c>
      <c r="FE189" s="6"/>
      <c r="FF189" s="7">
        <f>ROUND(2567.2,2)</f>
        <v>2567.1999999999998</v>
      </c>
      <c r="FG189" s="6"/>
      <c r="FH189" s="6"/>
      <c r="FI189" s="6"/>
      <c r="FJ189" s="7">
        <f>ROUND(725,2)</f>
        <v>725</v>
      </c>
      <c r="FK189" s="6"/>
      <c r="FL189" s="6"/>
      <c r="FM189" s="6"/>
      <c r="FN189" s="6"/>
      <c r="FO189" s="6"/>
      <c r="FP189" s="6"/>
      <c r="FQ189" s="6"/>
      <c r="FR189" s="6"/>
      <c r="FS189" s="6"/>
      <c r="FT189" s="7">
        <f t="shared" si="10"/>
        <v>3000</v>
      </c>
      <c r="FU189" s="6"/>
      <c r="FV189" s="6"/>
      <c r="FW189" s="6"/>
      <c r="FX189" s="6"/>
      <c r="FY189" s="7">
        <f>ROUND(77767.5699999999,2)</f>
        <v>77767.570000000007</v>
      </c>
    </row>
    <row r="190" spans="1:181" x14ac:dyDescent="0.3">
      <c r="A190" s="4" t="s">
        <v>386</v>
      </c>
      <c r="B190" s="5" t="s">
        <v>1029</v>
      </c>
      <c r="C190" s="5" t="s">
        <v>181</v>
      </c>
      <c r="D190" s="5" t="s">
        <v>387</v>
      </c>
      <c r="E190" s="5" t="s">
        <v>0</v>
      </c>
      <c r="F190" s="5" t="s">
        <v>0</v>
      </c>
      <c r="G190" s="5" t="s">
        <v>183</v>
      </c>
      <c r="H190" s="8">
        <v>33.380000000000003</v>
      </c>
      <c r="I190" s="7">
        <f>ROUND(83781.3199999999,2)</f>
        <v>83781.320000000007</v>
      </c>
      <c r="J190" s="6"/>
      <c r="K190" s="6"/>
      <c r="L190" s="6"/>
      <c r="M190" s="6"/>
      <c r="N190" s="7">
        <f>ROUND(1857.56999999999,2)</f>
        <v>1857.57</v>
      </c>
      <c r="O190" s="6"/>
      <c r="P190" s="6"/>
      <c r="Q190" s="7">
        <f>ROUND(208.229999999999,2)</f>
        <v>208.23</v>
      </c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7">
        <f>ROUND(64.75,2)</f>
        <v>64.75</v>
      </c>
      <c r="AV190" s="7">
        <f>ROUND(3.25,2)</f>
        <v>3.25</v>
      </c>
      <c r="AW190" s="7">
        <f>ROUND(32,2)</f>
        <v>32</v>
      </c>
      <c r="AX190" s="6"/>
      <c r="AY190" s="7">
        <f>ROUND(108.75,2)</f>
        <v>108.75</v>
      </c>
      <c r="AZ190" s="7">
        <f>ROUND(3.25,2)</f>
        <v>3.25</v>
      </c>
      <c r="BA190" s="6"/>
      <c r="BB190" s="7">
        <f>ROUND(40,2)</f>
        <v>40</v>
      </c>
      <c r="BC190" s="6"/>
      <c r="BD190" s="7">
        <f>ROUND(4.75,2)</f>
        <v>4.75</v>
      </c>
      <c r="BE190" s="6"/>
      <c r="BF190" s="7">
        <f>ROUND(3.25,2)</f>
        <v>3.25</v>
      </c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7">
        <f>ROUND(24,2)</f>
        <v>24</v>
      </c>
      <c r="BT190" s="7">
        <f>ROUND(1.12,2)</f>
        <v>1.1200000000000001</v>
      </c>
      <c r="BU190" s="7">
        <f>ROUND(16,2)</f>
        <v>16</v>
      </c>
      <c r="BV190" s="6"/>
      <c r="BW190" s="6"/>
      <c r="BX190" s="6"/>
      <c r="BY190" s="6"/>
      <c r="BZ190" s="6"/>
      <c r="CA190" s="7">
        <f>ROUND(8,2)</f>
        <v>8</v>
      </c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7">
        <f>ROUND(8,2)</f>
        <v>8</v>
      </c>
      <c r="CQ190" s="7">
        <f>ROUND(2382.92,2)</f>
        <v>2382.92</v>
      </c>
      <c r="CR190" s="6"/>
      <c r="CS190" s="6"/>
      <c r="CT190" s="6"/>
      <c r="CU190" s="6"/>
      <c r="CV190" s="7">
        <f>ROUND(60504.9899999999,2)</f>
        <v>60504.99</v>
      </c>
      <c r="CW190" s="6"/>
      <c r="CX190" s="6"/>
      <c r="CY190" s="7">
        <f>ROUND(10169.58,2)</f>
        <v>10169.58</v>
      </c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7">
        <f>ROUND(2112.07,2)</f>
        <v>2112.0700000000002</v>
      </c>
      <c r="EE190" s="7">
        <f>ROUND(161.14,2)</f>
        <v>161.13999999999999</v>
      </c>
      <c r="EF190" s="7">
        <f>ROUND(1042.24,2)</f>
        <v>1042.24</v>
      </c>
      <c r="EG190" s="6"/>
      <c r="EH190" s="7">
        <f>ROUND(3581.95,2)</f>
        <v>3581.95</v>
      </c>
      <c r="EI190" s="7">
        <f>ROUND(156.44,2)</f>
        <v>156.44</v>
      </c>
      <c r="EJ190" s="6"/>
      <c r="EK190" s="7">
        <f>ROUND(1291.28,2)</f>
        <v>1291.28</v>
      </c>
      <c r="EL190" s="6"/>
      <c r="EM190" s="6"/>
      <c r="EN190" s="7">
        <f>ROUND(152.43,2)</f>
        <v>152.43</v>
      </c>
      <c r="EO190" s="6"/>
      <c r="EP190" s="7">
        <f>ROUND(156.44,2)</f>
        <v>156.44</v>
      </c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7">
        <f>ROUND(256.72,2)</f>
        <v>256.72000000000003</v>
      </c>
      <c r="FG190" s="6"/>
      <c r="FH190" s="6"/>
      <c r="FI190" s="6"/>
      <c r="FJ190" s="7">
        <f>ROUND(925,2)</f>
        <v>925</v>
      </c>
      <c r="FK190" s="6"/>
      <c r="FL190" s="6"/>
      <c r="FM190" s="6"/>
      <c r="FN190" s="6"/>
      <c r="FO190" s="6"/>
      <c r="FP190" s="6"/>
      <c r="FQ190" s="6"/>
      <c r="FR190" s="6"/>
      <c r="FS190" s="6"/>
      <c r="FT190" s="7">
        <f t="shared" si="10"/>
        <v>3000</v>
      </c>
      <c r="FU190" s="6"/>
      <c r="FV190" s="6"/>
      <c r="FW190" s="6"/>
      <c r="FX190" s="7">
        <f>ROUND(271.04,2)</f>
        <v>271.04000000000002</v>
      </c>
      <c r="FY190" s="7">
        <f>ROUND(83781.3199999999,2)</f>
        <v>83781.320000000007</v>
      </c>
    </row>
    <row r="191" spans="1:181" x14ac:dyDescent="0.3">
      <c r="A191" s="4" t="s">
        <v>388</v>
      </c>
      <c r="B191" s="5" t="s">
        <v>1029</v>
      </c>
      <c r="C191" s="5" t="s">
        <v>181</v>
      </c>
      <c r="D191" s="5" t="s">
        <v>344</v>
      </c>
      <c r="E191" s="5" t="s">
        <v>0</v>
      </c>
      <c r="F191" s="5" t="s">
        <v>0</v>
      </c>
      <c r="G191" s="5" t="s">
        <v>183</v>
      </c>
      <c r="H191" s="8">
        <v>33.380000000000003</v>
      </c>
      <c r="I191" s="7">
        <f>ROUND(90265.3199999999,2)</f>
        <v>90265.32</v>
      </c>
      <c r="J191" s="6"/>
      <c r="K191" s="6"/>
      <c r="L191" s="6"/>
      <c r="M191" s="6"/>
      <c r="N191" s="7">
        <f>ROUND(1519.66999999999,2)</f>
        <v>1519.67</v>
      </c>
      <c r="O191" s="6"/>
      <c r="P191" s="6"/>
      <c r="Q191" s="7">
        <f>ROUND(236.06,2)</f>
        <v>236.06</v>
      </c>
      <c r="R191" s="6"/>
      <c r="S191" s="6"/>
      <c r="T191" s="6"/>
      <c r="U191" s="6"/>
      <c r="V191" s="7">
        <f>ROUND(4.47,2)</f>
        <v>4.47</v>
      </c>
      <c r="W191" s="7">
        <f>ROUND(0.7,2)</f>
        <v>0.7</v>
      </c>
      <c r="X191" s="7">
        <f>ROUND(1.09,2)</f>
        <v>1.0900000000000001</v>
      </c>
      <c r="Y191" s="7">
        <f>ROUND(0.2,2)</f>
        <v>0.2</v>
      </c>
      <c r="Z191" s="6"/>
      <c r="AA191" s="6"/>
      <c r="AB191" s="6"/>
      <c r="AC191" s="6"/>
      <c r="AD191" s="6"/>
      <c r="AE191" s="7">
        <f>ROUND(411.74,2)</f>
        <v>411.74</v>
      </c>
      <c r="AF191" s="6"/>
      <c r="AG191" s="7">
        <f>ROUND(113.139999999999,2)</f>
        <v>113.14</v>
      </c>
      <c r="AH191" s="6"/>
      <c r="AI191" s="6"/>
      <c r="AJ191" s="6"/>
      <c r="AK191" s="6"/>
      <c r="AL191" s="6"/>
      <c r="AM191" s="6"/>
      <c r="AN191" s="6"/>
      <c r="AO191" s="6"/>
      <c r="AP191" s="7">
        <f>ROUND(32.53,2)</f>
        <v>32.53</v>
      </c>
      <c r="AQ191" s="6"/>
      <c r="AR191" s="7">
        <f>ROUND(1.43,2)</f>
        <v>1.43</v>
      </c>
      <c r="AS191" s="6"/>
      <c r="AT191" s="6"/>
      <c r="AU191" s="7">
        <f>ROUND(68,2)</f>
        <v>68</v>
      </c>
      <c r="AV191" s="6"/>
      <c r="AW191" s="7">
        <f>ROUND(32.53,2)</f>
        <v>32.53</v>
      </c>
      <c r="AX191" s="7">
        <f>ROUND(7.47,2)</f>
        <v>7.47</v>
      </c>
      <c r="AY191" s="7">
        <f>ROUND(2.45,2)</f>
        <v>2.4500000000000002</v>
      </c>
      <c r="AZ191" s="7">
        <f>ROUND(5.55,2)</f>
        <v>5.55</v>
      </c>
      <c r="BA191" s="6"/>
      <c r="BB191" s="7">
        <f>ROUND(16,2)</f>
        <v>16</v>
      </c>
      <c r="BC191" s="6"/>
      <c r="BD191" s="7">
        <f t="shared" ref="BD191:BD196" si="11">ROUND(8,2)</f>
        <v>8</v>
      </c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7">
        <f>ROUND(1.04,2)</f>
        <v>1.04</v>
      </c>
      <c r="BU191" s="7">
        <f>ROUND(48,2)</f>
        <v>48</v>
      </c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7">
        <f>ROUND(16,2)</f>
        <v>16</v>
      </c>
      <c r="CQ191" s="7">
        <f>ROUND(2526.07,2)</f>
        <v>2526.0700000000002</v>
      </c>
      <c r="CR191" s="6"/>
      <c r="CS191" s="6"/>
      <c r="CT191" s="6"/>
      <c r="CU191" s="6"/>
      <c r="CV191" s="7">
        <f>ROUND(49176.0299999999,2)</f>
        <v>49176.03</v>
      </c>
      <c r="CW191" s="6"/>
      <c r="CX191" s="6"/>
      <c r="CY191" s="7">
        <f>ROUND(11532.86,2)</f>
        <v>11532.86</v>
      </c>
      <c r="CZ191" s="6"/>
      <c r="DA191" s="6"/>
      <c r="DB191" s="6"/>
      <c r="DC191" s="6"/>
      <c r="DD191" s="7">
        <f>ROUND(148.4,2)</f>
        <v>148.4</v>
      </c>
      <c r="DE191" s="7">
        <f>ROUND(34.86,2)</f>
        <v>34.86</v>
      </c>
      <c r="DF191" s="7">
        <f>ROUND(35.46,2)</f>
        <v>35.46</v>
      </c>
      <c r="DG191" s="7">
        <f>ROUND(9.92,2)</f>
        <v>9.92</v>
      </c>
      <c r="DH191" s="6"/>
      <c r="DI191" s="6"/>
      <c r="DJ191" s="6"/>
      <c r="DK191" s="6"/>
      <c r="DL191" s="6"/>
      <c r="DM191" s="6"/>
      <c r="DN191" s="7">
        <f>ROUND(12934.1099999999,2)</f>
        <v>12934.11</v>
      </c>
      <c r="DO191" s="6"/>
      <c r="DP191" s="7">
        <f>ROUND(5344.05,2)</f>
        <v>5344.05</v>
      </c>
      <c r="DQ191" s="6"/>
      <c r="DR191" s="6"/>
      <c r="DS191" s="6"/>
      <c r="DT191" s="6"/>
      <c r="DU191" s="6"/>
      <c r="DV191" s="6"/>
      <c r="DW191" s="6"/>
      <c r="DX191" s="6"/>
      <c r="DY191" s="7">
        <f>ROUND(1044.85,2)</f>
        <v>1044.8499999999999</v>
      </c>
      <c r="DZ191" s="6"/>
      <c r="EA191" s="7">
        <f>ROUND(68.83,2)</f>
        <v>68.83</v>
      </c>
      <c r="EB191" s="6"/>
      <c r="EC191" s="6"/>
      <c r="ED191" s="7">
        <f>ROUND(2189.88,2)</f>
        <v>2189.88</v>
      </c>
      <c r="EE191" s="6"/>
      <c r="EF191" s="7">
        <f>ROUND(1057.69999999999,2)</f>
        <v>1057.7</v>
      </c>
      <c r="EG191" s="7">
        <f>ROUND(369.69,2)</f>
        <v>369.69</v>
      </c>
      <c r="EH191" s="7">
        <f>ROUND(80.97,2)</f>
        <v>80.97</v>
      </c>
      <c r="EI191" s="7">
        <f>ROUND(275.14,2)</f>
        <v>275.14</v>
      </c>
      <c r="EJ191" s="6"/>
      <c r="EK191" s="7">
        <f>ROUND(513.44,2)</f>
        <v>513.44000000000005</v>
      </c>
      <c r="EL191" s="6"/>
      <c r="EM191" s="6"/>
      <c r="EN191" s="7">
        <f>ROUND(256.72,2)</f>
        <v>256.72000000000003</v>
      </c>
      <c r="EO191" s="6"/>
      <c r="EP191" s="6"/>
      <c r="EQ191" s="6"/>
      <c r="ER191" s="6"/>
      <c r="ES191" s="6"/>
      <c r="ET191" s="6"/>
      <c r="EU191" s="6"/>
      <c r="EV191" s="7">
        <f>ROUND(458.33,2)</f>
        <v>458.33</v>
      </c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7">
        <f>ROUND(1200,2)</f>
        <v>1200</v>
      </c>
      <c r="FK191" s="6"/>
      <c r="FL191" s="6"/>
      <c r="FM191" s="6"/>
      <c r="FN191" s="6"/>
      <c r="FO191" s="6"/>
      <c r="FP191" s="6"/>
      <c r="FQ191" s="6"/>
      <c r="FR191" s="6"/>
      <c r="FS191" s="6"/>
      <c r="FT191" s="7">
        <f t="shared" si="10"/>
        <v>3000</v>
      </c>
      <c r="FU191" s="6"/>
      <c r="FV191" s="6"/>
      <c r="FW191" s="6"/>
      <c r="FX191" s="7">
        <f>ROUND(534.08,2)</f>
        <v>534.08000000000004</v>
      </c>
      <c r="FY191" s="7">
        <f>ROUND(90265.3199999999,2)</f>
        <v>90265.32</v>
      </c>
    </row>
    <row r="192" spans="1:181" x14ac:dyDescent="0.3">
      <c r="A192" s="4" t="s">
        <v>389</v>
      </c>
      <c r="B192" s="5" t="s">
        <v>1029</v>
      </c>
      <c r="C192" s="5" t="s">
        <v>181</v>
      </c>
      <c r="D192" s="5" t="s">
        <v>390</v>
      </c>
      <c r="E192" s="5" t="s">
        <v>0</v>
      </c>
      <c r="F192" s="5" t="s">
        <v>0</v>
      </c>
      <c r="G192" s="5" t="s">
        <v>183</v>
      </c>
      <c r="H192" s="9">
        <v>33.380000000000003</v>
      </c>
      <c r="I192" s="7">
        <f>ROUND(77999.95,2)</f>
        <v>77999.95</v>
      </c>
      <c r="J192" s="6"/>
      <c r="K192" s="6"/>
      <c r="L192" s="6"/>
      <c r="M192" s="6"/>
      <c r="N192" s="7">
        <f>ROUND(1819.37,2)</f>
        <v>1819.37</v>
      </c>
      <c r="O192" s="6"/>
      <c r="P192" s="6"/>
      <c r="Q192" s="7">
        <f>ROUND(200.35,2)</f>
        <v>200.35</v>
      </c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7">
        <f>ROUND(25.1899999999999,2)</f>
        <v>25.19</v>
      </c>
      <c r="AF192" s="6"/>
      <c r="AG192" s="7">
        <f>ROUND(21.18,2)</f>
        <v>21.18</v>
      </c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7">
        <f>ROUND(56,2)</f>
        <v>56</v>
      </c>
      <c r="AV192" s="6"/>
      <c r="AW192" s="7">
        <f>ROUND(45.1299999999999,2)</f>
        <v>45.13</v>
      </c>
      <c r="AX192" s="7">
        <f>ROUND(2.87,2)</f>
        <v>2.87</v>
      </c>
      <c r="AY192" s="7">
        <f>ROUND(24,2)</f>
        <v>24</v>
      </c>
      <c r="AZ192" s="6"/>
      <c r="BA192" s="6"/>
      <c r="BB192" s="7">
        <f>ROUND(16,2)</f>
        <v>16</v>
      </c>
      <c r="BC192" s="6"/>
      <c r="BD192" s="7">
        <f t="shared" si="11"/>
        <v>8</v>
      </c>
      <c r="BE192" s="7">
        <f>ROUND(1.95,2)</f>
        <v>1.95</v>
      </c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7">
        <f>ROUND(32,2)</f>
        <v>32</v>
      </c>
      <c r="BT192" s="6"/>
      <c r="BU192" s="6"/>
      <c r="BV192" s="6"/>
      <c r="BW192" s="7">
        <f>ROUND(8,2)</f>
        <v>8</v>
      </c>
      <c r="BX192" s="6"/>
      <c r="BY192" s="7">
        <f>ROUND(24,2)</f>
        <v>24</v>
      </c>
      <c r="BZ192" s="6"/>
      <c r="CA192" s="7">
        <f>ROUND(8,2)</f>
        <v>8</v>
      </c>
      <c r="CB192" s="6"/>
      <c r="CC192" s="7">
        <f>ROUND(80,2)</f>
        <v>80</v>
      </c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7">
        <f>ROUND(2372.03999999999,2)</f>
        <v>2372.04</v>
      </c>
      <c r="CR192" s="6"/>
      <c r="CS192" s="6"/>
      <c r="CT192" s="6"/>
      <c r="CU192" s="6"/>
      <c r="CV192" s="7">
        <f>ROUND(57900.3899999999,2)</f>
        <v>57900.39</v>
      </c>
      <c r="CW192" s="6"/>
      <c r="CX192" s="6"/>
      <c r="CY192" s="7">
        <f>ROUND(9514.09,2)</f>
        <v>9514.09</v>
      </c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7">
        <f>ROUND(759.86,2)</f>
        <v>759.86</v>
      </c>
      <c r="DO192" s="6"/>
      <c r="DP192" s="7">
        <f>ROUND(1039.28,2)</f>
        <v>1039.28</v>
      </c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7">
        <f>ROUND(1753.04,2)</f>
        <v>1753.04</v>
      </c>
      <c r="EE192" s="6"/>
      <c r="EF192" s="7">
        <f>ROUND(1457.92999999999,2)</f>
        <v>1457.93</v>
      </c>
      <c r="EG192" s="7">
        <f>ROUND(131.26,2)</f>
        <v>131.26</v>
      </c>
      <c r="EH192" s="7">
        <f>ROUND(772.719999999999,2)</f>
        <v>772.72</v>
      </c>
      <c r="EI192" s="6"/>
      <c r="EJ192" s="6"/>
      <c r="EK192" s="7">
        <f>ROUND(487.84,2)</f>
        <v>487.84</v>
      </c>
      <c r="EL192" s="6"/>
      <c r="EM192" s="6"/>
      <c r="EN192" s="7">
        <f>ROUND(243.92,2)</f>
        <v>243.92</v>
      </c>
      <c r="EO192" s="7">
        <f>ROUND(89.62,2)</f>
        <v>89.62</v>
      </c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7">
        <f>ROUND(850,2)</f>
        <v>850</v>
      </c>
      <c r="FK192" s="6"/>
      <c r="FL192" s="6"/>
      <c r="FM192" s="6"/>
      <c r="FN192" s="6"/>
      <c r="FO192" s="6"/>
      <c r="FP192" s="6"/>
      <c r="FQ192" s="6"/>
      <c r="FR192" s="6"/>
      <c r="FS192" s="6"/>
      <c r="FT192" s="7">
        <f t="shared" si="10"/>
        <v>3000</v>
      </c>
      <c r="FU192" s="6"/>
      <c r="FV192" s="6"/>
      <c r="FW192" s="6"/>
      <c r="FX192" s="6"/>
      <c r="FY192" s="7">
        <f>ROUND(77999.95,2)</f>
        <v>77999.95</v>
      </c>
    </row>
    <row r="193" spans="1:181" x14ac:dyDescent="0.3">
      <c r="A193" s="4" t="s">
        <v>391</v>
      </c>
      <c r="B193" s="5" t="s">
        <v>1029</v>
      </c>
      <c r="C193" s="5" t="s">
        <v>181</v>
      </c>
      <c r="D193" s="5" t="s">
        <v>392</v>
      </c>
      <c r="E193" s="5" t="s">
        <v>0</v>
      </c>
      <c r="F193" s="5" t="s">
        <v>0</v>
      </c>
      <c r="G193" s="5" t="s">
        <v>183</v>
      </c>
      <c r="H193" s="8">
        <v>34.04</v>
      </c>
      <c r="I193" s="7">
        <f>ROUND(70480.3599999999,2)</f>
        <v>70480.36</v>
      </c>
      <c r="J193" s="6"/>
      <c r="K193" s="6"/>
      <c r="L193" s="6"/>
      <c r="M193" s="6"/>
      <c r="N193" s="7">
        <f>ROUND(1477.36,2)</f>
        <v>1477.36</v>
      </c>
      <c r="O193" s="6"/>
      <c r="P193" s="6"/>
      <c r="Q193" s="7">
        <f>ROUND(148.36,2)</f>
        <v>148.36000000000001</v>
      </c>
      <c r="R193" s="6"/>
      <c r="S193" s="6"/>
      <c r="T193" s="6"/>
      <c r="U193" s="6"/>
      <c r="V193" s="6"/>
      <c r="W193" s="6"/>
      <c r="X193" s="6"/>
      <c r="Y193" s="6"/>
      <c r="Z193" s="7">
        <f>ROUND(0.93,2)</f>
        <v>0.93</v>
      </c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7">
        <f>ROUND(48.95,2)</f>
        <v>48.95</v>
      </c>
      <c r="AV193" s="7">
        <f>ROUND(3.05,2)</f>
        <v>3.05</v>
      </c>
      <c r="AW193" s="7">
        <f>ROUND(21.07,2)</f>
        <v>21.07</v>
      </c>
      <c r="AX193" s="7">
        <f>ROUND(10.93,2)</f>
        <v>10.93</v>
      </c>
      <c r="AY193" s="7">
        <f>ROUND(193.73,2)</f>
        <v>193.73</v>
      </c>
      <c r="AZ193" s="7">
        <f>ROUND(14.27,2)</f>
        <v>14.27</v>
      </c>
      <c r="BA193" s="6"/>
      <c r="BB193" s="6"/>
      <c r="BC193" s="6"/>
      <c r="BD193" s="7">
        <f t="shared" si="11"/>
        <v>8</v>
      </c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7">
        <f>ROUND(6.23,2)</f>
        <v>6.23</v>
      </c>
      <c r="BU193" s="6"/>
      <c r="BV193" s="6"/>
      <c r="BW193" s="7">
        <f>ROUND(16,2)</f>
        <v>16</v>
      </c>
      <c r="BX193" s="6"/>
      <c r="BY193" s="7">
        <f>ROUND(392,2)</f>
        <v>392</v>
      </c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7">
        <f>ROUND(8,2)</f>
        <v>8</v>
      </c>
      <c r="CQ193" s="7">
        <f>ROUND(2348.87999999999,2)</f>
        <v>2348.88</v>
      </c>
      <c r="CR193" s="6"/>
      <c r="CS193" s="6"/>
      <c r="CT193" s="6"/>
      <c r="CU193" s="6"/>
      <c r="CV193" s="7">
        <f>ROUND(48275.3499999999,2)</f>
        <v>48275.35</v>
      </c>
      <c r="CW193" s="6"/>
      <c r="CX193" s="6"/>
      <c r="CY193" s="7">
        <f>ROUND(7308.65999999999,2)</f>
        <v>7308.66</v>
      </c>
      <c r="CZ193" s="6"/>
      <c r="DA193" s="6"/>
      <c r="DB193" s="6"/>
      <c r="DC193" s="6"/>
      <c r="DD193" s="6"/>
      <c r="DE193" s="6"/>
      <c r="DF193" s="6"/>
      <c r="DG193" s="6"/>
      <c r="DH193" s="7">
        <f>ROUND(59.69,2)</f>
        <v>59.69</v>
      </c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7">
        <f>ROUND(1606.52,2)</f>
        <v>1606.52</v>
      </c>
      <c r="EE193" s="7">
        <f>ROUND(151.22,2)</f>
        <v>151.22</v>
      </c>
      <c r="EF193" s="7">
        <f>ROUND(688.68,2)</f>
        <v>688.68</v>
      </c>
      <c r="EG193" s="7">
        <f>ROUND(541.85,2)</f>
        <v>541.85</v>
      </c>
      <c r="EH193" s="7">
        <f>ROUND(6372.16999999999,2)</f>
        <v>6372.17</v>
      </c>
      <c r="EI193" s="7">
        <f>ROUND(697.18,2)</f>
        <v>697.18</v>
      </c>
      <c r="EJ193" s="6"/>
      <c r="EK193" s="6"/>
      <c r="EL193" s="6"/>
      <c r="EM193" s="6"/>
      <c r="EN193" s="7">
        <f>ROUND(256.72,2)</f>
        <v>256.72000000000003</v>
      </c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7">
        <f>ROUND(1250,2)</f>
        <v>1250</v>
      </c>
      <c r="FK193" s="6"/>
      <c r="FL193" s="6"/>
      <c r="FM193" s="6"/>
      <c r="FN193" s="6"/>
      <c r="FO193" s="6"/>
      <c r="FP193" s="6"/>
      <c r="FQ193" s="6"/>
      <c r="FR193" s="6"/>
      <c r="FS193" s="6"/>
      <c r="FT193" s="7">
        <f t="shared" si="10"/>
        <v>3000</v>
      </c>
      <c r="FU193" s="6"/>
      <c r="FV193" s="6"/>
      <c r="FW193" s="6"/>
      <c r="FX193" s="7">
        <f>ROUND(272.32,2)</f>
        <v>272.32</v>
      </c>
      <c r="FY193" s="7">
        <f>ROUND(70480.3599999999,2)</f>
        <v>70480.36</v>
      </c>
    </row>
    <row r="194" spans="1:181" x14ac:dyDescent="0.3">
      <c r="A194" s="4" t="s">
        <v>397</v>
      </c>
      <c r="B194" s="5" t="s">
        <v>1029</v>
      </c>
      <c r="C194" s="5" t="s">
        <v>181</v>
      </c>
      <c r="D194" s="5" t="s">
        <v>398</v>
      </c>
      <c r="E194" s="5" t="s">
        <v>0</v>
      </c>
      <c r="F194" s="5" t="s">
        <v>0</v>
      </c>
      <c r="G194" s="5" t="s">
        <v>183</v>
      </c>
      <c r="H194" s="8">
        <v>33.380000000000003</v>
      </c>
      <c r="I194" s="7">
        <f>ROUND(76877.47,2)</f>
        <v>76877.47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7">
        <f>ROUND(1738.11,2)</f>
        <v>1738.11</v>
      </c>
      <c r="AF194" s="6"/>
      <c r="AG194" s="7">
        <f>ROUND(160.759999999999,2)</f>
        <v>160.76</v>
      </c>
      <c r="AH194" s="6"/>
      <c r="AI194" s="6"/>
      <c r="AJ194" s="6"/>
      <c r="AK194" s="6"/>
      <c r="AL194" s="6"/>
      <c r="AM194" s="6"/>
      <c r="AN194" s="6"/>
      <c r="AO194" s="6"/>
      <c r="AP194" s="7">
        <f>ROUND(5,2)</f>
        <v>5</v>
      </c>
      <c r="AQ194" s="6"/>
      <c r="AR194" s="7">
        <f>ROUND(5,2)</f>
        <v>5</v>
      </c>
      <c r="AS194" s="6"/>
      <c r="AT194" s="6"/>
      <c r="AU194" s="7">
        <f>ROUND(60,2)</f>
        <v>60</v>
      </c>
      <c r="AV194" s="6"/>
      <c r="AW194" s="7">
        <f>ROUND(32,2)</f>
        <v>32</v>
      </c>
      <c r="AX194" s="6"/>
      <c r="AY194" s="7">
        <f>ROUND(67.4,2)</f>
        <v>67.400000000000006</v>
      </c>
      <c r="AZ194" s="7">
        <f>ROUND(4.6,2)</f>
        <v>4.5999999999999996</v>
      </c>
      <c r="BA194" s="6"/>
      <c r="BB194" s="6"/>
      <c r="BC194" s="6"/>
      <c r="BD194" s="7">
        <f t="shared" si="11"/>
        <v>8</v>
      </c>
      <c r="BE194" s="6"/>
      <c r="BF194" s="6"/>
      <c r="BG194" s="7">
        <f>ROUND(28,2)</f>
        <v>28</v>
      </c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7">
        <f>ROUND(216,2)</f>
        <v>216</v>
      </c>
      <c r="BT194" s="7">
        <f>ROUND(13.59,2)</f>
        <v>13.59</v>
      </c>
      <c r="BU194" s="6"/>
      <c r="BV194" s="6"/>
      <c r="BW194" s="7">
        <f>ROUND(8,2)</f>
        <v>8</v>
      </c>
      <c r="BX194" s="6"/>
      <c r="BY194" s="6"/>
      <c r="BZ194" s="6"/>
      <c r="CA194" s="7">
        <f>ROUND(16,2)</f>
        <v>16</v>
      </c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7">
        <f>ROUND(48,2)</f>
        <v>48</v>
      </c>
      <c r="CQ194" s="7">
        <f>ROUND(2410.46,2)</f>
        <v>2410.46</v>
      </c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7">
        <f>ROUND(56798.9199999999,2)</f>
        <v>56798.92</v>
      </c>
      <c r="DO194" s="6"/>
      <c r="DP194" s="7">
        <f>ROUND(7876.80999999999,2)</f>
        <v>7876.81</v>
      </c>
      <c r="DQ194" s="6"/>
      <c r="DR194" s="6"/>
      <c r="DS194" s="6"/>
      <c r="DT194" s="6"/>
      <c r="DU194" s="6"/>
      <c r="DV194" s="6"/>
      <c r="DW194" s="6"/>
      <c r="DX194" s="6"/>
      <c r="DY194" s="7">
        <f>ROUND(160.45,2)</f>
        <v>160.44999999999999</v>
      </c>
      <c r="DZ194" s="6"/>
      <c r="EA194" s="7">
        <f>ROUND(247.88,2)</f>
        <v>247.88</v>
      </c>
      <c r="EB194" s="6"/>
      <c r="EC194" s="6"/>
      <c r="ED194" s="7">
        <f>ROUND(1958.76,2)</f>
        <v>1958.76</v>
      </c>
      <c r="EE194" s="6"/>
      <c r="EF194" s="7">
        <f>ROUND(1049.92,2)</f>
        <v>1049.92</v>
      </c>
      <c r="EG194" s="6"/>
      <c r="EH194" s="7">
        <f>ROUND(2176.79,2)</f>
        <v>2176.79</v>
      </c>
      <c r="EI194" s="7">
        <f>ROUND(223.579999999999,2)</f>
        <v>223.58</v>
      </c>
      <c r="EJ194" s="6"/>
      <c r="EK194" s="6"/>
      <c r="EL194" s="6"/>
      <c r="EM194" s="6"/>
      <c r="EN194" s="7">
        <f>ROUND(256.72,2)</f>
        <v>256.72000000000003</v>
      </c>
      <c r="EO194" s="6"/>
      <c r="EP194" s="6"/>
      <c r="EQ194" s="7">
        <f>ROUND(925.4,2)</f>
        <v>925.4</v>
      </c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7">
        <f>ROUND(600,2)</f>
        <v>600</v>
      </c>
      <c r="FK194" s="6"/>
      <c r="FL194" s="6"/>
      <c r="FM194" s="6"/>
      <c r="FN194" s="6"/>
      <c r="FO194" s="6"/>
      <c r="FP194" s="6"/>
      <c r="FQ194" s="6"/>
      <c r="FR194" s="6"/>
      <c r="FS194" s="6"/>
      <c r="FT194" s="7">
        <f t="shared" si="10"/>
        <v>3000</v>
      </c>
      <c r="FU194" s="6"/>
      <c r="FV194" s="6"/>
      <c r="FW194" s="6"/>
      <c r="FX194" s="7">
        <f>ROUND(1602.24,2)</f>
        <v>1602.24</v>
      </c>
      <c r="FY194" s="7">
        <f>ROUND(76877.4699999999,2)</f>
        <v>76877.47</v>
      </c>
    </row>
    <row r="195" spans="1:181" x14ac:dyDescent="0.3">
      <c r="A195" s="4" t="s">
        <v>399</v>
      </c>
      <c r="B195" s="5" t="s">
        <v>1029</v>
      </c>
      <c r="C195" s="5" t="s">
        <v>181</v>
      </c>
      <c r="D195" s="5" t="s">
        <v>400</v>
      </c>
      <c r="E195" s="5" t="s">
        <v>0</v>
      </c>
      <c r="F195" s="5" t="s">
        <v>0</v>
      </c>
      <c r="G195" s="5" t="s">
        <v>183</v>
      </c>
      <c r="H195" s="8">
        <v>33.880000000000003</v>
      </c>
      <c r="I195" s="7">
        <f>ROUND(117361.49,2)</f>
        <v>117361.49</v>
      </c>
      <c r="J195" s="6"/>
      <c r="K195" s="6"/>
      <c r="L195" s="6"/>
      <c r="M195" s="6"/>
      <c r="N195" s="7">
        <f>ROUND(18.92,2)</f>
        <v>18.920000000000002</v>
      </c>
      <c r="O195" s="6"/>
      <c r="P195" s="6"/>
      <c r="Q195" s="7">
        <f>ROUND(93.45,2)</f>
        <v>93.45</v>
      </c>
      <c r="R195" s="6"/>
      <c r="S195" s="6"/>
      <c r="T195" s="6"/>
      <c r="U195" s="6"/>
      <c r="V195" s="6"/>
      <c r="W195" s="7">
        <f>ROUND(54.18,2)</f>
        <v>54.18</v>
      </c>
      <c r="X195" s="7">
        <f>ROUND(0.33,2)</f>
        <v>0.33</v>
      </c>
      <c r="Y195" s="7">
        <f>ROUND(2.41,2)</f>
        <v>2.41</v>
      </c>
      <c r="Z195" s="6"/>
      <c r="AA195" s="6"/>
      <c r="AB195" s="6"/>
      <c r="AC195" s="6"/>
      <c r="AD195" s="6"/>
      <c r="AE195" s="7">
        <f>ROUND(1788.75,2)</f>
        <v>1788.75</v>
      </c>
      <c r="AF195" s="6"/>
      <c r="AG195" s="7">
        <f>ROUND(522.29,2)</f>
        <v>522.29</v>
      </c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7">
        <f>ROUND(151.079999999999,2)</f>
        <v>151.08000000000001</v>
      </c>
      <c r="AS195" s="6"/>
      <c r="AT195" s="6"/>
      <c r="AU195" s="7">
        <f>ROUND(60,2)</f>
        <v>60</v>
      </c>
      <c r="AV195" s="7">
        <f>ROUND(8,2)</f>
        <v>8</v>
      </c>
      <c r="AW195" s="7">
        <f>ROUND(24,2)</f>
        <v>24</v>
      </c>
      <c r="AX195" s="7">
        <f>ROUND(8,2)</f>
        <v>8</v>
      </c>
      <c r="AY195" s="7">
        <f>ROUND(192,2)</f>
        <v>192</v>
      </c>
      <c r="AZ195" s="7">
        <f>ROUND(8,2)</f>
        <v>8</v>
      </c>
      <c r="BA195" s="6"/>
      <c r="BB195" s="6"/>
      <c r="BC195" s="6"/>
      <c r="BD195" s="7">
        <f t="shared" si="11"/>
        <v>8</v>
      </c>
      <c r="BE195" s="6"/>
      <c r="BF195" s="6"/>
      <c r="BG195" s="7">
        <f>ROUND(50,2)</f>
        <v>50</v>
      </c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7">
        <f>ROUND(9,2)</f>
        <v>9</v>
      </c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7">
        <f>ROUND(2998.41,2)</f>
        <v>2998.41</v>
      </c>
      <c r="CR195" s="6"/>
      <c r="CS195" s="6"/>
      <c r="CT195" s="6"/>
      <c r="CU195" s="6"/>
      <c r="CV195" s="7">
        <f>ROUND(616.74,2)</f>
        <v>616.74</v>
      </c>
      <c r="CW195" s="6"/>
      <c r="CX195" s="6"/>
      <c r="CY195" s="7">
        <f>ROUND(4534.04,2)</f>
        <v>4534.04</v>
      </c>
      <c r="CZ195" s="6"/>
      <c r="DA195" s="6"/>
      <c r="DB195" s="6"/>
      <c r="DC195" s="6"/>
      <c r="DD195" s="6"/>
      <c r="DE195" s="7">
        <f>ROUND(2668.91,2)</f>
        <v>2668.91</v>
      </c>
      <c r="DF195" s="7">
        <f>ROUND(10.59,2)</f>
        <v>10.59</v>
      </c>
      <c r="DG195" s="7">
        <f>ROUND(116,2)</f>
        <v>116</v>
      </c>
      <c r="DH195" s="6"/>
      <c r="DI195" s="6"/>
      <c r="DJ195" s="6"/>
      <c r="DK195" s="6"/>
      <c r="DL195" s="6"/>
      <c r="DM195" s="6"/>
      <c r="DN195" s="7">
        <f>ROUND(58403.1299999999,2)</f>
        <v>58403.13</v>
      </c>
      <c r="DO195" s="6"/>
      <c r="DP195" s="7">
        <f>ROUND(25552.46,2)</f>
        <v>25552.46</v>
      </c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7">
        <f>ROUND(7456.82,2)</f>
        <v>7456.82</v>
      </c>
      <c r="EB195" s="6"/>
      <c r="EC195" s="6"/>
      <c r="ED195" s="7">
        <f>ROUND(1955.08,2)</f>
        <v>1955.08</v>
      </c>
      <c r="EE195" s="7">
        <f>ROUND(396.64,2)</f>
        <v>396.64</v>
      </c>
      <c r="EF195" s="7">
        <f>ROUND(785.52,2)</f>
        <v>785.52</v>
      </c>
      <c r="EG195" s="7">
        <f>ROUND(396.6,2)</f>
        <v>396.6</v>
      </c>
      <c r="EH195" s="7">
        <f>ROUND(6276.48,2)</f>
        <v>6276.48</v>
      </c>
      <c r="EI195" s="7">
        <f>ROUND(385.08,2)</f>
        <v>385.08</v>
      </c>
      <c r="EJ195" s="6"/>
      <c r="EK195" s="6"/>
      <c r="EL195" s="6"/>
      <c r="EM195" s="6"/>
      <c r="EN195" s="7">
        <f>ROUND(256.72,2)</f>
        <v>256.72000000000003</v>
      </c>
      <c r="EO195" s="6"/>
      <c r="EP195" s="6"/>
      <c r="EQ195" s="7">
        <f>ROUND(1604.5,2)</f>
        <v>1604.5</v>
      </c>
      <c r="ER195" s="6"/>
      <c r="ES195" s="6"/>
      <c r="ET195" s="6"/>
      <c r="EU195" s="6"/>
      <c r="EV195" s="7">
        <f>ROUND(500,2)</f>
        <v>500</v>
      </c>
      <c r="EW195" s="6"/>
      <c r="EX195" s="6"/>
      <c r="EY195" s="6"/>
      <c r="EZ195" s="6"/>
      <c r="FA195" s="6"/>
      <c r="FB195" s="6"/>
      <c r="FC195" s="6"/>
      <c r="FD195" s="6"/>
      <c r="FE195" s="7">
        <f>ROUND(446.18,2)</f>
        <v>446.18</v>
      </c>
      <c r="FF195" s="6"/>
      <c r="FG195" s="6"/>
      <c r="FH195" s="6"/>
      <c r="FI195" s="6"/>
      <c r="FJ195" s="7">
        <f>ROUND(2000,2)</f>
        <v>2000</v>
      </c>
      <c r="FK195" s="6"/>
      <c r="FL195" s="6"/>
      <c r="FM195" s="6"/>
      <c r="FN195" s="6"/>
      <c r="FO195" s="6"/>
      <c r="FP195" s="6"/>
      <c r="FQ195" s="6"/>
      <c r="FR195" s="6"/>
      <c r="FS195" s="6"/>
      <c r="FT195" s="7">
        <f t="shared" si="10"/>
        <v>3000</v>
      </c>
      <c r="FU195" s="6"/>
      <c r="FV195" s="6"/>
      <c r="FW195" s="6"/>
      <c r="FX195" s="6"/>
      <c r="FY195" s="7">
        <f>ROUND(117361.49,2)</f>
        <v>117361.49</v>
      </c>
    </row>
    <row r="196" spans="1:181" x14ac:dyDescent="0.3">
      <c r="A196" s="4" t="s">
        <v>401</v>
      </c>
      <c r="B196" s="5" t="s">
        <v>1029</v>
      </c>
      <c r="C196" s="5" t="s">
        <v>181</v>
      </c>
      <c r="D196" s="5" t="s">
        <v>196</v>
      </c>
      <c r="E196" s="5" t="s">
        <v>0</v>
      </c>
      <c r="F196" s="5" t="s">
        <v>0</v>
      </c>
      <c r="G196" s="5" t="s">
        <v>183</v>
      </c>
      <c r="H196" s="8">
        <v>33.380000000000003</v>
      </c>
      <c r="I196" s="7">
        <f>ROUND(89970.63,2)</f>
        <v>89970.63</v>
      </c>
      <c r="J196" s="6"/>
      <c r="K196" s="6"/>
      <c r="L196" s="6"/>
      <c r="M196" s="6"/>
      <c r="N196" s="7">
        <f>ROUND(917.26,2)</f>
        <v>917.26</v>
      </c>
      <c r="O196" s="6"/>
      <c r="P196" s="6"/>
      <c r="Q196" s="7">
        <f>ROUND(181.95,2)</f>
        <v>181.95</v>
      </c>
      <c r="R196" s="6"/>
      <c r="S196" s="6"/>
      <c r="T196" s="6"/>
      <c r="U196" s="6"/>
      <c r="V196" s="7">
        <f>ROUND(16.73,2)</f>
        <v>16.73</v>
      </c>
      <c r="W196" s="7">
        <f>ROUND(26.45,2)</f>
        <v>26.45</v>
      </c>
      <c r="X196" s="7">
        <f>ROUND(0.42,2)</f>
        <v>0.42</v>
      </c>
      <c r="Y196" s="6"/>
      <c r="Z196" s="6"/>
      <c r="AA196" s="6"/>
      <c r="AB196" s="6"/>
      <c r="AC196" s="6"/>
      <c r="AD196" s="6"/>
      <c r="AE196" s="7">
        <f>ROUND(303.32,2)</f>
        <v>303.32</v>
      </c>
      <c r="AF196" s="6"/>
      <c r="AG196" s="7">
        <f>ROUND(28.7299999999999,2)</f>
        <v>28.73</v>
      </c>
      <c r="AH196" s="6"/>
      <c r="AI196" s="6"/>
      <c r="AJ196" s="6"/>
      <c r="AK196" s="6"/>
      <c r="AL196" s="6"/>
      <c r="AM196" s="6"/>
      <c r="AN196" s="6"/>
      <c r="AO196" s="6"/>
      <c r="AP196" s="7">
        <f>ROUND(604.88,2)</f>
        <v>604.88</v>
      </c>
      <c r="AQ196" s="6"/>
      <c r="AR196" s="7">
        <f>ROUND(71.03,2)</f>
        <v>71.03</v>
      </c>
      <c r="AS196" s="6"/>
      <c r="AT196" s="6"/>
      <c r="AU196" s="7">
        <f>ROUND(76,2)</f>
        <v>76</v>
      </c>
      <c r="AV196" s="6"/>
      <c r="AW196" s="7">
        <f>ROUND(40.65,2)</f>
        <v>40.65</v>
      </c>
      <c r="AX196" s="7">
        <f>ROUND(1.35,2)</f>
        <v>1.35</v>
      </c>
      <c r="AY196" s="7">
        <f>ROUND(64,2)</f>
        <v>64</v>
      </c>
      <c r="AZ196" s="6"/>
      <c r="BA196" s="6"/>
      <c r="BB196" s="7">
        <f>ROUND(26,2)</f>
        <v>26</v>
      </c>
      <c r="BC196" s="6"/>
      <c r="BD196" s="7">
        <f t="shared" si="11"/>
        <v>8</v>
      </c>
      <c r="BE196" s="7">
        <f>ROUND(2.4,2)</f>
        <v>2.4</v>
      </c>
      <c r="BF196" s="6"/>
      <c r="BG196" s="6"/>
      <c r="BH196" s="6"/>
      <c r="BI196" s="6"/>
      <c r="BJ196" s="6"/>
      <c r="BK196" s="6"/>
      <c r="BL196" s="6"/>
      <c r="BM196" s="6"/>
      <c r="BN196" s="6"/>
      <c r="BO196" s="7">
        <f>ROUND(53.08,2)</f>
        <v>53.08</v>
      </c>
      <c r="BP196" s="6"/>
      <c r="BQ196" s="7">
        <f>ROUND(23.5,2)</f>
        <v>23.5</v>
      </c>
      <c r="BR196" s="7">
        <f>ROUND(2.58,2)</f>
        <v>2.58</v>
      </c>
      <c r="BS196" s="6"/>
      <c r="BT196" s="7">
        <f>ROUND(2.15,2)</f>
        <v>2.15</v>
      </c>
      <c r="BU196" s="6"/>
      <c r="BV196" s="6"/>
      <c r="BW196" s="6"/>
      <c r="BX196" s="6"/>
      <c r="BY196" s="7">
        <f>ROUND(16,2)</f>
        <v>16</v>
      </c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7">
        <f>ROUND(2466.48,2)</f>
        <v>2466.48</v>
      </c>
      <c r="CR196" s="6"/>
      <c r="CS196" s="6"/>
      <c r="CT196" s="6"/>
      <c r="CU196" s="6"/>
      <c r="CV196" s="7">
        <f>ROUND(29899.64,2)</f>
        <v>29899.64</v>
      </c>
      <c r="CW196" s="6"/>
      <c r="CX196" s="6"/>
      <c r="CY196" s="7">
        <f>ROUND(8863.42,2)</f>
        <v>8863.42</v>
      </c>
      <c r="CZ196" s="6"/>
      <c r="DA196" s="6"/>
      <c r="DB196" s="6"/>
      <c r="DC196" s="6"/>
      <c r="DD196" s="7">
        <f>ROUND(536.87,2)</f>
        <v>536.87</v>
      </c>
      <c r="DE196" s="7">
        <f>ROUND(1303.82,2)</f>
        <v>1303.82</v>
      </c>
      <c r="DF196" s="7">
        <f>ROUND(13.48,2)</f>
        <v>13.48</v>
      </c>
      <c r="DG196" s="6"/>
      <c r="DH196" s="6"/>
      <c r="DI196" s="6"/>
      <c r="DJ196" s="6"/>
      <c r="DK196" s="6"/>
      <c r="DL196" s="6"/>
      <c r="DM196" s="6"/>
      <c r="DN196" s="7">
        <f>ROUND(9895.49,2)</f>
        <v>9895.49</v>
      </c>
      <c r="DO196" s="6"/>
      <c r="DP196" s="7">
        <f>ROUND(1393.85,2)</f>
        <v>1393.85</v>
      </c>
      <c r="DQ196" s="6"/>
      <c r="DR196" s="6"/>
      <c r="DS196" s="6"/>
      <c r="DT196" s="6"/>
      <c r="DU196" s="6"/>
      <c r="DV196" s="6"/>
      <c r="DW196" s="6"/>
      <c r="DX196" s="6"/>
      <c r="DY196" s="7">
        <f>ROUND(19721.1899999999,2)</f>
        <v>19721.189999999999</v>
      </c>
      <c r="DZ196" s="6"/>
      <c r="EA196" s="7">
        <f>ROUND(3476.34,2)</f>
        <v>3476.34</v>
      </c>
      <c r="EB196" s="6"/>
      <c r="EC196" s="6"/>
      <c r="ED196" s="7">
        <f>ROUND(2476.7,2)</f>
        <v>2476.6999999999998</v>
      </c>
      <c r="EE196" s="6"/>
      <c r="EF196" s="7">
        <f>ROUND(1325.04,2)</f>
        <v>1325.04</v>
      </c>
      <c r="EG196" s="7">
        <f>ROUND(64.98,2)</f>
        <v>64.98</v>
      </c>
      <c r="EH196" s="7">
        <f>ROUND(2117.84,2)</f>
        <v>2117.84</v>
      </c>
      <c r="EI196" s="6"/>
      <c r="EJ196" s="6"/>
      <c r="EK196" s="7">
        <f>ROUND(851.62,2)</f>
        <v>851.62</v>
      </c>
      <c r="EL196" s="6"/>
      <c r="EM196" s="6"/>
      <c r="EN196" s="7">
        <f>ROUND(256.72,2)</f>
        <v>256.72000000000003</v>
      </c>
      <c r="EO196" s="7">
        <f>ROUND(108.79,2)</f>
        <v>108.79</v>
      </c>
      <c r="EP196" s="6"/>
      <c r="EQ196" s="6"/>
      <c r="ER196" s="7">
        <f>ROUND(344,2)</f>
        <v>344</v>
      </c>
      <c r="ES196" s="6"/>
      <c r="ET196" s="6"/>
      <c r="EU196" s="6"/>
      <c r="EV196" s="7">
        <f>ROUND(500,2)</f>
        <v>500</v>
      </c>
      <c r="EW196" s="6"/>
      <c r="EX196" s="6"/>
      <c r="EY196" s="6"/>
      <c r="EZ196" s="6"/>
      <c r="FA196" s="6"/>
      <c r="FB196" s="7">
        <f>ROUND(1731.25,2)</f>
        <v>1731.25</v>
      </c>
      <c r="FC196" s="6"/>
      <c r="FD196" s="7">
        <f>ROUND(762.83,2)</f>
        <v>762.83</v>
      </c>
      <c r="FE196" s="7">
        <f>ROUND(126.76,2)</f>
        <v>126.76</v>
      </c>
      <c r="FF196" s="6"/>
      <c r="FG196" s="6"/>
      <c r="FH196" s="6"/>
      <c r="FI196" s="6"/>
      <c r="FJ196" s="7">
        <f>ROUND(1200,2)</f>
        <v>1200</v>
      </c>
      <c r="FK196" s="6"/>
      <c r="FL196" s="6"/>
      <c r="FM196" s="6"/>
      <c r="FN196" s="6"/>
      <c r="FO196" s="6"/>
      <c r="FP196" s="6"/>
      <c r="FQ196" s="6"/>
      <c r="FR196" s="6"/>
      <c r="FS196" s="6"/>
      <c r="FT196" s="7">
        <f t="shared" si="10"/>
        <v>3000</v>
      </c>
      <c r="FU196" s="6"/>
      <c r="FV196" s="6"/>
      <c r="FW196" s="6"/>
      <c r="FX196" s="6"/>
      <c r="FY196" s="7">
        <f>ROUND(89970.63,2)</f>
        <v>89970.63</v>
      </c>
    </row>
    <row r="197" spans="1:181" x14ac:dyDescent="0.3">
      <c r="A197" s="4" t="s">
        <v>405</v>
      </c>
      <c r="B197" s="5" t="s">
        <v>1029</v>
      </c>
      <c r="C197" s="5" t="s">
        <v>181</v>
      </c>
      <c r="D197" s="5" t="s">
        <v>406</v>
      </c>
      <c r="E197" s="5" t="s">
        <v>407</v>
      </c>
      <c r="F197" s="5" t="s">
        <v>0</v>
      </c>
      <c r="G197" s="5" t="s">
        <v>183</v>
      </c>
      <c r="H197" s="8">
        <v>32.090000000000003</v>
      </c>
      <c r="I197" s="7">
        <f>ROUND(31106.9799999999,2)</f>
        <v>31106.98</v>
      </c>
      <c r="J197" s="6"/>
      <c r="K197" s="6"/>
      <c r="L197" s="6"/>
      <c r="M197" s="6"/>
      <c r="N197" s="7">
        <f>ROUND(595.25,2)</f>
        <v>595.25</v>
      </c>
      <c r="O197" s="6"/>
      <c r="P197" s="6"/>
      <c r="Q197" s="7">
        <f>ROUND(48.2,2)</f>
        <v>48.2</v>
      </c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7">
        <f>ROUND(28,2)</f>
        <v>28</v>
      </c>
      <c r="AV197" s="6"/>
      <c r="AW197" s="7">
        <f>ROUND(16,2)</f>
        <v>16</v>
      </c>
      <c r="AX197" s="6"/>
      <c r="AY197" s="7">
        <f>ROUND(29.2,2)</f>
        <v>29.2</v>
      </c>
      <c r="AZ197" s="7">
        <f>ROUND(2.8,2)</f>
        <v>2.8</v>
      </c>
      <c r="BA197" s="6"/>
      <c r="BB197" s="7">
        <f>ROUND(40,2)</f>
        <v>40</v>
      </c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7">
        <f>ROUND(16,2)</f>
        <v>16</v>
      </c>
      <c r="BT197" s="7">
        <f>ROUND(4.42,2)</f>
        <v>4.42</v>
      </c>
      <c r="BU197" s="6"/>
      <c r="BV197" s="6"/>
      <c r="BW197" s="6"/>
      <c r="BX197" s="6"/>
      <c r="BY197" s="6"/>
      <c r="BZ197" s="7">
        <f>ROUND(32,2)</f>
        <v>32</v>
      </c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7">
        <f>ROUND(168,2)</f>
        <v>168</v>
      </c>
      <c r="CQ197" s="7">
        <f>ROUND(979.87,2)</f>
        <v>979.87</v>
      </c>
      <c r="CR197" s="6"/>
      <c r="CS197" s="6"/>
      <c r="CT197" s="6"/>
      <c r="CU197" s="6"/>
      <c r="CV197" s="7">
        <f>ROUND(19128.38,2)</f>
        <v>19128.38</v>
      </c>
      <c r="CW197" s="6"/>
      <c r="CX197" s="6"/>
      <c r="CY197" s="7">
        <f>ROUND(2320.11,2)</f>
        <v>2320.11</v>
      </c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7">
        <f>ROUND(898.52,2)</f>
        <v>898.52</v>
      </c>
      <c r="EE197" s="6"/>
      <c r="EF197" s="7">
        <f>ROUND(513.44,2)</f>
        <v>513.44000000000005</v>
      </c>
      <c r="EG197" s="6"/>
      <c r="EH197" s="7">
        <f>ROUND(937.03,2)</f>
        <v>937.03</v>
      </c>
      <c r="EI197" s="7">
        <f>ROUND(134.78,2)</f>
        <v>134.78</v>
      </c>
      <c r="EJ197" s="6"/>
      <c r="EK197" s="7">
        <f>ROUND(1283.6,2)</f>
        <v>1283.5999999999999</v>
      </c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7">
        <f>ROUND(500,2)</f>
        <v>500</v>
      </c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7">
        <f>ROUND(5391.12,2)</f>
        <v>5391.12</v>
      </c>
      <c r="FY197" s="7">
        <f>ROUND(31106.9799999999,2)</f>
        <v>31106.98</v>
      </c>
    </row>
    <row r="198" spans="1:181" x14ac:dyDescent="0.3">
      <c r="A198" s="4" t="s">
        <v>412</v>
      </c>
      <c r="B198" s="5" t="s">
        <v>1029</v>
      </c>
      <c r="C198" s="5" t="s">
        <v>181</v>
      </c>
      <c r="D198" s="5" t="s">
        <v>413</v>
      </c>
      <c r="E198" s="5" t="s">
        <v>0</v>
      </c>
      <c r="F198" s="5" t="s">
        <v>0</v>
      </c>
      <c r="G198" s="5" t="s">
        <v>183</v>
      </c>
      <c r="H198" s="8">
        <v>33.380000000000003</v>
      </c>
      <c r="I198" s="7">
        <f>ROUND(87246.8599999999,2)</f>
        <v>87246.86</v>
      </c>
      <c r="J198" s="6"/>
      <c r="K198" s="6"/>
      <c r="L198" s="6"/>
      <c r="M198" s="6"/>
      <c r="N198" s="7">
        <f>ROUND(357,2)</f>
        <v>357</v>
      </c>
      <c r="O198" s="6"/>
      <c r="P198" s="6"/>
      <c r="Q198" s="7">
        <f>ROUND(31.76,2)</f>
        <v>31.76</v>
      </c>
      <c r="R198" s="6"/>
      <c r="S198" s="6"/>
      <c r="T198" s="6"/>
      <c r="U198" s="6"/>
      <c r="V198" s="7">
        <f>ROUND(2.87,2)</f>
        <v>2.87</v>
      </c>
      <c r="W198" s="6"/>
      <c r="X198" s="7">
        <f>ROUND(0.9,2)</f>
        <v>0.9</v>
      </c>
      <c r="Y198" s="6"/>
      <c r="Z198" s="6"/>
      <c r="AA198" s="6"/>
      <c r="AB198" s="6"/>
      <c r="AC198" s="6"/>
      <c r="AD198" s="6"/>
      <c r="AE198" s="7">
        <f>ROUND(1174.17999999999,2)</f>
        <v>1174.18</v>
      </c>
      <c r="AF198" s="6"/>
      <c r="AG198" s="7">
        <f>ROUND(205.94,2)</f>
        <v>205.94</v>
      </c>
      <c r="AH198" s="6"/>
      <c r="AI198" s="6"/>
      <c r="AJ198" s="6"/>
      <c r="AK198" s="6"/>
      <c r="AL198" s="6"/>
      <c r="AM198" s="6"/>
      <c r="AN198" s="6"/>
      <c r="AO198" s="6"/>
      <c r="AP198" s="7">
        <f>ROUND(274.14,2)</f>
        <v>274.14</v>
      </c>
      <c r="AQ198" s="6"/>
      <c r="AR198" s="7">
        <f>ROUND(39.6999999999999,2)</f>
        <v>39.700000000000003</v>
      </c>
      <c r="AS198" s="6"/>
      <c r="AT198" s="6"/>
      <c r="AU198" s="7">
        <f>ROUND(66,2)</f>
        <v>66</v>
      </c>
      <c r="AV198" s="7">
        <f>ROUND(8,2)</f>
        <v>8</v>
      </c>
      <c r="AW198" s="7">
        <f>ROUND(43.58,2)</f>
        <v>43.58</v>
      </c>
      <c r="AX198" s="7">
        <f>ROUND(6.42,2)</f>
        <v>6.42</v>
      </c>
      <c r="AY198" s="7">
        <f>ROUND(122,2)</f>
        <v>122</v>
      </c>
      <c r="AZ198" s="6"/>
      <c r="BA198" s="6"/>
      <c r="BB198" s="7">
        <f>ROUND(38,2)</f>
        <v>38</v>
      </c>
      <c r="BC198" s="6"/>
      <c r="BD198" s="7">
        <f>ROUND(8,2)</f>
        <v>8</v>
      </c>
      <c r="BE198" s="7">
        <f>ROUND(1.58,2)</f>
        <v>1.58</v>
      </c>
      <c r="BF198" s="6"/>
      <c r="BG198" s="6"/>
      <c r="BH198" s="6"/>
      <c r="BI198" s="6"/>
      <c r="BJ198" s="6"/>
      <c r="BK198" s="6"/>
      <c r="BL198" s="6"/>
      <c r="BM198" s="6"/>
      <c r="BN198" s="6"/>
      <c r="BO198" s="7">
        <f>ROUND(8,2)</f>
        <v>8</v>
      </c>
      <c r="BP198" s="6"/>
      <c r="BQ198" s="7">
        <f>ROUND(10.83,2)</f>
        <v>10.83</v>
      </c>
      <c r="BR198" s="6"/>
      <c r="BS198" s="7">
        <f>ROUND(8,2)</f>
        <v>8</v>
      </c>
      <c r="BT198" s="6"/>
      <c r="BU198" s="6"/>
      <c r="BV198" s="6"/>
      <c r="BW198" s="6"/>
      <c r="BX198" s="6"/>
      <c r="BY198" s="6"/>
      <c r="BZ198" s="6"/>
      <c r="CA198" s="7">
        <f>ROUND(8,2)</f>
        <v>8</v>
      </c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>
        <f>ROUND(10,2)</f>
        <v>10</v>
      </c>
      <c r="CO198" s="6"/>
      <c r="CP198" s="6"/>
      <c r="CQ198" s="7">
        <f>ROUND(2424.9,2)</f>
        <v>2424.9</v>
      </c>
      <c r="CR198" s="6"/>
      <c r="CS198" s="6"/>
      <c r="CT198" s="6"/>
      <c r="CU198" s="6"/>
      <c r="CV198" s="7">
        <f>ROUND(11717.3599999999,2)</f>
        <v>11717.36</v>
      </c>
      <c r="CW198" s="6"/>
      <c r="CX198" s="6"/>
      <c r="CY198" s="7">
        <f>ROUND(1546.77,2)</f>
        <v>1546.77</v>
      </c>
      <c r="CZ198" s="6"/>
      <c r="DA198" s="6"/>
      <c r="DB198" s="6"/>
      <c r="DC198" s="6"/>
      <c r="DD198" s="7">
        <f>ROUND(92.53,2)</f>
        <v>92.53</v>
      </c>
      <c r="DE198" s="6"/>
      <c r="DF198" s="7">
        <f>ROUND(28.88,2)</f>
        <v>28.88</v>
      </c>
      <c r="DG198" s="6"/>
      <c r="DH198" s="6"/>
      <c r="DI198" s="6"/>
      <c r="DJ198" s="6"/>
      <c r="DK198" s="6"/>
      <c r="DL198" s="6"/>
      <c r="DM198" s="6"/>
      <c r="DN198" s="7">
        <f>ROUND(38296.4399999999,2)</f>
        <v>38296.44</v>
      </c>
      <c r="DO198" s="6"/>
      <c r="DP198" s="7">
        <f>ROUND(10096.3,2)</f>
        <v>10096.299999999999</v>
      </c>
      <c r="DQ198" s="6"/>
      <c r="DR198" s="6"/>
      <c r="DS198" s="6"/>
      <c r="DT198" s="6"/>
      <c r="DU198" s="6"/>
      <c r="DV198" s="6"/>
      <c r="DW198" s="6"/>
      <c r="DX198" s="6"/>
      <c r="DY198" s="7">
        <f>ROUND(8914.49,2)</f>
        <v>8914.49</v>
      </c>
      <c r="DZ198" s="6"/>
      <c r="EA198" s="7">
        <f>ROUND(1926.37999999999,2)</f>
        <v>1926.38</v>
      </c>
      <c r="EB198" s="6"/>
      <c r="EC198" s="6"/>
      <c r="ED198" s="7">
        <f>ROUND(2143.62,2)</f>
        <v>2143.62</v>
      </c>
      <c r="EE198" s="7">
        <f>ROUND(396.64,2)</f>
        <v>396.64</v>
      </c>
      <c r="EF198" s="7">
        <f>ROUND(1432.63999999999,2)</f>
        <v>1432.64</v>
      </c>
      <c r="EG198" s="7">
        <f>ROUND(318.28,2)</f>
        <v>318.27999999999997</v>
      </c>
      <c r="EH198" s="7">
        <f>ROUND(3938.02,2)</f>
        <v>3938.02</v>
      </c>
      <c r="EI198" s="6"/>
      <c r="EJ198" s="6"/>
      <c r="EK198" s="7">
        <f>ROUND(1229.02,2)</f>
        <v>1229.02</v>
      </c>
      <c r="EL198" s="6"/>
      <c r="EM198" s="6"/>
      <c r="EN198" s="7">
        <f>ROUND(256.72,2)</f>
        <v>256.72000000000003</v>
      </c>
      <c r="EO198" s="7">
        <f>ROUND(52.22,2)</f>
        <v>52.22</v>
      </c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7">
        <f>ROUND(256.72,2)</f>
        <v>256.72000000000003</v>
      </c>
      <c r="FC198" s="6"/>
      <c r="FD198" s="7">
        <f>ROUND(357.93,2)</f>
        <v>357.93</v>
      </c>
      <c r="FE198" s="6"/>
      <c r="FF198" s="6"/>
      <c r="FG198" s="6"/>
      <c r="FH198" s="6"/>
      <c r="FI198" s="6"/>
      <c r="FJ198" s="7">
        <f>ROUND(925,2)</f>
        <v>925</v>
      </c>
      <c r="FK198" s="6"/>
      <c r="FL198" s="6"/>
      <c r="FM198" s="6"/>
      <c r="FN198" s="6"/>
      <c r="FO198" s="6"/>
      <c r="FP198" s="6"/>
      <c r="FQ198" s="6"/>
      <c r="FR198" s="6"/>
      <c r="FS198" s="6"/>
      <c r="FT198" s="7">
        <f>ROUND(3000,2)</f>
        <v>3000</v>
      </c>
      <c r="FU198" s="6"/>
      <c r="FV198" s="7">
        <f>ROUND(320.9,2)</f>
        <v>320.89999999999998</v>
      </c>
      <c r="FW198" s="6"/>
      <c r="FX198" s="6"/>
      <c r="FY198" s="7">
        <f>ROUND(87246.8599999999,2)</f>
        <v>87246.86</v>
      </c>
    </row>
    <row r="199" spans="1:181" x14ac:dyDescent="0.3">
      <c r="A199" s="4" t="s">
        <v>414</v>
      </c>
      <c r="B199" s="5" t="s">
        <v>1029</v>
      </c>
      <c r="C199" s="5" t="s">
        <v>181</v>
      </c>
      <c r="D199" s="5" t="s">
        <v>415</v>
      </c>
      <c r="E199" s="5" t="s">
        <v>0</v>
      </c>
      <c r="F199" s="5" t="s">
        <v>0</v>
      </c>
      <c r="G199" s="5" t="s">
        <v>183</v>
      </c>
      <c r="H199" s="8">
        <v>33.380000000000003</v>
      </c>
      <c r="I199" s="7">
        <f>ROUND(91722.2499999999,2)</f>
        <v>91722.25</v>
      </c>
      <c r="J199" s="6"/>
      <c r="K199" s="6"/>
      <c r="L199" s="6"/>
      <c r="M199" s="6"/>
      <c r="N199" s="7">
        <f>ROUND(1918.64999999999,2)</f>
        <v>1918.65</v>
      </c>
      <c r="O199" s="6"/>
      <c r="P199" s="6"/>
      <c r="Q199" s="7">
        <f>ROUND(226.459999999999,2)</f>
        <v>226.46</v>
      </c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7">
        <f>ROUND(79.71,2)</f>
        <v>79.709999999999994</v>
      </c>
      <c r="AF199" s="6"/>
      <c r="AG199" s="7">
        <f>ROUND(117.649999999999,2)</f>
        <v>117.65</v>
      </c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7">
        <f>ROUND(68,2)</f>
        <v>68</v>
      </c>
      <c r="AV199" s="6"/>
      <c r="AW199" s="7">
        <f>ROUND(26.23,2)</f>
        <v>26.23</v>
      </c>
      <c r="AX199" s="7">
        <f>ROUND(5.77,2)</f>
        <v>5.77</v>
      </c>
      <c r="AY199" s="6"/>
      <c r="AZ199" s="6"/>
      <c r="BA199" s="6"/>
      <c r="BB199" s="7">
        <f>ROUND(40,2)</f>
        <v>40</v>
      </c>
      <c r="BC199" s="6"/>
      <c r="BD199" s="7">
        <f>ROUND(8,2)</f>
        <v>8</v>
      </c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7">
        <f>ROUND(2490.47,2)</f>
        <v>2490.4699999999998</v>
      </c>
      <c r="CR199" s="6"/>
      <c r="CS199" s="6"/>
      <c r="CT199" s="6"/>
      <c r="CU199" s="6"/>
      <c r="CV199" s="7">
        <f>ROUND(62804.9099999999,2)</f>
        <v>62804.91</v>
      </c>
      <c r="CW199" s="6"/>
      <c r="CX199" s="6"/>
      <c r="CY199" s="7">
        <f>ROUND(11143.96,2)</f>
        <v>11143.96</v>
      </c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7">
        <f>ROUND(2584.20999999999,2)</f>
        <v>2584.21</v>
      </c>
      <c r="DO199" s="6"/>
      <c r="DP199" s="7">
        <f>ROUND(5765.22,2)</f>
        <v>5765.22</v>
      </c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7">
        <f>ROUND(2215.48,2)</f>
        <v>2215.48</v>
      </c>
      <c r="EE199" s="6"/>
      <c r="EF199" s="7">
        <f>ROUND(857.079999999999,2)</f>
        <v>857.08</v>
      </c>
      <c r="EG199" s="7">
        <f>ROUND(277.74,2)</f>
        <v>277.74</v>
      </c>
      <c r="EH199" s="6"/>
      <c r="EI199" s="6"/>
      <c r="EJ199" s="6"/>
      <c r="EK199" s="7">
        <f>ROUND(1283.6,2)</f>
        <v>1283.5999999999999</v>
      </c>
      <c r="EL199" s="6"/>
      <c r="EM199" s="6"/>
      <c r="EN199" s="7">
        <f>ROUND(256.72,2)</f>
        <v>256.72000000000003</v>
      </c>
      <c r="EO199" s="6"/>
      <c r="EP199" s="6"/>
      <c r="EQ199" s="6"/>
      <c r="ER199" s="6"/>
      <c r="ES199" s="6"/>
      <c r="ET199" s="6"/>
      <c r="EU199" s="6"/>
      <c r="EV199" s="7">
        <f>ROUND(458.33,2)</f>
        <v>458.33</v>
      </c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7">
        <f>ROUND(1075,2)</f>
        <v>1075</v>
      </c>
      <c r="FK199" s="6"/>
      <c r="FL199" s="6"/>
      <c r="FM199" s="6"/>
      <c r="FN199" s="6"/>
      <c r="FO199" s="6"/>
      <c r="FP199" s="6"/>
      <c r="FQ199" s="6"/>
      <c r="FR199" s="6"/>
      <c r="FS199" s="6"/>
      <c r="FT199" s="7">
        <f>ROUND(3000,2)</f>
        <v>3000</v>
      </c>
      <c r="FU199" s="6"/>
      <c r="FV199" s="6"/>
      <c r="FW199" s="6"/>
      <c r="FX199" s="6"/>
      <c r="FY199" s="7">
        <f>ROUND(91722.2499999999,2)</f>
        <v>91722.25</v>
      </c>
    </row>
    <row r="200" spans="1:181" x14ac:dyDescent="0.3">
      <c r="A200" s="4" t="s">
        <v>416</v>
      </c>
      <c r="B200" s="5" t="s">
        <v>1029</v>
      </c>
      <c r="C200" s="5" t="s">
        <v>181</v>
      </c>
      <c r="D200" s="5" t="s">
        <v>417</v>
      </c>
      <c r="E200" s="5" t="s">
        <v>418</v>
      </c>
      <c r="F200" s="5" t="s">
        <v>0</v>
      </c>
      <c r="G200" s="5" t="s">
        <v>183</v>
      </c>
      <c r="H200" s="8">
        <v>32.090000000000003</v>
      </c>
      <c r="I200" s="7">
        <f>ROUND(6418,2)</f>
        <v>6418</v>
      </c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7">
        <f>ROUND(200,2)</f>
        <v>200</v>
      </c>
      <c r="BT200" s="6"/>
      <c r="BU200" s="6"/>
      <c r="BV200" s="6"/>
      <c r="BW200" s="7">
        <f>ROUND(16,2)</f>
        <v>16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7">
        <f>ROUND(200,2)</f>
        <v>200</v>
      </c>
      <c r="CQ200" s="7">
        <f>ROUND(416,2)</f>
        <v>416</v>
      </c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7">
        <f>ROUND(6418,2)</f>
        <v>6418</v>
      </c>
      <c r="FY200" s="7">
        <f>ROUND(6418,2)</f>
        <v>6418</v>
      </c>
    </row>
    <row r="201" spans="1:181" x14ac:dyDescent="0.3">
      <c r="A201" s="4" t="s">
        <v>419</v>
      </c>
      <c r="B201" s="5" t="s">
        <v>1029</v>
      </c>
      <c r="C201" s="5" t="s">
        <v>181</v>
      </c>
      <c r="D201" s="5" t="s">
        <v>420</v>
      </c>
      <c r="E201" s="5" t="s">
        <v>0</v>
      </c>
      <c r="F201" s="5" t="s">
        <v>0</v>
      </c>
      <c r="G201" s="5" t="s">
        <v>183</v>
      </c>
      <c r="H201" s="8">
        <v>33.380000000000003</v>
      </c>
      <c r="I201" s="7">
        <f>ROUND(35831.73,2)</f>
        <v>35831.730000000003</v>
      </c>
      <c r="J201" s="6"/>
      <c r="K201" s="6"/>
      <c r="L201" s="6"/>
      <c r="M201" s="6"/>
      <c r="N201" s="7">
        <f>ROUND(400.84,2)</f>
        <v>400.84</v>
      </c>
      <c r="O201" s="6"/>
      <c r="P201" s="6"/>
      <c r="Q201" s="7">
        <f>ROUND(103.589999999999,2)</f>
        <v>103.59</v>
      </c>
      <c r="R201" s="6"/>
      <c r="S201" s="6"/>
      <c r="T201" s="6"/>
      <c r="U201" s="6"/>
      <c r="V201" s="6"/>
      <c r="W201" s="7">
        <f>ROUND(10.67,2)</f>
        <v>10.67</v>
      </c>
      <c r="X201" s="6"/>
      <c r="Y201" s="7">
        <f>ROUND(1.17,2)</f>
        <v>1.17</v>
      </c>
      <c r="Z201" s="6"/>
      <c r="AA201" s="6"/>
      <c r="AB201" s="6"/>
      <c r="AC201" s="6"/>
      <c r="AD201" s="6"/>
      <c r="AE201" s="7">
        <f>ROUND(35.75,2)</f>
        <v>35.75</v>
      </c>
      <c r="AF201" s="6"/>
      <c r="AG201" s="7">
        <f>ROUND(10.5,2)</f>
        <v>10.5</v>
      </c>
      <c r="AH201" s="6"/>
      <c r="AI201" s="6"/>
      <c r="AJ201" s="6"/>
      <c r="AK201" s="6"/>
      <c r="AL201" s="6"/>
      <c r="AM201" s="6"/>
      <c r="AN201" s="6"/>
      <c r="AO201" s="6"/>
      <c r="AP201" s="7">
        <f>ROUND(174.38,2)</f>
        <v>174.38</v>
      </c>
      <c r="AQ201" s="6"/>
      <c r="AR201" s="7">
        <f>ROUND(5.31,2)</f>
        <v>5.31</v>
      </c>
      <c r="AS201" s="6"/>
      <c r="AT201" s="6"/>
      <c r="AU201" s="7">
        <f>ROUND(28,2)</f>
        <v>28</v>
      </c>
      <c r="AV201" s="6"/>
      <c r="AW201" s="7">
        <f>ROUND(34,2)</f>
        <v>34</v>
      </c>
      <c r="AX201" s="6"/>
      <c r="AY201" s="7">
        <f>ROUND(34,2)</f>
        <v>34</v>
      </c>
      <c r="AZ201" s="6"/>
      <c r="BA201" s="6"/>
      <c r="BB201" s="7">
        <f>ROUND(50,2)</f>
        <v>50</v>
      </c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7">
        <f>ROUND(15,2)</f>
        <v>15</v>
      </c>
      <c r="BP201" s="6"/>
      <c r="BQ201" s="7">
        <f>ROUND(6.08,2)</f>
        <v>6.08</v>
      </c>
      <c r="BR201" s="7">
        <f>ROUND(5.67,2)</f>
        <v>5.67</v>
      </c>
      <c r="BS201" s="7">
        <f>ROUND(185.6,2)</f>
        <v>185.6</v>
      </c>
      <c r="BT201" s="7">
        <f>ROUND(15.9,2)</f>
        <v>15.9</v>
      </c>
      <c r="BU201" s="6"/>
      <c r="BV201" s="6"/>
      <c r="BW201" s="7">
        <f>ROUND(40,2)</f>
        <v>40</v>
      </c>
      <c r="BX201" s="6"/>
      <c r="BY201" s="6"/>
      <c r="BZ201" s="6"/>
      <c r="CA201" s="7">
        <f>ROUND(130,2)</f>
        <v>130</v>
      </c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7">
        <f>ROUND(8,2)</f>
        <v>8</v>
      </c>
      <c r="CQ201" s="7">
        <f>ROUND(1294.46,2)</f>
        <v>1294.46</v>
      </c>
      <c r="CR201" s="6"/>
      <c r="CS201" s="6"/>
      <c r="CT201" s="6"/>
      <c r="CU201" s="6"/>
      <c r="CV201" s="7">
        <f>ROUND(13302.7299999999,2)</f>
        <v>13302.73</v>
      </c>
      <c r="CW201" s="6"/>
      <c r="CX201" s="6"/>
      <c r="CY201" s="7">
        <f>ROUND(5145.24,2)</f>
        <v>5145.24</v>
      </c>
      <c r="CZ201" s="6"/>
      <c r="DA201" s="6"/>
      <c r="DB201" s="6"/>
      <c r="DC201" s="6"/>
      <c r="DD201" s="6"/>
      <c r="DE201" s="7">
        <f>ROUND(530.02,2)</f>
        <v>530.02</v>
      </c>
      <c r="DF201" s="6"/>
      <c r="DG201" s="7">
        <f>ROUND(58.01,2)</f>
        <v>58.01</v>
      </c>
      <c r="DH201" s="6"/>
      <c r="DI201" s="6"/>
      <c r="DJ201" s="6"/>
      <c r="DK201" s="6"/>
      <c r="DL201" s="6"/>
      <c r="DM201" s="6"/>
      <c r="DN201" s="7">
        <f>ROUND(1189.84,2)</f>
        <v>1189.8399999999999</v>
      </c>
      <c r="DO201" s="6"/>
      <c r="DP201" s="7">
        <f>ROUND(520.54,2)</f>
        <v>520.54</v>
      </c>
      <c r="DQ201" s="6"/>
      <c r="DR201" s="6"/>
      <c r="DS201" s="6"/>
      <c r="DT201" s="6"/>
      <c r="DU201" s="6"/>
      <c r="DV201" s="6"/>
      <c r="DW201" s="6"/>
      <c r="DX201" s="6"/>
      <c r="DY201" s="7">
        <f>ROUND(5747.19,2)</f>
        <v>5747.19</v>
      </c>
      <c r="DZ201" s="6"/>
      <c r="EA201" s="7">
        <f>ROUND(263.24,2)</f>
        <v>263.24</v>
      </c>
      <c r="EB201" s="6"/>
      <c r="EC201" s="6"/>
      <c r="ED201" s="7">
        <f>ROUND(928.7,2)</f>
        <v>928.7</v>
      </c>
      <c r="EE201" s="6"/>
      <c r="EF201" s="7">
        <f>ROUND(1123.69999999999,2)</f>
        <v>1123.7</v>
      </c>
      <c r="EG201" s="6"/>
      <c r="EH201" s="7">
        <f>ROUND(1123.69999999999,2)</f>
        <v>1123.7</v>
      </c>
      <c r="EI201" s="6"/>
      <c r="EJ201" s="6"/>
      <c r="EK201" s="7">
        <f>ROUND(1652.5,2)</f>
        <v>1652.5</v>
      </c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7">
        <f>ROUND(497.25,2)</f>
        <v>497.25</v>
      </c>
      <c r="FC201" s="6"/>
      <c r="FD201" s="7">
        <f>ROUND(200.94,2)</f>
        <v>200.94</v>
      </c>
      <c r="FE201" s="7">
        <f>ROUND(281.09,2)</f>
        <v>281.08999999999997</v>
      </c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7">
        <f>ROUND(3000,2)</f>
        <v>3000</v>
      </c>
      <c r="FU201" s="6"/>
      <c r="FV201" s="6"/>
      <c r="FW201" s="6"/>
      <c r="FX201" s="7">
        <f>ROUND(267.04,2)</f>
        <v>267.04000000000002</v>
      </c>
      <c r="FY201" s="7">
        <f>ROUND(35831.73,2)</f>
        <v>35831.730000000003</v>
      </c>
    </row>
    <row r="202" spans="1:181" x14ac:dyDescent="0.3">
      <c r="A202" s="4" t="s">
        <v>421</v>
      </c>
      <c r="B202" s="5" t="s">
        <v>1029</v>
      </c>
      <c r="C202" s="5" t="s">
        <v>181</v>
      </c>
      <c r="D202" s="5" t="s">
        <v>422</v>
      </c>
      <c r="E202" s="5" t="s">
        <v>0</v>
      </c>
      <c r="F202" s="5" t="s">
        <v>254</v>
      </c>
      <c r="G202" s="5" t="s">
        <v>183</v>
      </c>
      <c r="H202" s="9">
        <v>33.04</v>
      </c>
      <c r="I202" s="7">
        <f>ROUND(41992.52,2)</f>
        <v>41992.52</v>
      </c>
      <c r="J202" s="6"/>
      <c r="K202" s="6"/>
      <c r="L202" s="6"/>
      <c r="M202" s="6"/>
      <c r="N202" s="7">
        <f>ROUND(1371.93999999999,2)</f>
        <v>1371.94</v>
      </c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7">
        <f>ROUND(6,2)</f>
        <v>6</v>
      </c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7">
        <f>ROUND(40,2)</f>
        <v>40</v>
      </c>
      <c r="AV202" s="6"/>
      <c r="AW202" s="6"/>
      <c r="AX202" s="6"/>
      <c r="AY202" s="6"/>
      <c r="AZ202" s="6"/>
      <c r="BA202" s="6"/>
      <c r="BB202" s="7">
        <f>ROUND(15,2)</f>
        <v>15</v>
      </c>
      <c r="BC202" s="6"/>
      <c r="BD202" s="7">
        <f t="shared" ref="BD202:BD208" si="12">ROUND(8,2)</f>
        <v>8</v>
      </c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7">
        <f>ROUND(10.73,2)</f>
        <v>10.73</v>
      </c>
      <c r="BR202" s="6"/>
      <c r="BS202" s="6"/>
      <c r="BT202" s="7">
        <f>ROUND(0.15,2)</f>
        <v>0.15</v>
      </c>
      <c r="BU202" s="6"/>
      <c r="BV202" s="6"/>
      <c r="BW202" s="6"/>
      <c r="BX202" s="6"/>
      <c r="BY202" s="7">
        <f>ROUND(5,2)</f>
        <v>5</v>
      </c>
      <c r="BZ202" s="7">
        <f>ROUND(15,2)</f>
        <v>15</v>
      </c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7">
        <f>ROUND(1471.81999999999,2)</f>
        <v>1471.82</v>
      </c>
      <c r="CR202" s="6"/>
      <c r="CS202" s="6"/>
      <c r="CT202" s="6"/>
      <c r="CU202" s="6"/>
      <c r="CV202" s="7">
        <f>ROUND(37754.97,2)</f>
        <v>37754.97</v>
      </c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7">
        <f>ROUND(154.02,2)</f>
        <v>154.02000000000001</v>
      </c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7">
        <f>ROUND(1068.5,2)</f>
        <v>1068.5</v>
      </c>
      <c r="EE202" s="6"/>
      <c r="EF202" s="6"/>
      <c r="EG202" s="6"/>
      <c r="EH202" s="6"/>
      <c r="EI202" s="6"/>
      <c r="EJ202" s="6"/>
      <c r="EK202" s="7">
        <f>ROUND(421.349999999999,2)</f>
        <v>421.35</v>
      </c>
      <c r="EL202" s="6"/>
      <c r="EM202" s="6"/>
      <c r="EN202" s="7">
        <f>ROUND(218.24,2)</f>
        <v>218.24</v>
      </c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7">
        <f>ROUND(275.44,2)</f>
        <v>275.44</v>
      </c>
      <c r="FE202" s="6"/>
      <c r="FF202" s="6"/>
      <c r="FG202" s="6"/>
      <c r="FH202" s="6"/>
      <c r="FI202" s="6"/>
      <c r="FJ202" s="7">
        <f>ROUND(600,2)</f>
        <v>600</v>
      </c>
      <c r="FK202" s="6"/>
      <c r="FL202" s="6"/>
      <c r="FM202" s="6"/>
      <c r="FN202" s="6"/>
      <c r="FO202" s="6"/>
      <c r="FP202" s="6"/>
      <c r="FQ202" s="6"/>
      <c r="FR202" s="6"/>
      <c r="FS202" s="6"/>
      <c r="FT202" s="7">
        <f>ROUND(1500,2)</f>
        <v>1500</v>
      </c>
      <c r="FU202" s="6"/>
      <c r="FV202" s="6"/>
      <c r="FW202" s="6"/>
      <c r="FX202" s="6"/>
      <c r="FY202" s="7">
        <f>ROUND(41992.52,2)</f>
        <v>41992.52</v>
      </c>
    </row>
    <row r="203" spans="1:181" x14ac:dyDescent="0.3">
      <c r="A203" s="4" t="s">
        <v>423</v>
      </c>
      <c r="B203" s="5" t="s">
        <v>1029</v>
      </c>
      <c r="C203" s="5" t="s">
        <v>181</v>
      </c>
      <c r="D203" s="5" t="s">
        <v>424</v>
      </c>
      <c r="E203" s="5" t="s">
        <v>0</v>
      </c>
      <c r="F203" s="5" t="s">
        <v>0</v>
      </c>
      <c r="G203" s="5" t="s">
        <v>183</v>
      </c>
      <c r="H203" s="9">
        <v>31.71</v>
      </c>
      <c r="I203" s="7">
        <f>ROUND(89233.33,2)</f>
        <v>89233.33</v>
      </c>
      <c r="J203" s="6"/>
      <c r="K203" s="6"/>
      <c r="L203" s="6"/>
      <c r="M203" s="6"/>
      <c r="N203" s="7">
        <f>ROUND(1200.02999999999,2)</f>
        <v>1200.03</v>
      </c>
      <c r="O203" s="6"/>
      <c r="P203" s="6"/>
      <c r="Q203" s="7">
        <f>ROUND(288.469999999999,2)</f>
        <v>288.47000000000003</v>
      </c>
      <c r="R203" s="6"/>
      <c r="S203" s="6"/>
      <c r="T203" s="6"/>
      <c r="U203" s="6"/>
      <c r="V203" s="7">
        <f>ROUND(3.38,2)</f>
        <v>3.38</v>
      </c>
      <c r="W203" s="7">
        <f>ROUND(18.41,2)</f>
        <v>18.41</v>
      </c>
      <c r="X203" s="7">
        <f>ROUND(0.88,2)</f>
        <v>0.88</v>
      </c>
      <c r="Y203" s="7">
        <f>ROUND(0.67,2)</f>
        <v>0.67</v>
      </c>
      <c r="Z203" s="6"/>
      <c r="AA203" s="6"/>
      <c r="AB203" s="6"/>
      <c r="AC203" s="6"/>
      <c r="AD203" s="6"/>
      <c r="AE203" s="7">
        <f>ROUND(189.399999999999,2)</f>
        <v>189.4</v>
      </c>
      <c r="AF203" s="6"/>
      <c r="AG203" s="7">
        <f>ROUND(67.6199999999999,2)</f>
        <v>67.62</v>
      </c>
      <c r="AH203" s="6"/>
      <c r="AI203" s="6"/>
      <c r="AJ203" s="6"/>
      <c r="AK203" s="6"/>
      <c r="AL203" s="6"/>
      <c r="AM203" s="6"/>
      <c r="AN203" s="6"/>
      <c r="AO203" s="6"/>
      <c r="AP203" s="7">
        <f>ROUND(553.17,2)</f>
        <v>553.16999999999996</v>
      </c>
      <c r="AQ203" s="6"/>
      <c r="AR203" s="7">
        <f>ROUND(105.08,2)</f>
        <v>105.08</v>
      </c>
      <c r="AS203" s="6"/>
      <c r="AT203" s="6"/>
      <c r="AU203" s="7">
        <f>ROUND(72,2)</f>
        <v>72</v>
      </c>
      <c r="AV203" s="6"/>
      <c r="AW203" s="7">
        <f>ROUND(40,2)</f>
        <v>40</v>
      </c>
      <c r="AX203" s="6"/>
      <c r="AY203" s="7">
        <f>ROUND(40,2)</f>
        <v>40</v>
      </c>
      <c r="AZ203" s="6"/>
      <c r="BA203" s="6"/>
      <c r="BB203" s="6"/>
      <c r="BC203" s="6"/>
      <c r="BD203" s="7">
        <f t="shared" si="12"/>
        <v>8</v>
      </c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7">
        <f>ROUND(23,2)</f>
        <v>23</v>
      </c>
      <c r="BP203" s="6"/>
      <c r="BQ203" s="7">
        <f>ROUND(2.12,2)</f>
        <v>2.12</v>
      </c>
      <c r="BR203" s="7">
        <f>ROUND(9,2)</f>
        <v>9</v>
      </c>
      <c r="BS203" s="6"/>
      <c r="BT203" s="7">
        <f>ROUND(0.65,2)</f>
        <v>0.65</v>
      </c>
      <c r="BU203" s="6"/>
      <c r="BV203" s="6"/>
      <c r="BW203" s="6"/>
      <c r="BX203" s="6"/>
      <c r="BY203" s="6"/>
      <c r="BZ203" s="6"/>
      <c r="CA203" s="7">
        <f>ROUND(6.33,2)</f>
        <v>6.33</v>
      </c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7">
        <f>ROUND(2628.20999999999,2)</f>
        <v>2628.21</v>
      </c>
      <c r="CR203" s="6"/>
      <c r="CS203" s="6"/>
      <c r="CT203" s="6"/>
      <c r="CU203" s="6"/>
      <c r="CV203" s="7">
        <f>ROUND(35533.1,2)</f>
        <v>35533.1</v>
      </c>
      <c r="CW203" s="6"/>
      <c r="CX203" s="6"/>
      <c r="CY203" s="7">
        <f>ROUND(13098.23,2)</f>
        <v>13098.23</v>
      </c>
      <c r="CZ203" s="6"/>
      <c r="DA203" s="6"/>
      <c r="DB203" s="6"/>
      <c r="DC203" s="6"/>
      <c r="DD203" s="7">
        <f>ROUND(97.61,2)</f>
        <v>97.61</v>
      </c>
      <c r="DE203" s="7">
        <f>ROUND(819.77,2)</f>
        <v>819.77</v>
      </c>
      <c r="DF203" s="7">
        <f>ROUND(25.41,2)</f>
        <v>25.41</v>
      </c>
      <c r="DG203" s="7">
        <f>ROUND(29.02,2)</f>
        <v>29.02</v>
      </c>
      <c r="DH203" s="6"/>
      <c r="DI203" s="6"/>
      <c r="DJ203" s="6"/>
      <c r="DK203" s="6"/>
      <c r="DL203" s="6"/>
      <c r="DM203" s="6"/>
      <c r="DN203" s="7">
        <f>ROUND(5513.84,2)</f>
        <v>5513.84</v>
      </c>
      <c r="DO203" s="6"/>
      <c r="DP203" s="7">
        <f>ROUND(2967.68999999999,2)</f>
        <v>2967.69</v>
      </c>
      <c r="DQ203" s="6"/>
      <c r="DR203" s="6"/>
      <c r="DS203" s="6"/>
      <c r="DT203" s="6"/>
      <c r="DU203" s="6"/>
      <c r="DV203" s="6"/>
      <c r="DW203" s="6"/>
      <c r="DX203" s="6"/>
      <c r="DY203" s="7">
        <f>ROUND(16123.7099999999,2)</f>
        <v>16123.71</v>
      </c>
      <c r="DZ203" s="6"/>
      <c r="EA203" s="7">
        <f>ROUND(4694.7,2)</f>
        <v>4694.7</v>
      </c>
      <c r="EB203" s="6"/>
      <c r="EC203" s="6"/>
      <c r="ED203" s="7">
        <f>ROUND(2112.22,2)</f>
        <v>2112.2199999999998</v>
      </c>
      <c r="EE203" s="6"/>
      <c r="EF203" s="7">
        <f>ROUND(1169.92,2)</f>
        <v>1169.92</v>
      </c>
      <c r="EG203" s="6"/>
      <c r="EH203" s="7">
        <f>ROUND(1242.8,2)</f>
        <v>1242.8</v>
      </c>
      <c r="EI203" s="6"/>
      <c r="EJ203" s="6"/>
      <c r="EK203" s="6"/>
      <c r="EL203" s="6"/>
      <c r="EM203" s="6"/>
      <c r="EN203" s="7">
        <f>ROUND(231.04,2)</f>
        <v>231.04</v>
      </c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7">
        <f>ROUND(692.54,2)</f>
        <v>692.54</v>
      </c>
      <c r="FC203" s="6"/>
      <c r="FD203" s="7">
        <f>ROUND(57.83,2)</f>
        <v>57.83</v>
      </c>
      <c r="FE203" s="7">
        <f>ROUND(423.9,2)</f>
        <v>423.9</v>
      </c>
      <c r="FF203" s="6"/>
      <c r="FG203" s="6"/>
      <c r="FH203" s="6"/>
      <c r="FI203" s="6"/>
      <c r="FJ203" s="7">
        <f>ROUND(1400,2)</f>
        <v>1400</v>
      </c>
      <c r="FK203" s="6"/>
      <c r="FL203" s="6"/>
      <c r="FM203" s="6"/>
      <c r="FN203" s="6"/>
      <c r="FO203" s="6"/>
      <c r="FP203" s="6"/>
      <c r="FQ203" s="6"/>
      <c r="FR203" s="6"/>
      <c r="FS203" s="6"/>
      <c r="FT203" s="7">
        <f t="shared" ref="FT203:FT208" si="13">ROUND(3000,2)</f>
        <v>3000</v>
      </c>
      <c r="FU203" s="6"/>
      <c r="FV203" s="6"/>
      <c r="FW203" s="6"/>
      <c r="FX203" s="6"/>
      <c r="FY203" s="7">
        <f>ROUND(89233.33,2)</f>
        <v>89233.33</v>
      </c>
    </row>
    <row r="204" spans="1:181" x14ac:dyDescent="0.3">
      <c r="A204" s="4" t="s">
        <v>436</v>
      </c>
      <c r="B204" s="5" t="s">
        <v>1029</v>
      </c>
      <c r="C204" s="5" t="s">
        <v>181</v>
      </c>
      <c r="D204" s="5" t="s">
        <v>437</v>
      </c>
      <c r="E204" s="5" t="s">
        <v>0</v>
      </c>
      <c r="F204" s="5" t="s">
        <v>0</v>
      </c>
      <c r="G204" s="5" t="s">
        <v>183</v>
      </c>
      <c r="H204" s="8">
        <v>34.04</v>
      </c>
      <c r="I204" s="7">
        <f>ROUND(83272.5799999999,2)</f>
        <v>83272.58</v>
      </c>
      <c r="J204" s="6"/>
      <c r="K204" s="6"/>
      <c r="L204" s="6"/>
      <c r="M204" s="6"/>
      <c r="N204" s="7">
        <f>ROUND(1833,2)</f>
        <v>1833</v>
      </c>
      <c r="O204" s="6"/>
      <c r="P204" s="6"/>
      <c r="Q204" s="7">
        <f>ROUND(171.499999999999,2)</f>
        <v>171.5</v>
      </c>
      <c r="R204" s="6"/>
      <c r="S204" s="6"/>
      <c r="T204" s="6"/>
      <c r="U204" s="7">
        <f>ROUND(0.33,2)</f>
        <v>0.33</v>
      </c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7">
        <f>ROUND(56,2)</f>
        <v>56</v>
      </c>
      <c r="AV204" s="6"/>
      <c r="AW204" s="7">
        <f>ROUND(32,2)</f>
        <v>32</v>
      </c>
      <c r="AX204" s="6"/>
      <c r="AY204" s="7">
        <f>ROUND(56,2)</f>
        <v>56</v>
      </c>
      <c r="AZ204" s="6"/>
      <c r="BA204" s="6"/>
      <c r="BB204" s="7">
        <f>ROUND(40,2)</f>
        <v>40</v>
      </c>
      <c r="BC204" s="6"/>
      <c r="BD204" s="7">
        <f t="shared" si="12"/>
        <v>8</v>
      </c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7">
        <f>ROUND(1.1,2)</f>
        <v>1.1000000000000001</v>
      </c>
      <c r="BU204" s="6"/>
      <c r="BV204" s="6"/>
      <c r="BW204" s="7">
        <f>ROUND(8,2)</f>
        <v>8</v>
      </c>
      <c r="BX204" s="7">
        <f>ROUND(96,2)</f>
        <v>96</v>
      </c>
      <c r="BY204" s="6"/>
      <c r="BZ204" s="6"/>
      <c r="CA204" s="7">
        <f>ROUND(32,2)</f>
        <v>32</v>
      </c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7">
        <f>ROUND(152,2)</f>
        <v>152</v>
      </c>
      <c r="CQ204" s="7">
        <f>ROUND(2485.93,2)</f>
        <v>2485.9299999999998</v>
      </c>
      <c r="CR204" s="6"/>
      <c r="CS204" s="6"/>
      <c r="CT204" s="6"/>
      <c r="CU204" s="6"/>
      <c r="CV204" s="7">
        <f>ROUND(59784.4799999999,2)</f>
        <v>59784.480000000003</v>
      </c>
      <c r="CW204" s="6"/>
      <c r="CX204" s="6"/>
      <c r="CY204" s="7">
        <f>ROUND(8400.6,2)</f>
        <v>8400.6</v>
      </c>
      <c r="CZ204" s="6"/>
      <c r="DA204" s="6"/>
      <c r="DB204" s="6"/>
      <c r="DC204" s="7">
        <f>ROUND(21.18,2)</f>
        <v>21.18</v>
      </c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7">
        <f>ROUND(1828,2)</f>
        <v>1828</v>
      </c>
      <c r="EE204" s="6"/>
      <c r="EF204" s="7">
        <f>ROUND(1026.88,2)</f>
        <v>1026.8800000000001</v>
      </c>
      <c r="EG204" s="6"/>
      <c r="EH204" s="7">
        <f>ROUND(1797.04,2)</f>
        <v>1797.04</v>
      </c>
      <c r="EI204" s="6"/>
      <c r="EJ204" s="6"/>
      <c r="EK204" s="7">
        <f>ROUND(1283.6,2)</f>
        <v>1283.5999999999999</v>
      </c>
      <c r="EL204" s="6"/>
      <c r="EM204" s="6"/>
      <c r="EN204" s="7">
        <f>ROUND(256.72,2)</f>
        <v>256.72000000000003</v>
      </c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7">
        <f>ROUND(700,2)</f>
        <v>700</v>
      </c>
      <c r="FK204" s="6"/>
      <c r="FL204" s="6"/>
      <c r="FM204" s="6"/>
      <c r="FN204" s="6"/>
      <c r="FO204" s="6"/>
      <c r="FP204" s="6"/>
      <c r="FQ204" s="6"/>
      <c r="FR204" s="6"/>
      <c r="FS204" s="6"/>
      <c r="FT204" s="7">
        <f t="shared" si="13"/>
        <v>3000</v>
      </c>
      <c r="FU204" s="6"/>
      <c r="FV204" s="6"/>
      <c r="FW204" s="6"/>
      <c r="FX204" s="7">
        <f>ROUND(5174.08,2)</f>
        <v>5174.08</v>
      </c>
      <c r="FY204" s="7">
        <f>ROUND(83272.5799999999,2)</f>
        <v>83272.58</v>
      </c>
    </row>
    <row r="205" spans="1:181" x14ac:dyDescent="0.3">
      <c r="A205" s="4" t="s">
        <v>438</v>
      </c>
      <c r="B205" s="5" t="s">
        <v>1029</v>
      </c>
      <c r="C205" s="5" t="s">
        <v>181</v>
      </c>
      <c r="D205" s="5" t="s">
        <v>439</v>
      </c>
      <c r="E205" s="5" t="s">
        <v>0</v>
      </c>
      <c r="F205" s="5" t="s">
        <v>0</v>
      </c>
      <c r="G205" s="5" t="s">
        <v>183</v>
      </c>
      <c r="H205" s="8">
        <v>33.880000000000003</v>
      </c>
      <c r="I205" s="7">
        <f>ROUND(77142.44,2)</f>
        <v>77142.44</v>
      </c>
      <c r="J205" s="6"/>
      <c r="K205" s="6"/>
      <c r="L205" s="6"/>
      <c r="M205" s="6"/>
      <c r="N205" s="7">
        <f>ROUND(1342.04,2)</f>
        <v>1342.04</v>
      </c>
      <c r="O205" s="6"/>
      <c r="P205" s="6"/>
      <c r="Q205" s="7">
        <f>ROUND(67.77,2)</f>
        <v>67.77</v>
      </c>
      <c r="R205" s="6"/>
      <c r="S205" s="6"/>
      <c r="T205" s="6"/>
      <c r="U205" s="6"/>
      <c r="V205" s="7">
        <f>ROUND(5,2)</f>
        <v>5</v>
      </c>
      <c r="W205" s="6"/>
      <c r="X205" s="7">
        <f>ROUND(1.89,2)</f>
        <v>1.89</v>
      </c>
      <c r="Y205" s="7">
        <f>ROUND(0.27,2)</f>
        <v>0.27</v>
      </c>
      <c r="Z205" s="6"/>
      <c r="AA205" s="6"/>
      <c r="AB205" s="6"/>
      <c r="AC205" s="6"/>
      <c r="AD205" s="6"/>
      <c r="AE205" s="7">
        <f>ROUND(405.75,2)</f>
        <v>405.75</v>
      </c>
      <c r="AF205" s="6"/>
      <c r="AG205" s="7">
        <f>ROUND(88.66,2)</f>
        <v>88.66</v>
      </c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7">
        <f>ROUND(52,2)</f>
        <v>52</v>
      </c>
      <c r="AV205" s="6"/>
      <c r="AW205" s="7">
        <f>ROUND(26.72,2)</f>
        <v>26.72</v>
      </c>
      <c r="AX205" s="7">
        <f>ROUND(5.28,2)</f>
        <v>5.28</v>
      </c>
      <c r="AY205" s="7">
        <f>ROUND(77.82,2)</f>
        <v>77.819999999999993</v>
      </c>
      <c r="AZ205" s="7">
        <f>ROUND(10.18,2)</f>
        <v>10.18</v>
      </c>
      <c r="BA205" s="6"/>
      <c r="BB205" s="7">
        <f>ROUND(32,2)</f>
        <v>32</v>
      </c>
      <c r="BC205" s="6"/>
      <c r="BD205" s="7">
        <f t="shared" si="12"/>
        <v>8</v>
      </c>
      <c r="BE205" s="7">
        <f>ROUND(4.97,2)</f>
        <v>4.97</v>
      </c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7">
        <f>ROUND(88,2)</f>
        <v>88</v>
      </c>
      <c r="BT205" s="7">
        <f>ROUND(11.6,2)</f>
        <v>11.6</v>
      </c>
      <c r="BU205" s="7">
        <f>ROUND(40,2)</f>
        <v>40</v>
      </c>
      <c r="BV205" s="6"/>
      <c r="BW205" s="7">
        <f>ROUND(16,2)</f>
        <v>16</v>
      </c>
      <c r="BX205" s="6"/>
      <c r="BY205" s="7">
        <f>ROUND(8,2)</f>
        <v>8</v>
      </c>
      <c r="BZ205" s="6"/>
      <c r="CA205" s="6"/>
      <c r="CB205" s="6"/>
      <c r="CC205" s="7">
        <f>ROUND(72,2)</f>
        <v>72</v>
      </c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7">
        <f>ROUND(8,2)</f>
        <v>8</v>
      </c>
      <c r="CQ205" s="7">
        <f>ROUND(2371.95,2)</f>
        <v>2371.9499999999998</v>
      </c>
      <c r="CR205" s="6"/>
      <c r="CS205" s="6"/>
      <c r="CT205" s="6"/>
      <c r="CU205" s="6"/>
      <c r="CV205" s="7">
        <f>ROUND(43448.2899999999,2)</f>
        <v>43448.29</v>
      </c>
      <c r="CW205" s="6"/>
      <c r="CX205" s="6"/>
      <c r="CY205" s="7">
        <f>ROUND(3302.57999999999,2)</f>
        <v>3302.58</v>
      </c>
      <c r="CZ205" s="6"/>
      <c r="DA205" s="6"/>
      <c r="DB205" s="6"/>
      <c r="DC205" s="6"/>
      <c r="DD205" s="7">
        <f>ROUND(160.45,2)</f>
        <v>160.44999999999999</v>
      </c>
      <c r="DE205" s="6"/>
      <c r="DF205" s="7">
        <f>ROUND(60.64,2)</f>
        <v>60.64</v>
      </c>
      <c r="DG205" s="7">
        <f>ROUND(13,2)</f>
        <v>13</v>
      </c>
      <c r="DH205" s="6"/>
      <c r="DI205" s="6"/>
      <c r="DJ205" s="6"/>
      <c r="DK205" s="6"/>
      <c r="DL205" s="6"/>
      <c r="DM205" s="6"/>
      <c r="DN205" s="7">
        <f>ROUND(13470.42,2)</f>
        <v>13470.42</v>
      </c>
      <c r="DO205" s="6"/>
      <c r="DP205" s="7">
        <f>ROUND(4410.38,2)</f>
        <v>4410.38</v>
      </c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7">
        <f>ROUND(1690.67999999999,2)</f>
        <v>1690.68</v>
      </c>
      <c r="EE205" s="6"/>
      <c r="EF205" s="7">
        <f>ROUND(865.13,2)</f>
        <v>865.13</v>
      </c>
      <c r="EG205" s="7">
        <f>ROUND(254.15,2)</f>
        <v>254.15</v>
      </c>
      <c r="EH205" s="7">
        <f>ROUND(2559.41,2)</f>
        <v>2559.41</v>
      </c>
      <c r="EI205" s="7">
        <f>ROUND(500.46,2)</f>
        <v>500.46</v>
      </c>
      <c r="EJ205" s="6"/>
      <c r="EK205" s="7">
        <f>ROUND(1034.56,2)</f>
        <v>1034.56</v>
      </c>
      <c r="EL205" s="6"/>
      <c r="EM205" s="6"/>
      <c r="EN205" s="7">
        <f>ROUND(256.72,2)</f>
        <v>256.72000000000003</v>
      </c>
      <c r="EO205" s="7">
        <f>ROUND(160.93,2)</f>
        <v>160.93</v>
      </c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7">
        <f>ROUND(1283.6,2)</f>
        <v>1283.5999999999999</v>
      </c>
      <c r="FG205" s="6"/>
      <c r="FH205" s="6"/>
      <c r="FI205" s="6"/>
      <c r="FJ205" s="7">
        <f>ROUND(400,2)</f>
        <v>400</v>
      </c>
      <c r="FK205" s="6"/>
      <c r="FL205" s="6"/>
      <c r="FM205" s="6"/>
      <c r="FN205" s="6"/>
      <c r="FO205" s="6"/>
      <c r="FP205" s="6"/>
      <c r="FQ205" s="6"/>
      <c r="FR205" s="6"/>
      <c r="FS205" s="6"/>
      <c r="FT205" s="7">
        <f t="shared" si="13"/>
        <v>3000</v>
      </c>
      <c r="FU205" s="6"/>
      <c r="FV205" s="6"/>
      <c r="FW205" s="6"/>
      <c r="FX205" s="7">
        <f>ROUND(271.04,2)</f>
        <v>271.04000000000002</v>
      </c>
      <c r="FY205" s="7">
        <f>ROUND(77142.44,2)</f>
        <v>77142.44</v>
      </c>
    </row>
    <row r="206" spans="1:181" x14ac:dyDescent="0.3">
      <c r="A206" s="4" t="s">
        <v>445</v>
      </c>
      <c r="B206" s="5" t="s">
        <v>1029</v>
      </c>
      <c r="C206" s="5" t="s">
        <v>181</v>
      </c>
      <c r="D206" s="5" t="s">
        <v>446</v>
      </c>
      <c r="E206" s="5" t="s">
        <v>0</v>
      </c>
      <c r="F206" s="5" t="s">
        <v>0</v>
      </c>
      <c r="G206" s="5" t="s">
        <v>183</v>
      </c>
      <c r="H206" s="8">
        <v>34.04</v>
      </c>
      <c r="I206" s="7">
        <f>ROUND(80470.45,2)</f>
        <v>80470.45</v>
      </c>
      <c r="J206" s="6"/>
      <c r="K206" s="6"/>
      <c r="L206" s="6"/>
      <c r="M206" s="6"/>
      <c r="N206" s="7">
        <f>ROUND(1680.15999999999,2)</f>
        <v>1680.16</v>
      </c>
      <c r="O206" s="6"/>
      <c r="P206" s="6"/>
      <c r="Q206" s="7">
        <f>ROUND(168.3,2)</f>
        <v>168.3</v>
      </c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7">
        <f>ROUND(69,2)</f>
        <v>69</v>
      </c>
      <c r="AV206" s="7">
        <f>ROUND(1,2)</f>
        <v>1</v>
      </c>
      <c r="AW206" s="7">
        <f>ROUND(34,2)</f>
        <v>34</v>
      </c>
      <c r="AX206" s="6"/>
      <c r="AY206" s="7">
        <f>ROUND(220.5,2)</f>
        <v>220.5</v>
      </c>
      <c r="AZ206" s="7">
        <f>ROUND(7.5,2)</f>
        <v>7.5</v>
      </c>
      <c r="BA206" s="6"/>
      <c r="BB206" s="7">
        <f>ROUND(42,2)</f>
        <v>42</v>
      </c>
      <c r="BC206" s="6"/>
      <c r="BD206" s="7">
        <f t="shared" si="12"/>
        <v>8</v>
      </c>
      <c r="BE206" s="6"/>
      <c r="BF206" s="6"/>
      <c r="BG206" s="7">
        <f>ROUND(27.5,2)</f>
        <v>27.5</v>
      </c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7">
        <f>ROUND(16,2)</f>
        <v>16</v>
      </c>
      <c r="BT206" s="7">
        <f>ROUND(4.31999999999999,2)</f>
        <v>4.32</v>
      </c>
      <c r="BU206" s="7">
        <f>ROUND(8,2)</f>
        <v>8</v>
      </c>
      <c r="BV206" s="6"/>
      <c r="BW206" s="6"/>
      <c r="BX206" s="7">
        <f>ROUND(24,2)</f>
        <v>24</v>
      </c>
      <c r="BY206" s="6"/>
      <c r="BZ206" s="6"/>
      <c r="CA206" s="7">
        <f>ROUND(36,2)</f>
        <v>36</v>
      </c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7">
        <f>ROUND(2346.27999999999,2)</f>
        <v>2346.2800000000002</v>
      </c>
      <c r="CR206" s="6"/>
      <c r="CS206" s="6"/>
      <c r="CT206" s="6"/>
      <c r="CU206" s="6"/>
      <c r="CV206" s="7">
        <f>ROUND(54772.6699999999,2)</f>
        <v>54772.67</v>
      </c>
      <c r="CW206" s="6"/>
      <c r="CX206" s="6"/>
      <c r="CY206" s="7">
        <f>ROUND(8228.67,2)</f>
        <v>8228.67</v>
      </c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7">
        <f>ROUND(2253.81,2)</f>
        <v>2253.81</v>
      </c>
      <c r="EE206" s="7">
        <f>ROUND(49.58,2)</f>
        <v>49.58</v>
      </c>
      <c r="EF206" s="7">
        <f>ROUND(1106.42,2)</f>
        <v>1106.42</v>
      </c>
      <c r="EG206" s="6"/>
      <c r="EH206" s="7">
        <f>ROUND(7204.96999999999,2)</f>
        <v>7204.97</v>
      </c>
      <c r="EI206" s="7">
        <f>ROUND(366.069999999999,2)</f>
        <v>366.07</v>
      </c>
      <c r="EJ206" s="6"/>
      <c r="EK206" s="7">
        <f>ROUND(1365.06,2)</f>
        <v>1365.06</v>
      </c>
      <c r="EL206" s="6"/>
      <c r="EM206" s="6"/>
      <c r="EN206" s="7">
        <f>ROUND(256.72,2)</f>
        <v>256.72000000000003</v>
      </c>
      <c r="EO206" s="6"/>
      <c r="EP206" s="6"/>
      <c r="EQ206" s="7">
        <f>ROUND(882.48,2)</f>
        <v>882.48</v>
      </c>
      <c r="ER206" s="7">
        <f>ROUND(159,2)</f>
        <v>159</v>
      </c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7">
        <f>ROUND(825,2)</f>
        <v>825</v>
      </c>
      <c r="FK206" s="6"/>
      <c r="FL206" s="6"/>
      <c r="FM206" s="6"/>
      <c r="FN206" s="6"/>
      <c r="FO206" s="6"/>
      <c r="FP206" s="6"/>
      <c r="FQ206" s="6"/>
      <c r="FR206" s="6"/>
      <c r="FS206" s="6"/>
      <c r="FT206" s="7">
        <f t="shared" si="13"/>
        <v>3000</v>
      </c>
      <c r="FU206" s="6"/>
      <c r="FV206" s="6"/>
      <c r="FW206" s="6"/>
      <c r="FX206" s="6"/>
      <c r="FY206" s="7">
        <f>ROUND(80470.45,2)</f>
        <v>80470.45</v>
      </c>
    </row>
    <row r="207" spans="1:181" x14ac:dyDescent="0.3">
      <c r="A207" s="4" t="s">
        <v>447</v>
      </c>
      <c r="B207" s="5" t="s">
        <v>1029</v>
      </c>
      <c r="C207" s="5" t="s">
        <v>181</v>
      </c>
      <c r="D207" s="5" t="s">
        <v>390</v>
      </c>
      <c r="E207" s="5" t="s">
        <v>0</v>
      </c>
      <c r="F207" s="5" t="s">
        <v>0</v>
      </c>
      <c r="G207" s="5" t="s">
        <v>183</v>
      </c>
      <c r="H207" s="9">
        <v>33.380000000000003</v>
      </c>
      <c r="I207" s="7">
        <f>ROUND(85163.0999999999,2)</f>
        <v>85163.1</v>
      </c>
      <c r="J207" s="6"/>
      <c r="K207" s="6"/>
      <c r="L207" s="6"/>
      <c r="M207" s="6"/>
      <c r="N207" s="7">
        <f>ROUND(1651.3,2)</f>
        <v>1651.3</v>
      </c>
      <c r="O207" s="6"/>
      <c r="P207" s="6"/>
      <c r="Q207" s="7">
        <f>ROUND(234.71,2)</f>
        <v>234.71</v>
      </c>
      <c r="R207" s="6"/>
      <c r="S207" s="6"/>
      <c r="T207" s="6"/>
      <c r="U207" s="6"/>
      <c r="V207" s="7">
        <f>ROUND(8,2)</f>
        <v>8</v>
      </c>
      <c r="W207" s="6"/>
      <c r="X207" s="6"/>
      <c r="Y207" s="6"/>
      <c r="Z207" s="6"/>
      <c r="AA207" s="6"/>
      <c r="AB207" s="6"/>
      <c r="AC207" s="6"/>
      <c r="AD207" s="6"/>
      <c r="AE207" s="7">
        <f>ROUND(48.55,2)</f>
        <v>48.55</v>
      </c>
      <c r="AF207" s="6"/>
      <c r="AG207" s="7">
        <f>ROUND(1.83,2)</f>
        <v>1.83</v>
      </c>
      <c r="AH207" s="6"/>
      <c r="AI207" s="6"/>
      <c r="AJ207" s="6"/>
      <c r="AK207" s="6"/>
      <c r="AL207" s="6"/>
      <c r="AM207" s="6"/>
      <c r="AN207" s="6"/>
      <c r="AO207" s="6"/>
      <c r="AP207" s="7">
        <f>ROUND(284.409999999999,2)</f>
        <v>284.41000000000003</v>
      </c>
      <c r="AQ207" s="6"/>
      <c r="AR207" s="7">
        <f>ROUND(22.89,2)</f>
        <v>22.89</v>
      </c>
      <c r="AS207" s="6"/>
      <c r="AT207" s="6"/>
      <c r="AU207" s="7">
        <f>ROUND(66,2)</f>
        <v>66</v>
      </c>
      <c r="AV207" s="6"/>
      <c r="AW207" s="7">
        <f>ROUND(27.86,2)</f>
        <v>27.86</v>
      </c>
      <c r="AX207" s="7">
        <f>ROUND(6.14,2)</f>
        <v>6.14</v>
      </c>
      <c r="AY207" s="7">
        <f>ROUND(10,2)</f>
        <v>10</v>
      </c>
      <c r="AZ207" s="6"/>
      <c r="BA207" s="6"/>
      <c r="BB207" s="7">
        <f>ROUND(34,2)</f>
        <v>34</v>
      </c>
      <c r="BC207" s="6"/>
      <c r="BD207" s="7">
        <f t="shared" si="12"/>
        <v>8</v>
      </c>
      <c r="BE207" s="7">
        <f>ROUND(1.42,2)</f>
        <v>1.42</v>
      </c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7">
        <f>ROUND(8,2)</f>
        <v>8</v>
      </c>
      <c r="BT207" s="7">
        <f>ROUND(2.99,2)</f>
        <v>2.99</v>
      </c>
      <c r="BU207" s="6"/>
      <c r="BV207" s="6"/>
      <c r="BW207" s="7">
        <f>ROUND(8,2)</f>
        <v>8</v>
      </c>
      <c r="BX207" s="6"/>
      <c r="BY207" s="7">
        <f>ROUND(10,2)</f>
        <v>10</v>
      </c>
      <c r="BZ207" s="6"/>
      <c r="CA207" s="7">
        <f>ROUND(8,2)</f>
        <v>8</v>
      </c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7">
        <f>ROUND(2442.1,2)</f>
        <v>2442.1</v>
      </c>
      <c r="CR207" s="6"/>
      <c r="CS207" s="6"/>
      <c r="CT207" s="6"/>
      <c r="CU207" s="6"/>
      <c r="CV207" s="7">
        <f>ROUND(52922.0699999999,2)</f>
        <v>52922.07</v>
      </c>
      <c r="CW207" s="6"/>
      <c r="CX207" s="6"/>
      <c r="CY207" s="7">
        <f>ROUND(11258.25,2)</f>
        <v>11258.25</v>
      </c>
      <c r="CZ207" s="6"/>
      <c r="DA207" s="6"/>
      <c r="DB207" s="6"/>
      <c r="DC207" s="6"/>
      <c r="DD207" s="7">
        <f>ROUND(243.92,2)</f>
        <v>243.92</v>
      </c>
      <c r="DE207" s="6"/>
      <c r="DF207" s="6"/>
      <c r="DG207" s="6"/>
      <c r="DH207" s="6"/>
      <c r="DI207" s="6"/>
      <c r="DJ207" s="6"/>
      <c r="DK207" s="6"/>
      <c r="DL207" s="6"/>
      <c r="DM207" s="6"/>
      <c r="DN207" s="7">
        <f>ROUND(1493.83,2)</f>
        <v>1493.83</v>
      </c>
      <c r="DO207" s="6"/>
      <c r="DP207" s="7">
        <f>ROUND(83.7,2)</f>
        <v>83.7</v>
      </c>
      <c r="DQ207" s="6"/>
      <c r="DR207" s="6"/>
      <c r="DS207" s="6"/>
      <c r="DT207" s="6"/>
      <c r="DU207" s="6"/>
      <c r="DV207" s="6"/>
      <c r="DW207" s="6"/>
      <c r="DX207" s="6"/>
      <c r="DY207" s="7">
        <f>ROUND(8638.25,2)</f>
        <v>8638.25</v>
      </c>
      <c r="DZ207" s="6"/>
      <c r="EA207" s="7">
        <f>ROUND(1094.56,2)</f>
        <v>1094.56</v>
      </c>
      <c r="EB207" s="6"/>
      <c r="EC207" s="6"/>
      <c r="ED207" s="7">
        <f>ROUND(2053.32,2)</f>
        <v>2053.3200000000002</v>
      </c>
      <c r="EE207" s="6"/>
      <c r="EF207" s="7">
        <f>ROUND(896.89,2)</f>
        <v>896.89</v>
      </c>
      <c r="EG207" s="7">
        <f>ROUND(301.82,2)</f>
        <v>301.82</v>
      </c>
      <c r="EH207" s="7">
        <f>ROUND(304.9,2)</f>
        <v>304.89999999999998</v>
      </c>
      <c r="EI207" s="6"/>
      <c r="EJ207" s="6"/>
      <c r="EK207" s="7">
        <f>ROUND(1036.65999999999,2)</f>
        <v>1036.6600000000001</v>
      </c>
      <c r="EL207" s="6"/>
      <c r="EM207" s="6"/>
      <c r="EN207" s="7">
        <f>ROUND(243.92,2)</f>
        <v>243.92</v>
      </c>
      <c r="EO207" s="7">
        <f>ROUND(41.01,2)</f>
        <v>41.01</v>
      </c>
      <c r="EP207" s="6"/>
      <c r="EQ207" s="6"/>
      <c r="ER207" s="6"/>
      <c r="ES207" s="6"/>
      <c r="ET207" s="6"/>
      <c r="EU207" s="6"/>
      <c r="EV207" s="7">
        <f>ROUND(500,2)</f>
        <v>500</v>
      </c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7">
        <f>ROUND(1050,2)</f>
        <v>1050</v>
      </c>
      <c r="FK207" s="6"/>
      <c r="FL207" s="6"/>
      <c r="FM207" s="6"/>
      <c r="FN207" s="6"/>
      <c r="FO207" s="6"/>
      <c r="FP207" s="6"/>
      <c r="FQ207" s="6"/>
      <c r="FR207" s="6"/>
      <c r="FS207" s="6"/>
      <c r="FT207" s="7">
        <f t="shared" si="13"/>
        <v>3000</v>
      </c>
      <c r="FU207" s="6"/>
      <c r="FV207" s="6"/>
      <c r="FW207" s="6"/>
      <c r="FX207" s="6"/>
      <c r="FY207" s="7">
        <f>ROUND(85163.0999999999,2)</f>
        <v>85163.1</v>
      </c>
    </row>
    <row r="208" spans="1:181" x14ac:dyDescent="0.3">
      <c r="A208" s="4" t="s">
        <v>448</v>
      </c>
      <c r="B208" s="5" t="s">
        <v>1029</v>
      </c>
      <c r="C208" s="5" t="s">
        <v>181</v>
      </c>
      <c r="D208" s="5" t="s">
        <v>449</v>
      </c>
      <c r="E208" s="5" t="s">
        <v>0</v>
      </c>
      <c r="F208" s="5" t="s">
        <v>0</v>
      </c>
      <c r="G208" s="5" t="s">
        <v>183</v>
      </c>
      <c r="H208" s="8">
        <v>33.71</v>
      </c>
      <c r="I208" s="7">
        <f>ROUND(74729.15,2)</f>
        <v>74729.149999999994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7">
        <f>ROUND(1824,2)</f>
        <v>1824</v>
      </c>
      <c r="AF208" s="6"/>
      <c r="AG208" s="7">
        <f>ROUND(0.64,2)</f>
        <v>0.64</v>
      </c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7">
        <f>ROUND(68,2)</f>
        <v>68</v>
      </c>
      <c r="AV208" s="6"/>
      <c r="AW208" s="7">
        <f>ROUND(32,2)</f>
        <v>32</v>
      </c>
      <c r="AX208" s="6"/>
      <c r="AY208" s="7">
        <f>ROUND(160,2)</f>
        <v>160</v>
      </c>
      <c r="AZ208" s="6"/>
      <c r="BA208" s="6"/>
      <c r="BB208" s="6"/>
      <c r="BC208" s="6"/>
      <c r="BD208" s="7">
        <f t="shared" si="12"/>
        <v>8</v>
      </c>
      <c r="BE208" s="6"/>
      <c r="BF208" s="6"/>
      <c r="BG208" s="7">
        <f>ROUND(24,2)</f>
        <v>24</v>
      </c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7">
        <f>ROUND(16,2)</f>
        <v>16</v>
      </c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7">
        <f>ROUND(16,2)</f>
        <v>16</v>
      </c>
      <c r="CQ208" s="7">
        <f>ROUND(2148.64,2)</f>
        <v>2148.64</v>
      </c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7">
        <f>ROUND(59691.2799999999,2)</f>
        <v>59691.28</v>
      </c>
      <c r="DO208" s="6"/>
      <c r="DP208" s="7">
        <f>ROUND(30.95,2)</f>
        <v>30.95</v>
      </c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7">
        <f>ROUND(2218.12,2)</f>
        <v>2218.12</v>
      </c>
      <c r="EE208" s="6"/>
      <c r="EF208" s="7">
        <f>ROUND(1042.24,2)</f>
        <v>1042.24</v>
      </c>
      <c r="EG208" s="6"/>
      <c r="EH208" s="7">
        <f>ROUND(5257.28,2)</f>
        <v>5257.28</v>
      </c>
      <c r="EI208" s="6"/>
      <c r="EJ208" s="6"/>
      <c r="EK208" s="6"/>
      <c r="EL208" s="6"/>
      <c r="EM208" s="6"/>
      <c r="EN208" s="7">
        <f>ROUND(256.72,2)</f>
        <v>256.72000000000003</v>
      </c>
      <c r="EO208" s="6"/>
      <c r="EP208" s="6"/>
      <c r="EQ208" s="7">
        <f>ROUND(793.199999999999,2)</f>
        <v>793.2</v>
      </c>
      <c r="ER208" s="6"/>
      <c r="ES208" s="6"/>
      <c r="ET208" s="6"/>
      <c r="EU208" s="6"/>
      <c r="EV208" s="7">
        <f>ROUND(500,2)</f>
        <v>500</v>
      </c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7">
        <f>ROUND(1400,2)</f>
        <v>1400</v>
      </c>
      <c r="FK208" s="6"/>
      <c r="FL208" s="6"/>
      <c r="FM208" s="6"/>
      <c r="FN208" s="6"/>
      <c r="FO208" s="6"/>
      <c r="FP208" s="6"/>
      <c r="FQ208" s="6"/>
      <c r="FR208" s="6"/>
      <c r="FS208" s="6"/>
      <c r="FT208" s="7">
        <f t="shared" si="13"/>
        <v>3000</v>
      </c>
      <c r="FU208" s="6"/>
      <c r="FV208" s="6"/>
      <c r="FW208" s="6"/>
      <c r="FX208" s="7">
        <f>ROUND(539.36,2)</f>
        <v>539.36</v>
      </c>
      <c r="FY208" s="7">
        <f>ROUND(74729.15,2)</f>
        <v>74729.149999999994</v>
      </c>
    </row>
    <row r="209" spans="1:181" x14ac:dyDescent="0.3">
      <c r="A209" s="4" t="s">
        <v>453</v>
      </c>
      <c r="B209" s="5" t="s">
        <v>1029</v>
      </c>
      <c r="C209" s="5" t="s">
        <v>181</v>
      </c>
      <c r="D209" s="5" t="s">
        <v>377</v>
      </c>
      <c r="E209" s="5" t="s">
        <v>404</v>
      </c>
      <c r="F209" s="5" t="s">
        <v>0</v>
      </c>
      <c r="G209" s="5" t="s">
        <v>183</v>
      </c>
      <c r="H209" s="9">
        <v>17.5</v>
      </c>
      <c r="I209" s="7">
        <f>ROUND(2240,2)</f>
        <v>2240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7">
        <f>ROUND(128,2)</f>
        <v>128</v>
      </c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7">
        <f>ROUND(128,2)</f>
        <v>128</v>
      </c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7">
        <f>ROUND(2240,2)</f>
        <v>2240</v>
      </c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7">
        <f>ROUND(2240,2)</f>
        <v>2240</v>
      </c>
    </row>
    <row r="210" spans="1:181" x14ac:dyDescent="0.3">
      <c r="A210" s="4" t="s">
        <v>460</v>
      </c>
      <c r="B210" s="5" t="s">
        <v>1029</v>
      </c>
      <c r="C210" s="5" t="s">
        <v>181</v>
      </c>
      <c r="D210" s="5" t="s">
        <v>461</v>
      </c>
      <c r="E210" s="5" t="s">
        <v>0</v>
      </c>
      <c r="F210" s="5" t="s">
        <v>0</v>
      </c>
      <c r="G210" s="5" t="s">
        <v>183</v>
      </c>
      <c r="H210" s="8">
        <v>33.380000000000003</v>
      </c>
      <c r="I210" s="7">
        <f>ROUND(85588.99,2)</f>
        <v>85588.99</v>
      </c>
      <c r="J210" s="6"/>
      <c r="K210" s="6"/>
      <c r="L210" s="6"/>
      <c r="M210" s="6"/>
      <c r="N210" s="7">
        <f>ROUND(1901.68,2)</f>
        <v>1901.68</v>
      </c>
      <c r="O210" s="6"/>
      <c r="P210" s="6"/>
      <c r="Q210" s="7">
        <f>ROUND(222.65,2)</f>
        <v>222.65</v>
      </c>
      <c r="R210" s="6"/>
      <c r="S210" s="6"/>
      <c r="T210" s="6"/>
      <c r="U210" s="6"/>
      <c r="V210" s="7">
        <f>ROUND(3.33,2)</f>
        <v>3.33</v>
      </c>
      <c r="W210" s="6"/>
      <c r="X210" s="6"/>
      <c r="Y210" s="6"/>
      <c r="Z210" s="6"/>
      <c r="AA210" s="6"/>
      <c r="AB210" s="6"/>
      <c r="AC210" s="6"/>
      <c r="AD210" s="6"/>
      <c r="AE210" s="7">
        <f>ROUND(6.42,2)</f>
        <v>6.42</v>
      </c>
      <c r="AF210" s="6"/>
      <c r="AG210" s="7">
        <f>ROUND(4,2)</f>
        <v>4</v>
      </c>
      <c r="AH210" s="6"/>
      <c r="AI210" s="6"/>
      <c r="AJ210" s="6"/>
      <c r="AK210" s="6"/>
      <c r="AL210" s="6"/>
      <c r="AM210" s="6"/>
      <c r="AN210" s="6"/>
      <c r="AO210" s="6"/>
      <c r="AP210" s="7">
        <f>ROUND(9.7,2)</f>
        <v>9.6999999999999993</v>
      </c>
      <c r="AQ210" s="6"/>
      <c r="AR210" s="6"/>
      <c r="AS210" s="6"/>
      <c r="AT210" s="6"/>
      <c r="AU210" s="7">
        <f>ROUND(68,2)</f>
        <v>68</v>
      </c>
      <c r="AV210" s="6"/>
      <c r="AW210" s="7">
        <f>ROUND(32,2)</f>
        <v>32</v>
      </c>
      <c r="AX210" s="6"/>
      <c r="AY210" s="7">
        <f>ROUND(70.67,2)</f>
        <v>70.67</v>
      </c>
      <c r="AZ210" s="7">
        <f>ROUND(11.33,2)</f>
        <v>11.33</v>
      </c>
      <c r="BA210" s="6"/>
      <c r="BB210" s="7">
        <f>ROUND(40,2)</f>
        <v>40</v>
      </c>
      <c r="BC210" s="6"/>
      <c r="BD210" s="7">
        <f>ROUND(8,2)</f>
        <v>8</v>
      </c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7">
        <f>ROUND(4.43999999999999,2)</f>
        <v>4.4400000000000004</v>
      </c>
      <c r="BU210" s="6"/>
      <c r="BV210" s="6"/>
      <c r="BW210" s="6"/>
      <c r="BX210" s="6"/>
      <c r="BY210" s="6"/>
      <c r="BZ210" s="6"/>
      <c r="CA210" s="7">
        <f>ROUND(8,2)</f>
        <v>8</v>
      </c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7">
        <f>ROUND(2390.22,2)</f>
        <v>2390.2199999999998</v>
      </c>
      <c r="CR210" s="6"/>
      <c r="CS210" s="6"/>
      <c r="CT210" s="6"/>
      <c r="CU210" s="6"/>
      <c r="CV210" s="7">
        <f>ROUND(62193.7199999999,2)</f>
        <v>62193.72</v>
      </c>
      <c r="CW210" s="6"/>
      <c r="CX210" s="6"/>
      <c r="CY210" s="7">
        <f>ROUND(10875.08,2)</f>
        <v>10875.08</v>
      </c>
      <c r="CZ210" s="6"/>
      <c r="DA210" s="6"/>
      <c r="DB210" s="6"/>
      <c r="DC210" s="6"/>
      <c r="DD210" s="7">
        <f>ROUND(107.36,2)</f>
        <v>107.36</v>
      </c>
      <c r="DE210" s="6"/>
      <c r="DF210" s="6"/>
      <c r="DG210" s="6"/>
      <c r="DH210" s="6"/>
      <c r="DI210" s="6"/>
      <c r="DJ210" s="6"/>
      <c r="DK210" s="6"/>
      <c r="DL210" s="6"/>
      <c r="DM210" s="6"/>
      <c r="DN210" s="7">
        <f>ROUND(212.68,2)</f>
        <v>212.68</v>
      </c>
      <c r="DO210" s="6"/>
      <c r="DP210" s="7">
        <f>ROUND(200.28,2)</f>
        <v>200.28</v>
      </c>
      <c r="DQ210" s="6"/>
      <c r="DR210" s="6"/>
      <c r="DS210" s="6"/>
      <c r="DT210" s="6"/>
      <c r="DU210" s="6"/>
      <c r="DV210" s="6"/>
      <c r="DW210" s="6"/>
      <c r="DX210" s="6"/>
      <c r="DY210" s="7">
        <f>ROUND(311.27,2)</f>
        <v>311.27</v>
      </c>
      <c r="DZ210" s="6"/>
      <c r="EA210" s="6"/>
      <c r="EB210" s="6"/>
      <c r="EC210" s="6"/>
      <c r="ED210" s="7">
        <f>ROUND(2215.48,2)</f>
        <v>2215.48</v>
      </c>
      <c r="EE210" s="6"/>
      <c r="EF210" s="7">
        <f>ROUND(1049.92,2)</f>
        <v>1049.92</v>
      </c>
      <c r="EG210" s="6"/>
      <c r="EH210" s="7">
        <f>ROUND(2316.44,2)</f>
        <v>2316.44</v>
      </c>
      <c r="EI210" s="7">
        <f>ROUND(553.04,2)</f>
        <v>553.04</v>
      </c>
      <c r="EJ210" s="6"/>
      <c r="EK210" s="7">
        <f>ROUND(1322,2)</f>
        <v>1322</v>
      </c>
      <c r="EL210" s="6"/>
      <c r="EM210" s="6"/>
      <c r="EN210" s="7">
        <f>ROUND(256.72,2)</f>
        <v>256.72000000000003</v>
      </c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7">
        <f>ROUND(975,2)</f>
        <v>975</v>
      </c>
      <c r="FK210" s="6"/>
      <c r="FL210" s="6"/>
      <c r="FM210" s="6"/>
      <c r="FN210" s="6"/>
      <c r="FO210" s="6"/>
      <c r="FP210" s="6"/>
      <c r="FQ210" s="6"/>
      <c r="FR210" s="6"/>
      <c r="FS210" s="6"/>
      <c r="FT210" s="7">
        <f>ROUND(3000,2)</f>
        <v>3000</v>
      </c>
      <c r="FU210" s="6"/>
      <c r="FV210" s="6"/>
      <c r="FW210" s="6"/>
      <c r="FX210" s="6"/>
      <c r="FY210" s="7">
        <f>ROUND(85588.99,2)</f>
        <v>85588.99</v>
      </c>
    </row>
    <row r="211" spans="1:181" x14ac:dyDescent="0.3">
      <c r="A211" s="4" t="s">
        <v>467</v>
      </c>
      <c r="B211" s="5" t="s">
        <v>1029</v>
      </c>
      <c r="C211" s="5" t="s">
        <v>181</v>
      </c>
      <c r="D211" s="5" t="s">
        <v>468</v>
      </c>
      <c r="E211" s="5" t="s">
        <v>0</v>
      </c>
      <c r="F211" s="5" t="s">
        <v>0</v>
      </c>
      <c r="G211" s="5" t="s">
        <v>183</v>
      </c>
      <c r="H211" s="8">
        <v>33.380000000000003</v>
      </c>
      <c r="I211" s="7">
        <f>ROUND(54312.42,2)</f>
        <v>54312.42</v>
      </c>
      <c r="J211" s="6"/>
      <c r="K211" s="6"/>
      <c r="L211" s="6"/>
      <c r="M211" s="6"/>
      <c r="N211" s="7">
        <f>ROUND(1143.65,2)</f>
        <v>1143.6500000000001</v>
      </c>
      <c r="O211" s="6"/>
      <c r="P211" s="6"/>
      <c r="Q211" s="7">
        <f>ROUND(91.61,2)</f>
        <v>91.61</v>
      </c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7">
        <f>ROUND(39.75,2)</f>
        <v>39.75</v>
      </c>
      <c r="AV211" s="7">
        <f>ROUND(0.25,2)</f>
        <v>0.25</v>
      </c>
      <c r="AW211" s="7">
        <f>ROUND(48,2)</f>
        <v>48</v>
      </c>
      <c r="AX211" s="6"/>
      <c r="AY211" s="7">
        <f>ROUND(92.58,2)</f>
        <v>92.58</v>
      </c>
      <c r="AZ211" s="7">
        <f>ROUND(19.42,2)</f>
        <v>19.420000000000002</v>
      </c>
      <c r="BA211" s="6"/>
      <c r="BB211" s="7">
        <f>ROUND(32,2)</f>
        <v>32</v>
      </c>
      <c r="BC211" s="6"/>
      <c r="BD211" s="7">
        <f>ROUND(3.08,2)</f>
        <v>3.08</v>
      </c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7">
        <f>ROUND(736,2)</f>
        <v>736</v>
      </c>
      <c r="BT211" s="7">
        <f>ROUND(7.10999999999999,2)</f>
        <v>7.11</v>
      </c>
      <c r="BU211" s="6"/>
      <c r="BV211" s="6"/>
      <c r="BW211" s="7">
        <f>ROUND(24,2)</f>
        <v>24</v>
      </c>
      <c r="BX211" s="7">
        <f>ROUND(24,2)</f>
        <v>24</v>
      </c>
      <c r="BY211" s="7">
        <f>ROUND(8,2)</f>
        <v>8</v>
      </c>
      <c r="BZ211" s="6"/>
      <c r="CA211" s="7">
        <f>ROUND(8,2)</f>
        <v>8</v>
      </c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7">
        <f>ROUND(16,2)</f>
        <v>16</v>
      </c>
      <c r="CQ211" s="7">
        <f>ROUND(2293.45,2)</f>
        <v>2293.4499999999998</v>
      </c>
      <c r="CR211" s="6"/>
      <c r="CS211" s="6"/>
      <c r="CT211" s="6"/>
      <c r="CU211" s="6"/>
      <c r="CV211" s="7">
        <f>ROUND(37749.3899999999,2)</f>
        <v>37749.39</v>
      </c>
      <c r="CW211" s="6"/>
      <c r="CX211" s="6"/>
      <c r="CY211" s="7">
        <f>ROUND(4567.24,2)</f>
        <v>4567.24</v>
      </c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7">
        <f>ROUND(1311.34,2)</f>
        <v>1311.34</v>
      </c>
      <c r="EE211" s="7">
        <f>ROUND(12.4,2)</f>
        <v>12.4</v>
      </c>
      <c r="EF211" s="7">
        <f>ROUND(1584,2)</f>
        <v>1584</v>
      </c>
      <c r="EG211" s="6"/>
      <c r="EH211" s="7">
        <f>ROUND(3059.75999999999,2)</f>
        <v>3059.76</v>
      </c>
      <c r="EI211" s="7">
        <f>ROUND(962.749999999999,2)</f>
        <v>962.75</v>
      </c>
      <c r="EJ211" s="6"/>
      <c r="EK211" s="7">
        <f>ROUND(1026.88,2)</f>
        <v>1026.8800000000001</v>
      </c>
      <c r="EL211" s="6"/>
      <c r="EM211" s="6"/>
      <c r="EN211" s="7">
        <f>ROUND(99.3,2)</f>
        <v>99.3</v>
      </c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7">
        <f>ROUND(400,2)</f>
        <v>400</v>
      </c>
      <c r="FK211" s="6"/>
      <c r="FL211" s="6"/>
      <c r="FM211" s="6"/>
      <c r="FN211" s="6"/>
      <c r="FO211" s="6"/>
      <c r="FP211" s="6"/>
      <c r="FQ211" s="6"/>
      <c r="FR211" s="6"/>
      <c r="FS211" s="6"/>
      <c r="FT211" s="7">
        <f>ROUND(3000,2)</f>
        <v>3000</v>
      </c>
      <c r="FU211" s="6"/>
      <c r="FV211" s="6"/>
      <c r="FW211" s="6"/>
      <c r="FX211" s="7">
        <f>ROUND(539.36,2)</f>
        <v>539.36</v>
      </c>
      <c r="FY211" s="7">
        <f>ROUND(54312.4199999999,2)</f>
        <v>54312.42</v>
      </c>
    </row>
    <row r="212" spans="1:181" x14ac:dyDescent="0.3">
      <c r="A212" s="4" t="s">
        <v>469</v>
      </c>
      <c r="B212" s="5" t="s">
        <v>1029</v>
      </c>
      <c r="C212" s="5" t="s">
        <v>181</v>
      </c>
      <c r="D212" s="5" t="s">
        <v>196</v>
      </c>
      <c r="E212" s="5" t="s">
        <v>0</v>
      </c>
      <c r="F212" s="5" t="s">
        <v>0</v>
      </c>
      <c r="G212" s="5" t="s">
        <v>183</v>
      </c>
      <c r="H212" s="8">
        <v>33.380000000000003</v>
      </c>
      <c r="I212" s="7">
        <f>ROUND(103768.39,2)</f>
        <v>103768.39</v>
      </c>
      <c r="J212" s="6"/>
      <c r="K212" s="6"/>
      <c r="L212" s="6"/>
      <c r="M212" s="6"/>
      <c r="N212" s="7">
        <f>ROUND(990.069999999999,2)</f>
        <v>990.07</v>
      </c>
      <c r="O212" s="6"/>
      <c r="P212" s="6"/>
      <c r="Q212" s="7">
        <f>ROUND(312.96,2)</f>
        <v>312.95999999999998</v>
      </c>
      <c r="R212" s="6"/>
      <c r="S212" s="6"/>
      <c r="T212" s="6"/>
      <c r="U212" s="7">
        <f>ROUND(0.28,2)</f>
        <v>0.28000000000000003</v>
      </c>
      <c r="V212" s="7">
        <f>ROUND(37.06,2)</f>
        <v>37.06</v>
      </c>
      <c r="W212" s="7">
        <f>ROUND(44.36,2)</f>
        <v>44.36</v>
      </c>
      <c r="X212" s="7">
        <f>ROUND(1.89,2)</f>
        <v>1.89</v>
      </c>
      <c r="Y212" s="7">
        <f>ROUND(2.8,2)</f>
        <v>2.8</v>
      </c>
      <c r="Z212" s="6"/>
      <c r="AA212" s="6"/>
      <c r="AB212" s="6"/>
      <c r="AC212" s="6"/>
      <c r="AD212" s="6"/>
      <c r="AE212" s="7">
        <f>ROUND(264,2)</f>
        <v>264</v>
      </c>
      <c r="AF212" s="6"/>
      <c r="AG212" s="7">
        <f>ROUND(73.1699999999999,2)</f>
        <v>73.17</v>
      </c>
      <c r="AH212" s="6"/>
      <c r="AI212" s="6"/>
      <c r="AJ212" s="6"/>
      <c r="AK212" s="6"/>
      <c r="AL212" s="6"/>
      <c r="AM212" s="6"/>
      <c r="AN212" s="6"/>
      <c r="AO212" s="6"/>
      <c r="AP212" s="7">
        <f>ROUND(567.399999999999,2)</f>
        <v>567.4</v>
      </c>
      <c r="AQ212" s="6"/>
      <c r="AR212" s="7">
        <f>ROUND(160.99,2)</f>
        <v>160.99</v>
      </c>
      <c r="AS212" s="6"/>
      <c r="AT212" s="6"/>
      <c r="AU212" s="7">
        <f>ROUND(76,2)</f>
        <v>76</v>
      </c>
      <c r="AV212" s="6"/>
      <c r="AW212" s="7">
        <f>ROUND(40,2)</f>
        <v>40</v>
      </c>
      <c r="AX212" s="6"/>
      <c r="AY212" s="7">
        <f>ROUND(88,2)</f>
        <v>88</v>
      </c>
      <c r="AZ212" s="6"/>
      <c r="BA212" s="6"/>
      <c r="BB212" s="7">
        <f>ROUND(10,2)</f>
        <v>10</v>
      </c>
      <c r="BC212" s="6"/>
      <c r="BD212" s="6"/>
      <c r="BE212" s="7">
        <f>ROUND(0.17,2)</f>
        <v>0.17</v>
      </c>
      <c r="BF212" s="6"/>
      <c r="BG212" s="6"/>
      <c r="BH212" s="6"/>
      <c r="BI212" s="6"/>
      <c r="BJ212" s="6"/>
      <c r="BK212" s="6"/>
      <c r="BL212" s="6"/>
      <c r="BM212" s="6"/>
      <c r="BN212" s="6"/>
      <c r="BO212" s="7">
        <f>ROUND(33.43,2)</f>
        <v>33.43</v>
      </c>
      <c r="BP212" s="6"/>
      <c r="BQ212" s="7">
        <f>ROUND(27.96,2)</f>
        <v>27.96</v>
      </c>
      <c r="BR212" s="7">
        <f>ROUND(11.2,2)</f>
        <v>11.2</v>
      </c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7">
        <f>ROUND(2741.74,2)</f>
        <v>2741.74</v>
      </c>
      <c r="CR212" s="6"/>
      <c r="CS212" s="6"/>
      <c r="CT212" s="6"/>
      <c r="CU212" s="6"/>
      <c r="CV212" s="7">
        <f>ROUND(32290.8899999999,2)</f>
        <v>32290.89</v>
      </c>
      <c r="CW212" s="6"/>
      <c r="CX212" s="6"/>
      <c r="CY212" s="7">
        <f>ROUND(15273.8499999999,2)</f>
        <v>15273.85</v>
      </c>
      <c r="CZ212" s="6"/>
      <c r="DA212" s="6"/>
      <c r="DB212" s="6"/>
      <c r="DC212" s="7">
        <f>ROUND(18.51,2)</f>
        <v>18.510000000000002</v>
      </c>
      <c r="DD212" s="7">
        <f>ROUND(1191.21,2)</f>
        <v>1191.21</v>
      </c>
      <c r="DE212" s="7">
        <f>ROUND(2175.04999999999,2)</f>
        <v>2175.0500000000002</v>
      </c>
      <c r="DF212" s="7">
        <f>ROUND(61.1,2)</f>
        <v>61.1</v>
      </c>
      <c r="DG212" s="7">
        <f>ROUND(136.72,2)</f>
        <v>136.72</v>
      </c>
      <c r="DH212" s="6"/>
      <c r="DI212" s="6"/>
      <c r="DJ212" s="6"/>
      <c r="DK212" s="6"/>
      <c r="DL212" s="6"/>
      <c r="DM212" s="6"/>
      <c r="DN212" s="7">
        <f>ROUND(8635.78999999999,2)</f>
        <v>8635.7900000000009</v>
      </c>
      <c r="DO212" s="6"/>
      <c r="DP212" s="7">
        <f>ROUND(3583.02,2)</f>
        <v>3583.02</v>
      </c>
      <c r="DQ212" s="6"/>
      <c r="DR212" s="6"/>
      <c r="DS212" s="6"/>
      <c r="DT212" s="6"/>
      <c r="DU212" s="6"/>
      <c r="DV212" s="6"/>
      <c r="DW212" s="6"/>
      <c r="DX212" s="6"/>
      <c r="DY212" s="7">
        <f>ROUND(18547.21,2)</f>
        <v>18547.21</v>
      </c>
      <c r="DZ212" s="6"/>
      <c r="EA212" s="7">
        <f>ROUND(7912.77999999999,2)</f>
        <v>7912.78</v>
      </c>
      <c r="EB212" s="6"/>
      <c r="EC212" s="6"/>
      <c r="ED212" s="7">
        <f>ROUND(2476.7,2)</f>
        <v>2476.6999999999998</v>
      </c>
      <c r="EE212" s="6"/>
      <c r="EF212" s="7">
        <f>ROUND(1283.6,2)</f>
        <v>1283.5999999999999</v>
      </c>
      <c r="EG212" s="6"/>
      <c r="EH212" s="7">
        <f>ROUND(2831.6,2)</f>
        <v>2831.6</v>
      </c>
      <c r="EI212" s="6"/>
      <c r="EJ212" s="6"/>
      <c r="EK212" s="7">
        <f>ROUND(330.5,2)</f>
        <v>330.5</v>
      </c>
      <c r="EL212" s="6"/>
      <c r="EM212" s="6"/>
      <c r="EN212" s="6"/>
      <c r="EO212" s="7">
        <f>ROUND(8.43,2)</f>
        <v>8.43</v>
      </c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7">
        <f>ROUND(1103.24,2)</f>
        <v>1103.24</v>
      </c>
      <c r="FC212" s="6"/>
      <c r="FD212" s="7">
        <f>ROUND(910.209999999999,2)</f>
        <v>910.21</v>
      </c>
      <c r="FE212" s="7">
        <f>ROUND(547.98,2)</f>
        <v>547.98</v>
      </c>
      <c r="FF212" s="6"/>
      <c r="FG212" s="6"/>
      <c r="FH212" s="6"/>
      <c r="FI212" s="6"/>
      <c r="FJ212" s="7">
        <f>ROUND(1450,2)</f>
        <v>1450</v>
      </c>
      <c r="FK212" s="6"/>
      <c r="FL212" s="6"/>
      <c r="FM212" s="6"/>
      <c r="FN212" s="6"/>
      <c r="FO212" s="6"/>
      <c r="FP212" s="6"/>
      <c r="FQ212" s="6"/>
      <c r="FR212" s="6"/>
      <c r="FS212" s="6"/>
      <c r="FT212" s="7">
        <f>ROUND(3000,2)</f>
        <v>3000</v>
      </c>
      <c r="FU212" s="6"/>
      <c r="FV212" s="6"/>
      <c r="FW212" s="6"/>
      <c r="FX212" s="6"/>
      <c r="FY212" s="7">
        <f>ROUND(103768.39,2)</f>
        <v>103768.39</v>
      </c>
    </row>
    <row r="213" spans="1:181" x14ac:dyDescent="0.3">
      <c r="A213" s="4" t="s">
        <v>470</v>
      </c>
      <c r="B213" s="5" t="s">
        <v>1029</v>
      </c>
      <c r="C213" s="5" t="s">
        <v>181</v>
      </c>
      <c r="D213" s="5" t="s">
        <v>471</v>
      </c>
      <c r="E213" s="5" t="s">
        <v>0</v>
      </c>
      <c r="F213" s="5" t="s">
        <v>0</v>
      </c>
      <c r="G213" s="5" t="s">
        <v>183</v>
      </c>
      <c r="H213" s="9">
        <v>28.37</v>
      </c>
      <c r="I213" s="7">
        <f>ROUND(35585.45,2)</f>
        <v>35585.449999999997</v>
      </c>
      <c r="J213" s="6"/>
      <c r="K213" s="6"/>
      <c r="L213" s="6"/>
      <c r="M213" s="6"/>
      <c r="N213" s="7">
        <f>ROUND(787.129999999999,2)</f>
        <v>787.13</v>
      </c>
      <c r="O213" s="6"/>
      <c r="P213" s="6"/>
      <c r="Q213" s="7">
        <f>ROUND(0.15,2)</f>
        <v>0.15</v>
      </c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7">
        <f>ROUND(112.85,2)</f>
        <v>112.85</v>
      </c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7">
        <f>ROUND(30,2)</f>
        <v>30</v>
      </c>
      <c r="AV213" s="6"/>
      <c r="AW213" s="6"/>
      <c r="AX213" s="6"/>
      <c r="AY213" s="7">
        <f>ROUND(10,2)</f>
        <v>10</v>
      </c>
      <c r="AZ213" s="6"/>
      <c r="BA213" s="6"/>
      <c r="BB213" s="7">
        <f>ROUND(5,2)</f>
        <v>5</v>
      </c>
      <c r="BC213" s="6"/>
      <c r="BD213" s="7">
        <f>ROUND(307.169999999999,2)</f>
        <v>307.17</v>
      </c>
      <c r="BE213" s="7">
        <f>ROUND(1.43,2)</f>
        <v>1.43</v>
      </c>
      <c r="BF213" s="7">
        <f>ROUND(13.55,2)</f>
        <v>13.55</v>
      </c>
      <c r="BG213" s="6"/>
      <c r="BH213" s="6"/>
      <c r="BI213" s="7">
        <f>ROUND(14.85,2)</f>
        <v>14.85</v>
      </c>
      <c r="BJ213" s="7">
        <f>ROUND(6.4,2)</f>
        <v>6.4</v>
      </c>
      <c r="BK213" s="6"/>
      <c r="BL213" s="6"/>
      <c r="BM213" s="6"/>
      <c r="BN213" s="6"/>
      <c r="BO213" s="6"/>
      <c r="BP213" s="6"/>
      <c r="BQ213" s="7">
        <f>ROUND(96.25,2)</f>
        <v>96.25</v>
      </c>
      <c r="BR213" s="6"/>
      <c r="BS213" s="7">
        <f>ROUND(45,2)</f>
        <v>45</v>
      </c>
      <c r="BT213" s="7">
        <f>ROUND(5.4,2)</f>
        <v>5.4</v>
      </c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7">
        <f>ROUND(1435.18,2)</f>
        <v>1435.18</v>
      </c>
      <c r="CR213" s="6"/>
      <c r="CS213" s="6"/>
      <c r="CT213" s="6"/>
      <c r="CU213" s="6"/>
      <c r="CV213" s="7">
        <f>ROUND(20647.2199999999,2)</f>
        <v>20647.22</v>
      </c>
      <c r="CW213" s="6"/>
      <c r="CX213" s="6"/>
      <c r="CY213" s="7">
        <f>ROUND(3.94,2)</f>
        <v>3.94</v>
      </c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7">
        <f>ROUND(2830.03999999999,2)</f>
        <v>2830.04</v>
      </c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7">
        <f>ROUND(770.8,2)</f>
        <v>770.8</v>
      </c>
      <c r="EE213" s="6"/>
      <c r="EF213" s="6"/>
      <c r="EG213" s="6"/>
      <c r="EH213" s="7">
        <f>ROUND(268.799999999999,2)</f>
        <v>268.8</v>
      </c>
      <c r="EI213" s="6"/>
      <c r="EJ213" s="6"/>
      <c r="EK213" s="7">
        <f>ROUND(140.45,2)</f>
        <v>140.44999999999999</v>
      </c>
      <c r="EL213" s="6"/>
      <c r="EM213" s="6"/>
      <c r="EN213" s="7">
        <f>ROUND(5440.84,2)</f>
        <v>5440.84</v>
      </c>
      <c r="EO213" s="7">
        <f>ROUND(40.17,2)</f>
        <v>40.17</v>
      </c>
      <c r="EP213" s="7">
        <f>ROUND(355.69,2)</f>
        <v>355.69</v>
      </c>
      <c r="EQ213" s="6"/>
      <c r="ER213" s="6"/>
      <c r="ES213" s="6"/>
      <c r="ET213" s="7">
        <f>ROUND(259.88,2)</f>
        <v>259.88</v>
      </c>
      <c r="EU213" s="7">
        <f>ROUND(168,2)</f>
        <v>168</v>
      </c>
      <c r="EV213" s="6"/>
      <c r="EW213" s="6"/>
      <c r="EX213" s="6"/>
      <c r="EY213" s="6"/>
      <c r="EZ213" s="6"/>
      <c r="FA213" s="6"/>
      <c r="FB213" s="6"/>
      <c r="FC213" s="6"/>
      <c r="FD213" s="7">
        <f>ROUND(2709.61999999999,2)</f>
        <v>2709.62</v>
      </c>
      <c r="FE213" s="6"/>
      <c r="FF213" s="6"/>
      <c r="FG213" s="6"/>
      <c r="FH213" s="6"/>
      <c r="FI213" s="6"/>
      <c r="FJ213" s="7">
        <f>ROUND(450,2)</f>
        <v>450</v>
      </c>
      <c r="FK213" s="6"/>
      <c r="FL213" s="6"/>
      <c r="FM213" s="6"/>
      <c r="FN213" s="6"/>
      <c r="FO213" s="6"/>
      <c r="FP213" s="6"/>
      <c r="FQ213" s="6"/>
      <c r="FR213" s="6"/>
      <c r="FS213" s="6"/>
      <c r="FT213" s="7">
        <f>ROUND(1500,2)</f>
        <v>1500</v>
      </c>
      <c r="FU213" s="6"/>
      <c r="FV213" s="6"/>
      <c r="FW213" s="6"/>
      <c r="FX213" s="6"/>
      <c r="FY213" s="7">
        <f>ROUND(35585.45,2)</f>
        <v>35585.449999999997</v>
      </c>
    </row>
    <row r="214" spans="1:181" x14ac:dyDescent="0.3">
      <c r="A214" s="4" t="s">
        <v>479</v>
      </c>
      <c r="B214" s="5" t="s">
        <v>1029</v>
      </c>
      <c r="C214" s="5" t="s">
        <v>181</v>
      </c>
      <c r="D214" s="5" t="s">
        <v>349</v>
      </c>
      <c r="E214" s="5" t="s">
        <v>0</v>
      </c>
      <c r="F214" s="5" t="s">
        <v>0</v>
      </c>
      <c r="G214" s="5" t="s">
        <v>183</v>
      </c>
      <c r="H214" s="8">
        <v>33.380000000000003</v>
      </c>
      <c r="I214" s="7">
        <f>ROUND(92217.08,2)</f>
        <v>92217.08</v>
      </c>
      <c r="J214" s="6"/>
      <c r="K214" s="6"/>
      <c r="L214" s="6"/>
      <c r="M214" s="6"/>
      <c r="N214" s="7">
        <f>ROUND(1881.45,2)</f>
        <v>1881.45</v>
      </c>
      <c r="O214" s="6"/>
      <c r="P214" s="6"/>
      <c r="Q214" s="7">
        <f>ROUND(301.59,2)</f>
        <v>301.58999999999997</v>
      </c>
      <c r="R214" s="6"/>
      <c r="S214" s="6"/>
      <c r="T214" s="6"/>
      <c r="U214" s="6"/>
      <c r="V214" s="6"/>
      <c r="W214" s="6"/>
      <c r="X214" s="7">
        <f>ROUND(5.02999999999999,2)</f>
        <v>5.03</v>
      </c>
      <c r="Y214" s="7">
        <f>ROUND(0.63,2)</f>
        <v>0.63</v>
      </c>
      <c r="Z214" s="6"/>
      <c r="AA214" s="6"/>
      <c r="AB214" s="6"/>
      <c r="AC214" s="6"/>
      <c r="AD214" s="6"/>
      <c r="AE214" s="7">
        <f>ROUND(35.75,2)</f>
        <v>35.75</v>
      </c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7">
        <f>ROUND(67.04,2)</f>
        <v>67.040000000000006</v>
      </c>
      <c r="AQ214" s="6"/>
      <c r="AR214" s="7">
        <f>ROUND(1.67,2)</f>
        <v>1.67</v>
      </c>
      <c r="AS214" s="6"/>
      <c r="AT214" s="6"/>
      <c r="AU214" s="7">
        <f>ROUND(68,2)</f>
        <v>68</v>
      </c>
      <c r="AV214" s="7">
        <f>ROUND(6,2)</f>
        <v>6</v>
      </c>
      <c r="AW214" s="7">
        <f>ROUND(27.8,2)</f>
        <v>27.8</v>
      </c>
      <c r="AX214" s="7">
        <f>ROUND(4.2,2)</f>
        <v>4.2</v>
      </c>
      <c r="AY214" s="7">
        <f>ROUND(24,2)</f>
        <v>24</v>
      </c>
      <c r="AZ214" s="6"/>
      <c r="BA214" s="6"/>
      <c r="BB214" s="7">
        <f>ROUND(16,2)</f>
        <v>16</v>
      </c>
      <c r="BC214" s="6"/>
      <c r="BD214" s="7">
        <f t="shared" ref="BD214:BD220" si="14">ROUND(8,2)</f>
        <v>8</v>
      </c>
      <c r="BE214" s="7">
        <f>ROUND(2.59,2)</f>
        <v>2.59</v>
      </c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7">
        <f>ROUND(5.42,2)</f>
        <v>5.42</v>
      </c>
      <c r="BR214" s="6"/>
      <c r="BS214" s="6"/>
      <c r="BT214" s="7">
        <f>ROUND(0.92,2)</f>
        <v>0.92</v>
      </c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7">
        <f>ROUND(80,2)</f>
        <v>80</v>
      </c>
      <c r="CQ214" s="7">
        <f>ROUND(2536.08999999999,2)</f>
        <v>2536.09</v>
      </c>
      <c r="CR214" s="6"/>
      <c r="CS214" s="6"/>
      <c r="CT214" s="6"/>
      <c r="CU214" s="6"/>
      <c r="CV214" s="7">
        <f>ROUND(61379.4099999999,2)</f>
        <v>61379.41</v>
      </c>
      <c r="CW214" s="6"/>
      <c r="CX214" s="6"/>
      <c r="CY214" s="7">
        <f>ROUND(14775.47,2)</f>
        <v>14775.47</v>
      </c>
      <c r="CZ214" s="6"/>
      <c r="DA214" s="6"/>
      <c r="DB214" s="6"/>
      <c r="DC214" s="6"/>
      <c r="DD214" s="6"/>
      <c r="DE214" s="6"/>
      <c r="DF214" s="7">
        <f>ROUND(162.709999999999,2)</f>
        <v>162.71</v>
      </c>
      <c r="DG214" s="7">
        <f>ROUND(30.33,2)</f>
        <v>30.33</v>
      </c>
      <c r="DH214" s="6"/>
      <c r="DI214" s="6"/>
      <c r="DJ214" s="6"/>
      <c r="DK214" s="6"/>
      <c r="DL214" s="6"/>
      <c r="DM214" s="6"/>
      <c r="DN214" s="7">
        <f>ROUND(1173.02,2)</f>
        <v>1173.02</v>
      </c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7">
        <f>ROUND(2152.81999999999,2)</f>
        <v>2152.8200000000002</v>
      </c>
      <c r="DZ214" s="6"/>
      <c r="EA214" s="7">
        <f>ROUND(80.39,2)</f>
        <v>80.39</v>
      </c>
      <c r="EB214" s="6"/>
      <c r="EC214" s="6"/>
      <c r="ED214" s="7">
        <f>ROUND(2212.29999999999,2)</f>
        <v>2212.3000000000002</v>
      </c>
      <c r="EE214" s="7">
        <f>ROUND(297.48,2)</f>
        <v>297.48</v>
      </c>
      <c r="EF214" s="7">
        <f>ROUND(911.11,2)</f>
        <v>911.11</v>
      </c>
      <c r="EG214" s="7">
        <f>ROUND(208.22,2)</f>
        <v>208.22</v>
      </c>
      <c r="EH214" s="7">
        <f>ROUND(785.52,2)</f>
        <v>785.52</v>
      </c>
      <c r="EI214" s="6"/>
      <c r="EJ214" s="6"/>
      <c r="EK214" s="7">
        <f>ROUND(513.44,2)</f>
        <v>513.44000000000005</v>
      </c>
      <c r="EL214" s="6"/>
      <c r="EM214" s="6"/>
      <c r="EN214" s="7">
        <f t="shared" ref="EN214:EN220" si="15">ROUND(256.72,2)</f>
        <v>256.72000000000003</v>
      </c>
      <c r="EO214" s="7">
        <f>ROUND(83.81,2)</f>
        <v>83.81</v>
      </c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7">
        <f>ROUND(173.93,2)</f>
        <v>173.93</v>
      </c>
      <c r="FE214" s="6"/>
      <c r="FF214" s="6"/>
      <c r="FG214" s="6"/>
      <c r="FH214" s="6"/>
      <c r="FI214" s="6"/>
      <c r="FJ214" s="7">
        <f>ROUND(1350,2)</f>
        <v>1350</v>
      </c>
      <c r="FK214" s="6"/>
      <c r="FL214" s="6"/>
      <c r="FM214" s="6"/>
      <c r="FN214" s="6"/>
      <c r="FO214" s="6"/>
      <c r="FP214" s="6"/>
      <c r="FQ214" s="6"/>
      <c r="FR214" s="6"/>
      <c r="FS214" s="6"/>
      <c r="FT214" s="7">
        <f t="shared" ref="FT214:FT223" si="16">ROUND(3000,2)</f>
        <v>3000</v>
      </c>
      <c r="FU214" s="6"/>
      <c r="FV214" s="6"/>
      <c r="FW214" s="6"/>
      <c r="FX214" s="7">
        <f>ROUND(2670.4,2)</f>
        <v>2670.4</v>
      </c>
      <c r="FY214" s="7">
        <f>ROUND(92217.08,2)</f>
        <v>92217.08</v>
      </c>
    </row>
    <row r="215" spans="1:181" x14ac:dyDescent="0.3">
      <c r="A215" s="4" t="s">
        <v>480</v>
      </c>
      <c r="B215" s="5" t="s">
        <v>1029</v>
      </c>
      <c r="C215" s="5" t="s">
        <v>181</v>
      </c>
      <c r="D215" s="5" t="s">
        <v>435</v>
      </c>
      <c r="E215" s="5" t="s">
        <v>0</v>
      </c>
      <c r="F215" s="5" t="s">
        <v>0</v>
      </c>
      <c r="G215" s="5" t="s">
        <v>183</v>
      </c>
      <c r="H215" s="8">
        <v>33.380000000000003</v>
      </c>
      <c r="I215" s="7">
        <f>ROUND(80371.0799999999,2)</f>
        <v>80371.08</v>
      </c>
      <c r="J215" s="6"/>
      <c r="K215" s="6"/>
      <c r="L215" s="6"/>
      <c r="M215" s="6"/>
      <c r="N215" s="7">
        <f>ROUND(951.09,2)</f>
        <v>951.09</v>
      </c>
      <c r="O215" s="6"/>
      <c r="P215" s="6"/>
      <c r="Q215" s="7">
        <f>ROUND(122.9,2)</f>
        <v>122.9</v>
      </c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7">
        <f>ROUND(547.98,2)</f>
        <v>547.98</v>
      </c>
      <c r="AF215" s="6"/>
      <c r="AG215" s="7">
        <f>ROUND(40.18,2)</f>
        <v>40.18</v>
      </c>
      <c r="AH215" s="6"/>
      <c r="AI215" s="6"/>
      <c r="AJ215" s="6"/>
      <c r="AK215" s="6"/>
      <c r="AL215" s="6"/>
      <c r="AM215" s="6"/>
      <c r="AN215" s="6"/>
      <c r="AO215" s="6"/>
      <c r="AP215" s="7">
        <f>ROUND(316.07,2)</f>
        <v>316.07</v>
      </c>
      <c r="AQ215" s="6"/>
      <c r="AR215" s="7">
        <f>ROUND(8.02,2)</f>
        <v>8.02</v>
      </c>
      <c r="AS215" s="6"/>
      <c r="AT215" s="6"/>
      <c r="AU215" s="7">
        <f>ROUND(68,2)</f>
        <v>68</v>
      </c>
      <c r="AV215" s="7">
        <f>ROUND(8,2)</f>
        <v>8</v>
      </c>
      <c r="AW215" s="7">
        <f>ROUND(30,2)</f>
        <v>30</v>
      </c>
      <c r="AX215" s="7">
        <f>ROUND(2,2)</f>
        <v>2</v>
      </c>
      <c r="AY215" s="7">
        <f>ROUND(138,2)</f>
        <v>138</v>
      </c>
      <c r="AZ215" s="7">
        <f>ROUND(2,2)</f>
        <v>2</v>
      </c>
      <c r="BA215" s="6"/>
      <c r="BB215" s="6"/>
      <c r="BC215" s="6"/>
      <c r="BD215" s="7">
        <f t="shared" si="14"/>
        <v>8</v>
      </c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7">
        <f>ROUND(10.25,2)</f>
        <v>10.25</v>
      </c>
      <c r="BP215" s="6"/>
      <c r="BQ215" s="6"/>
      <c r="BR215" s="6"/>
      <c r="BS215" s="7">
        <f>ROUND(34,2)</f>
        <v>34</v>
      </c>
      <c r="BT215" s="7">
        <f>ROUND(1.17,2)</f>
        <v>1.17</v>
      </c>
      <c r="BU215" s="6"/>
      <c r="BV215" s="6"/>
      <c r="BW215" s="6"/>
      <c r="BX215" s="6"/>
      <c r="BY215" s="7">
        <f>ROUND(40,2)</f>
        <v>40</v>
      </c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7">
        <f>ROUND(2327.66,2)</f>
        <v>2327.66</v>
      </c>
      <c r="CR215" s="6"/>
      <c r="CS215" s="6"/>
      <c r="CT215" s="6"/>
      <c r="CU215" s="6"/>
      <c r="CV215" s="7">
        <f>ROUND(30906.5199999999,2)</f>
        <v>30906.52</v>
      </c>
      <c r="CW215" s="6"/>
      <c r="CX215" s="6"/>
      <c r="CY215" s="7">
        <f>ROUND(5980.34999999999,2)</f>
        <v>5980.35</v>
      </c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7">
        <f>ROUND(17951.08,2)</f>
        <v>17951.080000000002</v>
      </c>
      <c r="DO215" s="6"/>
      <c r="DP215" s="7">
        <f>ROUND(1986.71,2)</f>
        <v>1986.71</v>
      </c>
      <c r="DQ215" s="6"/>
      <c r="DR215" s="6"/>
      <c r="DS215" s="6"/>
      <c r="DT215" s="6"/>
      <c r="DU215" s="6"/>
      <c r="DV215" s="6"/>
      <c r="DW215" s="6"/>
      <c r="DX215" s="6"/>
      <c r="DY215" s="7">
        <f>ROUND(10263.55,2)</f>
        <v>10263.549999999999</v>
      </c>
      <c r="DZ215" s="6"/>
      <c r="EA215" s="7">
        <f>ROUND(391.83,2)</f>
        <v>391.83</v>
      </c>
      <c r="EB215" s="6"/>
      <c r="EC215" s="6"/>
      <c r="ED215" s="7">
        <f>ROUND(2210.38,2)</f>
        <v>2210.38</v>
      </c>
      <c r="EE215" s="7">
        <f>ROUND(396.64,2)</f>
        <v>396.64</v>
      </c>
      <c r="EF215" s="7">
        <f>ROUND(983.82,2)</f>
        <v>983.82</v>
      </c>
      <c r="EG215" s="7">
        <f>ROUND(99.15,2)</f>
        <v>99.15</v>
      </c>
      <c r="EH215" s="7">
        <f>ROUND(4516.26,2)</f>
        <v>4516.26</v>
      </c>
      <c r="EI215" s="7">
        <f>ROUND(99.15,2)</f>
        <v>99.15</v>
      </c>
      <c r="EJ215" s="6"/>
      <c r="EK215" s="6"/>
      <c r="EL215" s="6"/>
      <c r="EM215" s="6"/>
      <c r="EN215" s="7">
        <f t="shared" si="15"/>
        <v>256.72000000000003</v>
      </c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7">
        <f>ROUND(328.92,2)</f>
        <v>328.92</v>
      </c>
      <c r="FC215" s="6"/>
      <c r="FD215" s="6"/>
      <c r="FE215" s="6"/>
      <c r="FF215" s="6"/>
      <c r="FG215" s="6"/>
      <c r="FH215" s="6"/>
      <c r="FI215" s="6"/>
      <c r="FJ215" s="7">
        <f>ROUND(1000,2)</f>
        <v>1000</v>
      </c>
      <c r="FK215" s="6"/>
      <c r="FL215" s="6"/>
      <c r="FM215" s="6"/>
      <c r="FN215" s="6"/>
      <c r="FO215" s="6"/>
      <c r="FP215" s="6"/>
      <c r="FQ215" s="6"/>
      <c r="FR215" s="6"/>
      <c r="FS215" s="6"/>
      <c r="FT215" s="7">
        <f t="shared" si="16"/>
        <v>3000</v>
      </c>
      <c r="FU215" s="6"/>
      <c r="FV215" s="6"/>
      <c r="FW215" s="6"/>
      <c r="FX215" s="6"/>
      <c r="FY215" s="7">
        <f>ROUND(80371.0799999999,2)</f>
        <v>80371.08</v>
      </c>
    </row>
    <row r="216" spans="1:181" x14ac:dyDescent="0.3">
      <c r="A216" s="4" t="s">
        <v>481</v>
      </c>
      <c r="B216" s="5" t="s">
        <v>1029</v>
      </c>
      <c r="C216" s="5" t="s">
        <v>181</v>
      </c>
      <c r="D216" s="5" t="s">
        <v>215</v>
      </c>
      <c r="E216" s="5" t="s">
        <v>0</v>
      </c>
      <c r="F216" s="5" t="s">
        <v>0</v>
      </c>
      <c r="G216" s="5" t="s">
        <v>183</v>
      </c>
      <c r="H216" s="8">
        <v>33.380000000000003</v>
      </c>
      <c r="I216" s="7">
        <f>ROUND(79975.5799999999,2)</f>
        <v>79975.58</v>
      </c>
      <c r="J216" s="6"/>
      <c r="K216" s="6"/>
      <c r="L216" s="6"/>
      <c r="M216" s="6"/>
      <c r="N216" s="7">
        <f>ROUND(234.479999999999,2)</f>
        <v>234.48</v>
      </c>
      <c r="O216" s="6"/>
      <c r="P216" s="6"/>
      <c r="Q216" s="7">
        <f>ROUND(7.08,2)</f>
        <v>7.08</v>
      </c>
      <c r="R216" s="6"/>
      <c r="S216" s="6"/>
      <c r="T216" s="6"/>
      <c r="U216" s="6"/>
      <c r="V216" s="6"/>
      <c r="W216" s="7">
        <f>ROUND(2.4,2)</f>
        <v>2.4</v>
      </c>
      <c r="X216" s="6"/>
      <c r="Y216" s="6"/>
      <c r="Z216" s="6"/>
      <c r="AA216" s="6"/>
      <c r="AB216" s="6"/>
      <c r="AC216" s="6"/>
      <c r="AD216" s="6"/>
      <c r="AE216" s="7">
        <f>ROUND(1251.28,2)</f>
        <v>1251.28</v>
      </c>
      <c r="AF216" s="6"/>
      <c r="AG216" s="7">
        <f>ROUND(137.05,2)</f>
        <v>137.05000000000001</v>
      </c>
      <c r="AH216" s="6"/>
      <c r="AI216" s="6"/>
      <c r="AJ216" s="6"/>
      <c r="AK216" s="6"/>
      <c r="AL216" s="6"/>
      <c r="AM216" s="6"/>
      <c r="AN216" s="6"/>
      <c r="AO216" s="6"/>
      <c r="AP216" s="7">
        <f>ROUND(305.67,2)</f>
        <v>305.67</v>
      </c>
      <c r="AQ216" s="6"/>
      <c r="AR216" s="7">
        <f>ROUND(8.1,2)</f>
        <v>8.1</v>
      </c>
      <c r="AS216" s="6"/>
      <c r="AT216" s="6"/>
      <c r="AU216" s="7">
        <f>ROUND(64,2)</f>
        <v>64</v>
      </c>
      <c r="AV216" s="7">
        <f>ROUND(8,2)</f>
        <v>8</v>
      </c>
      <c r="AW216" s="7">
        <f>ROUND(44,2)</f>
        <v>44</v>
      </c>
      <c r="AX216" s="6"/>
      <c r="AY216" s="7">
        <f>ROUND(130.579999999999,2)</f>
        <v>130.58000000000001</v>
      </c>
      <c r="AZ216" s="7">
        <f>ROUND(1.42,2)</f>
        <v>1.42</v>
      </c>
      <c r="BA216" s="6"/>
      <c r="BB216" s="6"/>
      <c r="BC216" s="6"/>
      <c r="BD216" s="7">
        <f t="shared" si="14"/>
        <v>8</v>
      </c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7">
        <f>ROUND(15.83,2)</f>
        <v>15.83</v>
      </c>
      <c r="BP216" s="6"/>
      <c r="BQ216" s="6"/>
      <c r="BR216" s="6"/>
      <c r="BS216" s="7">
        <f>ROUND(18,2)</f>
        <v>18</v>
      </c>
      <c r="BT216" s="6"/>
      <c r="BU216" s="6"/>
      <c r="BV216" s="6"/>
      <c r="BW216" s="6"/>
      <c r="BX216" s="6"/>
      <c r="BY216" s="7">
        <f>ROUND(58,2)</f>
        <v>58</v>
      </c>
      <c r="BZ216" s="6"/>
      <c r="CA216" s="7">
        <f>ROUND(16,2)</f>
        <v>16</v>
      </c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7">
        <f>ROUND(2309.89,2)</f>
        <v>2309.89</v>
      </c>
      <c r="CR216" s="6"/>
      <c r="CS216" s="6"/>
      <c r="CT216" s="6"/>
      <c r="CU216" s="6"/>
      <c r="CV216" s="7">
        <f>ROUND(7665.46,2)</f>
        <v>7665.46</v>
      </c>
      <c r="CW216" s="6"/>
      <c r="CX216" s="6"/>
      <c r="CY216" s="7">
        <f>ROUND(347.98,2)</f>
        <v>347.98</v>
      </c>
      <c r="CZ216" s="6"/>
      <c r="DA216" s="6"/>
      <c r="DB216" s="6"/>
      <c r="DC216" s="6"/>
      <c r="DD216" s="6"/>
      <c r="DE216" s="7">
        <f>ROUND(115.52,2)</f>
        <v>115.52</v>
      </c>
      <c r="DF216" s="6"/>
      <c r="DG216" s="6"/>
      <c r="DH216" s="6"/>
      <c r="DI216" s="6"/>
      <c r="DJ216" s="6"/>
      <c r="DK216" s="6"/>
      <c r="DL216" s="6"/>
      <c r="DM216" s="6"/>
      <c r="DN216" s="7">
        <f>ROUND(40825.4699999999,2)</f>
        <v>40825.47</v>
      </c>
      <c r="DO216" s="6"/>
      <c r="DP216" s="7">
        <f>ROUND(6733.67999999999,2)</f>
        <v>6733.68</v>
      </c>
      <c r="DQ216" s="6"/>
      <c r="DR216" s="6"/>
      <c r="DS216" s="6"/>
      <c r="DT216" s="6"/>
      <c r="DU216" s="6"/>
      <c r="DV216" s="6"/>
      <c r="DW216" s="6"/>
      <c r="DX216" s="6"/>
      <c r="DY216" s="7">
        <f>ROUND(9926.9,2)</f>
        <v>9926.9</v>
      </c>
      <c r="DZ216" s="6"/>
      <c r="EA216" s="7">
        <f>ROUND(396.559999999999,2)</f>
        <v>396.56</v>
      </c>
      <c r="EB216" s="6"/>
      <c r="EC216" s="6"/>
      <c r="ED216" s="7">
        <f>ROUND(2082.02,2)</f>
        <v>2082.02</v>
      </c>
      <c r="EE216" s="7">
        <f>ROUND(396.64,2)</f>
        <v>396.64</v>
      </c>
      <c r="EF216" s="7">
        <f>ROUND(1440.22,2)</f>
        <v>1440.22</v>
      </c>
      <c r="EG216" s="6"/>
      <c r="EH216" s="7">
        <f>ROUND(4262.07,2)</f>
        <v>4262.07</v>
      </c>
      <c r="EI216" s="7">
        <f>ROUND(68.36,2)</f>
        <v>68.36</v>
      </c>
      <c r="EJ216" s="6"/>
      <c r="EK216" s="6"/>
      <c r="EL216" s="6"/>
      <c r="EM216" s="6"/>
      <c r="EN216" s="7">
        <f t="shared" si="15"/>
        <v>256.72000000000003</v>
      </c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7">
        <f>ROUND(507.98,2)</f>
        <v>507.98</v>
      </c>
      <c r="FC216" s="6"/>
      <c r="FD216" s="6"/>
      <c r="FE216" s="6"/>
      <c r="FF216" s="6"/>
      <c r="FG216" s="6"/>
      <c r="FH216" s="6"/>
      <c r="FI216" s="6"/>
      <c r="FJ216" s="7">
        <f>ROUND(1950,2)</f>
        <v>1950</v>
      </c>
      <c r="FK216" s="6"/>
      <c r="FL216" s="6"/>
      <c r="FM216" s="6"/>
      <c r="FN216" s="6"/>
      <c r="FO216" s="6"/>
      <c r="FP216" s="6"/>
      <c r="FQ216" s="6"/>
      <c r="FR216" s="6"/>
      <c r="FS216" s="6"/>
      <c r="FT216" s="7">
        <f t="shared" si="16"/>
        <v>3000</v>
      </c>
      <c r="FU216" s="6"/>
      <c r="FV216" s="6"/>
      <c r="FW216" s="6"/>
      <c r="FX216" s="6"/>
      <c r="FY216" s="7">
        <f>ROUND(79975.5799999999,2)</f>
        <v>79975.58</v>
      </c>
    </row>
    <row r="217" spans="1:181" x14ac:dyDescent="0.3">
      <c r="A217" s="4" t="s">
        <v>482</v>
      </c>
      <c r="B217" s="5" t="s">
        <v>1029</v>
      </c>
      <c r="C217" s="5" t="s">
        <v>181</v>
      </c>
      <c r="D217" s="5" t="s">
        <v>372</v>
      </c>
      <c r="E217" s="5" t="s">
        <v>0</v>
      </c>
      <c r="F217" s="5" t="s">
        <v>0</v>
      </c>
      <c r="G217" s="5" t="s">
        <v>183</v>
      </c>
      <c r="H217" s="8">
        <v>33.380000000000003</v>
      </c>
      <c r="I217" s="7">
        <f>ROUND(115199.749999999,2)</f>
        <v>115199.75</v>
      </c>
      <c r="J217" s="6"/>
      <c r="K217" s="6"/>
      <c r="L217" s="6"/>
      <c r="M217" s="6"/>
      <c r="N217" s="7">
        <f>ROUND(1539.47,2)</f>
        <v>1539.47</v>
      </c>
      <c r="O217" s="6"/>
      <c r="P217" s="6"/>
      <c r="Q217" s="7">
        <f>ROUND(593.82,2)</f>
        <v>593.82000000000005</v>
      </c>
      <c r="R217" s="6"/>
      <c r="S217" s="6"/>
      <c r="T217" s="6"/>
      <c r="U217" s="6"/>
      <c r="V217" s="7">
        <f>ROUND(5.25,2)</f>
        <v>5.25</v>
      </c>
      <c r="W217" s="7">
        <f>ROUND(37.48,2)</f>
        <v>37.479999999999997</v>
      </c>
      <c r="X217" s="7">
        <f>ROUND(0.82,2)</f>
        <v>0.82</v>
      </c>
      <c r="Y217" s="7">
        <f>ROUND(0.13,2)</f>
        <v>0.13</v>
      </c>
      <c r="Z217" s="6"/>
      <c r="AA217" s="6"/>
      <c r="AB217" s="6"/>
      <c r="AC217" s="6"/>
      <c r="AD217" s="6"/>
      <c r="AE217" s="7">
        <f>ROUND(111.31,2)</f>
        <v>111.31</v>
      </c>
      <c r="AF217" s="6"/>
      <c r="AG217" s="7">
        <f>ROUND(61.46,2)</f>
        <v>61.46</v>
      </c>
      <c r="AH217" s="6"/>
      <c r="AI217" s="6"/>
      <c r="AJ217" s="6"/>
      <c r="AK217" s="6"/>
      <c r="AL217" s="6"/>
      <c r="AM217" s="6"/>
      <c r="AN217" s="6"/>
      <c r="AO217" s="6"/>
      <c r="AP217" s="7">
        <f>ROUND(261.61,2)</f>
        <v>261.61</v>
      </c>
      <c r="AQ217" s="6"/>
      <c r="AR217" s="7">
        <f>ROUND(70.35,2)</f>
        <v>70.349999999999994</v>
      </c>
      <c r="AS217" s="6"/>
      <c r="AT217" s="6"/>
      <c r="AU217" s="7">
        <f>ROUND(66,2)</f>
        <v>66</v>
      </c>
      <c r="AV217" s="7">
        <f>ROUND(8,2)</f>
        <v>8</v>
      </c>
      <c r="AW217" s="7">
        <f>ROUND(10.3799999999999,2)</f>
        <v>10.38</v>
      </c>
      <c r="AX217" s="7">
        <f>ROUND(21.6199999999999,2)</f>
        <v>21.62</v>
      </c>
      <c r="AY217" s="7">
        <f>ROUND(104.42,2)</f>
        <v>104.42</v>
      </c>
      <c r="AZ217" s="7">
        <f>ROUND(31.58,2)</f>
        <v>31.58</v>
      </c>
      <c r="BA217" s="6"/>
      <c r="BB217" s="6"/>
      <c r="BC217" s="6"/>
      <c r="BD217" s="7">
        <f t="shared" si="14"/>
        <v>8</v>
      </c>
      <c r="BE217" s="7">
        <f>ROUND(2.53,2)</f>
        <v>2.5299999999999998</v>
      </c>
      <c r="BF217" s="6"/>
      <c r="BG217" s="6"/>
      <c r="BH217" s="6"/>
      <c r="BI217" s="6"/>
      <c r="BJ217" s="6"/>
      <c r="BK217" s="6"/>
      <c r="BL217" s="6"/>
      <c r="BM217" s="6"/>
      <c r="BN217" s="6"/>
      <c r="BO217" s="7">
        <f>ROUND(23.5,2)</f>
        <v>23.5</v>
      </c>
      <c r="BP217" s="7">
        <f>ROUND(6.92,2)</f>
        <v>6.92</v>
      </c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7">
        <f>ROUND(2964.65,2)</f>
        <v>2964.65</v>
      </c>
      <c r="CR217" s="6"/>
      <c r="CS217" s="6"/>
      <c r="CT217" s="6"/>
      <c r="CU217" s="6"/>
      <c r="CV217" s="7">
        <f>ROUND(50155.3099999999,2)</f>
        <v>50155.31</v>
      </c>
      <c r="CW217" s="6"/>
      <c r="CX217" s="6"/>
      <c r="CY217" s="7">
        <f>ROUND(29071.2299999999,2)</f>
        <v>29071.23</v>
      </c>
      <c r="CZ217" s="6"/>
      <c r="DA217" s="6"/>
      <c r="DB217" s="6"/>
      <c r="DC217" s="6"/>
      <c r="DD217" s="7">
        <f>ROUND(169.26,2)</f>
        <v>169.26</v>
      </c>
      <c r="DE217" s="7">
        <f>ROUND(1827.47,2)</f>
        <v>1827.47</v>
      </c>
      <c r="DF217" s="7">
        <f>ROUND(27.22,2)</f>
        <v>27.22</v>
      </c>
      <c r="DG217" s="7">
        <f>ROUND(6.26,2)</f>
        <v>6.26</v>
      </c>
      <c r="DH217" s="6"/>
      <c r="DI217" s="6"/>
      <c r="DJ217" s="6"/>
      <c r="DK217" s="6"/>
      <c r="DL217" s="6"/>
      <c r="DM217" s="6"/>
      <c r="DN217" s="7">
        <f>ROUND(3621.68,2)</f>
        <v>3621.68</v>
      </c>
      <c r="DO217" s="6"/>
      <c r="DP217" s="7">
        <f>ROUND(2980.37,2)</f>
        <v>2980.37</v>
      </c>
      <c r="DQ217" s="6"/>
      <c r="DR217" s="6"/>
      <c r="DS217" s="6"/>
      <c r="DT217" s="6"/>
      <c r="DU217" s="6"/>
      <c r="DV217" s="6"/>
      <c r="DW217" s="6"/>
      <c r="DX217" s="6"/>
      <c r="DY217" s="7">
        <f>ROUND(8519.05999999999,2)</f>
        <v>8519.06</v>
      </c>
      <c r="DZ217" s="6"/>
      <c r="EA217" s="7">
        <f>ROUND(3468.24,2)</f>
        <v>3468.24</v>
      </c>
      <c r="EB217" s="6"/>
      <c r="EC217" s="6"/>
      <c r="ED217" s="7">
        <f>ROUND(2143.62,2)</f>
        <v>2143.62</v>
      </c>
      <c r="EE217" s="7">
        <f>ROUND(396.64,2)</f>
        <v>396.64</v>
      </c>
      <c r="EF217" s="7">
        <f>ROUND(340.77,2)</f>
        <v>340.77</v>
      </c>
      <c r="EG217" s="7">
        <f>ROUND(1052.2,2)</f>
        <v>1052.2</v>
      </c>
      <c r="EH217" s="7">
        <f>ROUND(3403.08999999999,2)</f>
        <v>3403.09</v>
      </c>
      <c r="EI217" s="7">
        <f>ROUND(1565.58,2)</f>
        <v>1565.58</v>
      </c>
      <c r="EJ217" s="6"/>
      <c r="EK217" s="6"/>
      <c r="EL217" s="6"/>
      <c r="EM217" s="6"/>
      <c r="EN217" s="7">
        <f t="shared" si="15"/>
        <v>256.72000000000003</v>
      </c>
      <c r="EO217" s="7">
        <f>ROUND(83.62,2)</f>
        <v>83.62</v>
      </c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7">
        <f>ROUND(774.599999999999,2)</f>
        <v>774.6</v>
      </c>
      <c r="FC217" s="7">
        <f>ROUND(336.81,2)</f>
        <v>336.81</v>
      </c>
      <c r="FD217" s="6"/>
      <c r="FE217" s="6"/>
      <c r="FF217" s="6"/>
      <c r="FG217" s="6"/>
      <c r="FH217" s="6"/>
      <c r="FI217" s="6"/>
      <c r="FJ217" s="7">
        <f>ROUND(2000,2)</f>
        <v>2000</v>
      </c>
      <c r="FK217" s="6"/>
      <c r="FL217" s="6"/>
      <c r="FM217" s="6"/>
      <c r="FN217" s="6"/>
      <c r="FO217" s="6"/>
      <c r="FP217" s="6"/>
      <c r="FQ217" s="6"/>
      <c r="FR217" s="6"/>
      <c r="FS217" s="6"/>
      <c r="FT217" s="7">
        <f t="shared" si="16"/>
        <v>3000</v>
      </c>
      <c r="FU217" s="6"/>
      <c r="FV217" s="6"/>
      <c r="FW217" s="6"/>
      <c r="FX217" s="6"/>
      <c r="FY217" s="7">
        <f>ROUND(115199.75,2)</f>
        <v>115199.75</v>
      </c>
    </row>
    <row r="218" spans="1:181" x14ac:dyDescent="0.3">
      <c r="A218" s="4" t="s">
        <v>493</v>
      </c>
      <c r="B218" s="5" t="s">
        <v>1029</v>
      </c>
      <c r="C218" s="5" t="s">
        <v>181</v>
      </c>
      <c r="D218" s="5" t="s">
        <v>332</v>
      </c>
      <c r="E218" s="5" t="s">
        <v>0</v>
      </c>
      <c r="F218" s="5" t="s">
        <v>0</v>
      </c>
      <c r="G218" s="5" t="s">
        <v>183</v>
      </c>
      <c r="H218" s="8">
        <v>33.380000000000003</v>
      </c>
      <c r="I218" s="7">
        <f>ROUND(82540.58,2)</f>
        <v>82540.58</v>
      </c>
      <c r="J218" s="6"/>
      <c r="K218" s="6"/>
      <c r="L218" s="6"/>
      <c r="M218" s="6"/>
      <c r="N218" s="7">
        <f>ROUND(1641.76,2)</f>
        <v>1641.76</v>
      </c>
      <c r="O218" s="6"/>
      <c r="P218" s="6"/>
      <c r="Q218" s="7">
        <f>ROUND(116.099999999999,2)</f>
        <v>116.1</v>
      </c>
      <c r="R218" s="6"/>
      <c r="S218" s="6"/>
      <c r="T218" s="6"/>
      <c r="U218" s="6"/>
      <c r="V218" s="6"/>
      <c r="W218" s="6"/>
      <c r="X218" s="6"/>
      <c r="Y218" s="6"/>
      <c r="Z218" s="7">
        <f>ROUND(0.25,2)</f>
        <v>0.25</v>
      </c>
      <c r="AA218" s="6"/>
      <c r="AB218" s="6"/>
      <c r="AC218" s="6"/>
      <c r="AD218" s="6"/>
      <c r="AE218" s="7">
        <f>ROUND(69.33,2)</f>
        <v>69.33</v>
      </c>
      <c r="AF218" s="6"/>
      <c r="AG218" s="7">
        <f>ROUND(2.42,2)</f>
        <v>2.42</v>
      </c>
      <c r="AH218" s="6"/>
      <c r="AI218" s="6"/>
      <c r="AJ218" s="6"/>
      <c r="AK218" s="6"/>
      <c r="AL218" s="6"/>
      <c r="AM218" s="6"/>
      <c r="AN218" s="6"/>
      <c r="AO218" s="6"/>
      <c r="AP218" s="7">
        <f>ROUND(198.79,2)</f>
        <v>198.79</v>
      </c>
      <c r="AQ218" s="6"/>
      <c r="AR218" s="7">
        <f>ROUND(1.92,2)</f>
        <v>1.92</v>
      </c>
      <c r="AS218" s="6"/>
      <c r="AT218" s="6"/>
      <c r="AU218" s="7">
        <f>ROUND(68.88,2)</f>
        <v>68.88</v>
      </c>
      <c r="AV218" s="7">
        <f>ROUND(7.12,2)</f>
        <v>7.12</v>
      </c>
      <c r="AW218" s="7">
        <f>ROUND(36,2)</f>
        <v>36</v>
      </c>
      <c r="AX218" s="7">
        <f>ROUND(6,2)</f>
        <v>6</v>
      </c>
      <c r="AY218" s="7">
        <f>ROUND(78.25,2)</f>
        <v>78.25</v>
      </c>
      <c r="AZ218" s="7">
        <f>ROUND(7.67,2)</f>
        <v>7.67</v>
      </c>
      <c r="BA218" s="6"/>
      <c r="BB218" s="7">
        <f>ROUND(16,2)</f>
        <v>16</v>
      </c>
      <c r="BC218" s="6"/>
      <c r="BD218" s="7">
        <f t="shared" si="14"/>
        <v>8</v>
      </c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7">
        <f>ROUND(20,2)</f>
        <v>20</v>
      </c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7">
        <f>ROUND(48,2)</f>
        <v>48</v>
      </c>
      <c r="CQ218" s="7">
        <f>ROUND(2326.49,2)</f>
        <v>2326.4899999999998</v>
      </c>
      <c r="CR218" s="6"/>
      <c r="CS218" s="6"/>
      <c r="CT218" s="6"/>
      <c r="CU218" s="6"/>
      <c r="CV218" s="7">
        <f>ROUND(53592.3499999999,2)</f>
        <v>53592.35</v>
      </c>
      <c r="CW218" s="6"/>
      <c r="CX218" s="6"/>
      <c r="CY218" s="7">
        <f>ROUND(5685.77,2)</f>
        <v>5685.77</v>
      </c>
      <c r="CZ218" s="6"/>
      <c r="DA218" s="6"/>
      <c r="DB218" s="6"/>
      <c r="DC218" s="6"/>
      <c r="DD218" s="6"/>
      <c r="DE218" s="6"/>
      <c r="DF218" s="6"/>
      <c r="DG218" s="6"/>
      <c r="DH218" s="7">
        <f>ROUND(16.53,2)</f>
        <v>16.53</v>
      </c>
      <c r="DI218" s="6"/>
      <c r="DJ218" s="6"/>
      <c r="DK218" s="6"/>
      <c r="DL218" s="6"/>
      <c r="DM218" s="6"/>
      <c r="DN218" s="7">
        <f>ROUND(2237.7,2)</f>
        <v>2237.6999999999998</v>
      </c>
      <c r="DO218" s="6"/>
      <c r="DP218" s="7">
        <f>ROUND(116.49,2)</f>
        <v>116.49</v>
      </c>
      <c r="DQ218" s="6"/>
      <c r="DR218" s="6"/>
      <c r="DS218" s="6"/>
      <c r="DT218" s="6"/>
      <c r="DU218" s="6"/>
      <c r="DV218" s="6"/>
      <c r="DW218" s="6"/>
      <c r="DX218" s="6"/>
      <c r="DY218" s="7">
        <f>ROUND(6419.38999999999,2)</f>
        <v>6419.39</v>
      </c>
      <c r="DZ218" s="6"/>
      <c r="EA218" s="7">
        <f>ROUND(92.42,2)</f>
        <v>92.42</v>
      </c>
      <c r="EB218" s="6"/>
      <c r="EC218" s="6"/>
      <c r="ED218" s="7">
        <f>ROUND(2239.46,2)</f>
        <v>2239.46</v>
      </c>
      <c r="EE218" s="7">
        <f>ROUND(353.01,2)</f>
        <v>353.01</v>
      </c>
      <c r="EF218" s="7">
        <f>ROUND(1180.2,2)</f>
        <v>1180.2</v>
      </c>
      <c r="EG218" s="7">
        <f>ROUND(297.46,2)</f>
        <v>297.45999999999998</v>
      </c>
      <c r="EH218" s="7">
        <f>ROUND(2511.04,2)</f>
        <v>2511.04</v>
      </c>
      <c r="EI218" s="7">
        <f>ROUND(369.2,2)</f>
        <v>369.2</v>
      </c>
      <c r="EJ218" s="6"/>
      <c r="EK218" s="7">
        <f>ROUND(528.8,2)</f>
        <v>528.79999999999995</v>
      </c>
      <c r="EL218" s="6"/>
      <c r="EM218" s="6"/>
      <c r="EN218" s="7">
        <f t="shared" si="15"/>
        <v>256.72000000000003</v>
      </c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7">
        <f>ROUND(641.8,2)</f>
        <v>641.79999999999995</v>
      </c>
      <c r="FE218" s="6"/>
      <c r="FF218" s="6"/>
      <c r="FG218" s="6"/>
      <c r="FH218" s="6"/>
      <c r="FI218" s="6"/>
      <c r="FJ218" s="7">
        <f>ROUND(1400,2)</f>
        <v>1400</v>
      </c>
      <c r="FK218" s="6"/>
      <c r="FL218" s="6"/>
      <c r="FM218" s="6"/>
      <c r="FN218" s="6"/>
      <c r="FO218" s="6"/>
      <c r="FP218" s="6"/>
      <c r="FQ218" s="6"/>
      <c r="FR218" s="6"/>
      <c r="FS218" s="6"/>
      <c r="FT218" s="7">
        <f t="shared" si="16"/>
        <v>3000</v>
      </c>
      <c r="FU218" s="6"/>
      <c r="FV218" s="6"/>
      <c r="FW218" s="6"/>
      <c r="FX218" s="7">
        <f>ROUND(1602.24,2)</f>
        <v>1602.24</v>
      </c>
      <c r="FY218" s="7">
        <f>ROUND(82540.58,2)</f>
        <v>82540.58</v>
      </c>
    </row>
    <row r="219" spans="1:181" x14ac:dyDescent="0.3">
      <c r="A219" s="4" t="s">
        <v>498</v>
      </c>
      <c r="B219" s="5" t="s">
        <v>1029</v>
      </c>
      <c r="C219" s="5" t="s">
        <v>181</v>
      </c>
      <c r="D219" s="5" t="s">
        <v>499</v>
      </c>
      <c r="E219" s="5" t="s">
        <v>0</v>
      </c>
      <c r="F219" s="5" t="s">
        <v>0</v>
      </c>
      <c r="G219" s="5" t="s">
        <v>183</v>
      </c>
      <c r="H219" s="8">
        <v>33.880000000000003</v>
      </c>
      <c r="I219" s="7">
        <f>ROUND(115790.439999999,2)</f>
        <v>115790.44</v>
      </c>
      <c r="J219" s="6"/>
      <c r="K219" s="6"/>
      <c r="L219" s="6"/>
      <c r="M219" s="6"/>
      <c r="N219" s="7">
        <f>ROUND(1807.35,2)</f>
        <v>1807.35</v>
      </c>
      <c r="O219" s="6"/>
      <c r="P219" s="6"/>
      <c r="Q219" s="7">
        <f>ROUND(558.21,2)</f>
        <v>558.21</v>
      </c>
      <c r="R219" s="6"/>
      <c r="S219" s="6"/>
      <c r="T219" s="6"/>
      <c r="U219" s="6"/>
      <c r="V219" s="7">
        <f>ROUND(5.02,2)</f>
        <v>5.0199999999999996</v>
      </c>
      <c r="W219" s="7">
        <f>ROUND(40.28,2)</f>
        <v>40.28</v>
      </c>
      <c r="X219" s="7">
        <f>ROUND(0.13,2)</f>
        <v>0.13</v>
      </c>
      <c r="Y219" s="7">
        <f>ROUND(0.56,2)</f>
        <v>0.56000000000000005</v>
      </c>
      <c r="Z219" s="7">
        <f>ROUND(0.1,2)</f>
        <v>0.1</v>
      </c>
      <c r="AA219" s="6"/>
      <c r="AB219" s="6"/>
      <c r="AC219" s="6"/>
      <c r="AD219" s="6"/>
      <c r="AE219" s="7">
        <f>ROUND(59.25,2)</f>
        <v>59.25</v>
      </c>
      <c r="AF219" s="6"/>
      <c r="AG219" s="7">
        <f>ROUND(43.66,2)</f>
        <v>43.66</v>
      </c>
      <c r="AH219" s="6"/>
      <c r="AI219" s="6"/>
      <c r="AJ219" s="6"/>
      <c r="AK219" s="6"/>
      <c r="AL219" s="6"/>
      <c r="AM219" s="6"/>
      <c r="AN219" s="6"/>
      <c r="AO219" s="6"/>
      <c r="AP219" s="7">
        <f>ROUND(10,2)</f>
        <v>10</v>
      </c>
      <c r="AQ219" s="6"/>
      <c r="AR219" s="7">
        <f>ROUND(145.55,2)</f>
        <v>145.55000000000001</v>
      </c>
      <c r="AS219" s="6"/>
      <c r="AT219" s="6"/>
      <c r="AU219" s="7">
        <f>ROUND(68,2)</f>
        <v>68</v>
      </c>
      <c r="AV219" s="6"/>
      <c r="AW219" s="7">
        <f>ROUND(40,2)</f>
        <v>40</v>
      </c>
      <c r="AX219" s="6"/>
      <c r="AY219" s="7">
        <f>ROUND(128,2)</f>
        <v>128</v>
      </c>
      <c r="AZ219" s="7">
        <f>ROUND(8,2)</f>
        <v>8</v>
      </c>
      <c r="BA219" s="6"/>
      <c r="BB219" s="7">
        <f>ROUND(16,2)</f>
        <v>16</v>
      </c>
      <c r="BC219" s="6"/>
      <c r="BD219" s="7">
        <f t="shared" si="14"/>
        <v>8</v>
      </c>
      <c r="BE219" s="7">
        <f>ROUND(1.25,2)</f>
        <v>1.25</v>
      </c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7">
        <f>ROUND(2.32,2)</f>
        <v>2.3199999999999998</v>
      </c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7">
        <f>ROUND(48,2)</f>
        <v>48</v>
      </c>
      <c r="CQ219" s="7">
        <f>ROUND(2989.68,2)</f>
        <v>2989.68</v>
      </c>
      <c r="CR219" s="6"/>
      <c r="CS219" s="6"/>
      <c r="CT219" s="6"/>
      <c r="CU219" s="6"/>
      <c r="CV219" s="7">
        <f>ROUND(58826.4199999999,2)</f>
        <v>58826.42</v>
      </c>
      <c r="CW219" s="6"/>
      <c r="CX219" s="6"/>
      <c r="CY219" s="7">
        <f>ROUND(27283.47,2)</f>
        <v>27283.47</v>
      </c>
      <c r="CZ219" s="6"/>
      <c r="DA219" s="6"/>
      <c r="DB219" s="6"/>
      <c r="DC219" s="6"/>
      <c r="DD219" s="7">
        <f>ROUND(172.27,2)</f>
        <v>172.27</v>
      </c>
      <c r="DE219" s="7">
        <f>ROUND(1996.33,2)</f>
        <v>1996.33</v>
      </c>
      <c r="DF219" s="7">
        <f>ROUND(4.3,2)</f>
        <v>4.3</v>
      </c>
      <c r="DG219" s="7">
        <f>ROUND(27.77,2)</f>
        <v>27.77</v>
      </c>
      <c r="DH219" s="7">
        <f>ROUND(6.42,2)</f>
        <v>6.42</v>
      </c>
      <c r="DI219" s="6"/>
      <c r="DJ219" s="6"/>
      <c r="DK219" s="6"/>
      <c r="DL219" s="6"/>
      <c r="DM219" s="6"/>
      <c r="DN219" s="7">
        <f>ROUND(2007.39,2)</f>
        <v>2007.39</v>
      </c>
      <c r="DO219" s="6"/>
      <c r="DP219" s="7">
        <f>ROUND(2195.88,2)</f>
        <v>2195.88</v>
      </c>
      <c r="DQ219" s="6"/>
      <c r="DR219" s="6"/>
      <c r="DS219" s="6"/>
      <c r="DT219" s="6"/>
      <c r="DU219" s="6"/>
      <c r="DV219" s="6"/>
      <c r="DW219" s="6"/>
      <c r="DX219" s="6"/>
      <c r="DY219" s="7">
        <f>ROUND(320.9,2)</f>
        <v>320.89999999999998</v>
      </c>
      <c r="DZ219" s="6"/>
      <c r="EA219" s="7">
        <f>ROUND(7162.08,2)</f>
        <v>7162.08</v>
      </c>
      <c r="EB219" s="6"/>
      <c r="EC219" s="6"/>
      <c r="ED219" s="7">
        <f>ROUND(2219.48,2)</f>
        <v>2219.48</v>
      </c>
      <c r="EE219" s="6"/>
      <c r="EF219" s="7">
        <f>ROUND(1313.28,2)</f>
        <v>1313.28</v>
      </c>
      <c r="EG219" s="6"/>
      <c r="EH219" s="7">
        <f>ROUND(4161.28,2)</f>
        <v>4161.28</v>
      </c>
      <c r="EI219" s="7">
        <f>ROUND(396.6,2)</f>
        <v>396.6</v>
      </c>
      <c r="EJ219" s="6"/>
      <c r="EK219" s="7">
        <f>ROUND(513.44,2)</f>
        <v>513.44000000000005</v>
      </c>
      <c r="EL219" s="6"/>
      <c r="EM219" s="6"/>
      <c r="EN219" s="7">
        <f t="shared" si="15"/>
        <v>256.72000000000003</v>
      </c>
      <c r="EO219" s="7">
        <f>ROUND(60.17,2)</f>
        <v>60.17</v>
      </c>
      <c r="EP219" s="6"/>
      <c r="EQ219" s="6"/>
      <c r="ER219" s="7">
        <f>ROUND(390,2)</f>
        <v>390</v>
      </c>
      <c r="ES219" s="6"/>
      <c r="ET219" s="6"/>
      <c r="EU219" s="6"/>
      <c r="EV219" s="7">
        <f>ROUND(500,2)</f>
        <v>500</v>
      </c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7">
        <f>ROUND(1350,2)</f>
        <v>1350</v>
      </c>
      <c r="FK219" s="6"/>
      <c r="FL219" s="6"/>
      <c r="FM219" s="6"/>
      <c r="FN219" s="6"/>
      <c r="FO219" s="6"/>
      <c r="FP219" s="6"/>
      <c r="FQ219" s="6"/>
      <c r="FR219" s="6"/>
      <c r="FS219" s="6"/>
      <c r="FT219" s="7">
        <f t="shared" si="16"/>
        <v>3000</v>
      </c>
      <c r="FU219" s="6"/>
      <c r="FV219" s="6"/>
      <c r="FW219" s="6"/>
      <c r="FX219" s="7">
        <f>ROUND(1626.24,2)</f>
        <v>1626.24</v>
      </c>
      <c r="FY219" s="7">
        <f>ROUND(115790.439999999,2)</f>
        <v>115790.44</v>
      </c>
    </row>
    <row r="220" spans="1:181" x14ac:dyDescent="0.3">
      <c r="A220" s="4" t="s">
        <v>509</v>
      </c>
      <c r="B220" s="5" t="s">
        <v>1029</v>
      </c>
      <c r="C220" s="5" t="s">
        <v>181</v>
      </c>
      <c r="D220" s="5" t="s">
        <v>510</v>
      </c>
      <c r="E220" s="5" t="s">
        <v>0</v>
      </c>
      <c r="F220" s="5" t="s">
        <v>0</v>
      </c>
      <c r="G220" s="5" t="s">
        <v>183</v>
      </c>
      <c r="H220" s="8">
        <v>33.71</v>
      </c>
      <c r="I220" s="7">
        <f>ROUND(126784.13,2)</f>
        <v>126784.13</v>
      </c>
      <c r="J220" s="6"/>
      <c r="K220" s="6"/>
      <c r="L220" s="6"/>
      <c r="M220" s="6"/>
      <c r="N220" s="7">
        <f>ROUND(1137.61,2)</f>
        <v>1137.6099999999999</v>
      </c>
      <c r="O220" s="6"/>
      <c r="P220" s="6"/>
      <c r="Q220" s="7">
        <f>ROUND(669.539999999999,2)</f>
        <v>669.54</v>
      </c>
      <c r="R220" s="6"/>
      <c r="S220" s="6"/>
      <c r="T220" s="6"/>
      <c r="U220" s="6"/>
      <c r="V220" s="7">
        <f>ROUND(5.58,2)</f>
        <v>5.58</v>
      </c>
      <c r="W220" s="7">
        <f>ROUND(34.02,2)</f>
        <v>34.020000000000003</v>
      </c>
      <c r="X220" s="6"/>
      <c r="Y220" s="7">
        <f>ROUND(3.18,2)</f>
        <v>3.18</v>
      </c>
      <c r="Z220" s="6"/>
      <c r="AA220" s="6"/>
      <c r="AB220" s="6"/>
      <c r="AC220" s="6"/>
      <c r="AD220" s="6"/>
      <c r="AE220" s="7">
        <f>ROUND(219.28,2)</f>
        <v>219.28</v>
      </c>
      <c r="AF220" s="6"/>
      <c r="AG220" s="7">
        <f>ROUND(79.38,2)</f>
        <v>79.38</v>
      </c>
      <c r="AH220" s="6"/>
      <c r="AI220" s="6"/>
      <c r="AJ220" s="6"/>
      <c r="AK220" s="6"/>
      <c r="AL220" s="6"/>
      <c r="AM220" s="6"/>
      <c r="AN220" s="6"/>
      <c r="AO220" s="6"/>
      <c r="AP220" s="7">
        <f>ROUND(206.94,2)</f>
        <v>206.94</v>
      </c>
      <c r="AQ220" s="6"/>
      <c r="AR220" s="7">
        <f>ROUND(115.38,2)</f>
        <v>115.38</v>
      </c>
      <c r="AS220" s="6"/>
      <c r="AT220" s="6"/>
      <c r="AU220" s="7">
        <f>ROUND(62.5,2)</f>
        <v>62.5</v>
      </c>
      <c r="AV220" s="7">
        <f>ROUND(7.5,2)</f>
        <v>7.5</v>
      </c>
      <c r="AW220" s="7">
        <f>ROUND(40,2)</f>
        <v>40</v>
      </c>
      <c r="AX220" s="6"/>
      <c r="AY220" s="7">
        <f>ROUND(110,2)</f>
        <v>110</v>
      </c>
      <c r="AZ220" s="6"/>
      <c r="BA220" s="6"/>
      <c r="BB220" s="6"/>
      <c r="BC220" s="6"/>
      <c r="BD220" s="7">
        <f t="shared" si="14"/>
        <v>8</v>
      </c>
      <c r="BE220" s="7">
        <f>ROUND(5.07,2)</f>
        <v>5.07</v>
      </c>
      <c r="BF220" s="6"/>
      <c r="BG220" s="6"/>
      <c r="BH220" s="6"/>
      <c r="BI220" s="6"/>
      <c r="BJ220" s="6"/>
      <c r="BK220" s="6"/>
      <c r="BL220" s="6"/>
      <c r="BM220" s="6"/>
      <c r="BN220" s="6"/>
      <c r="BO220" s="7">
        <f>ROUND(320,2)</f>
        <v>320</v>
      </c>
      <c r="BP220" s="7">
        <f>ROUND(106.64,2)</f>
        <v>106.64</v>
      </c>
      <c r="BQ220" s="7">
        <f>ROUND(12,2)</f>
        <v>12</v>
      </c>
      <c r="BR220" s="7">
        <f>ROUND(5,2)</f>
        <v>5</v>
      </c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7">
        <f>ROUND(72,2)</f>
        <v>72</v>
      </c>
      <c r="CQ220" s="7">
        <f>ROUND(3219.62,2)</f>
        <v>3219.62</v>
      </c>
      <c r="CR220" s="6"/>
      <c r="CS220" s="6"/>
      <c r="CT220" s="6"/>
      <c r="CU220" s="6"/>
      <c r="CV220" s="7">
        <f>ROUND(37244.79,2)</f>
        <v>37244.79</v>
      </c>
      <c r="CW220" s="6"/>
      <c r="CX220" s="6"/>
      <c r="CY220" s="7">
        <f>ROUND(33015.21,2)</f>
        <v>33015.21</v>
      </c>
      <c r="CZ220" s="6"/>
      <c r="DA220" s="6"/>
      <c r="DB220" s="6"/>
      <c r="DC220" s="6"/>
      <c r="DD220" s="7">
        <f>ROUND(185.26,2)</f>
        <v>185.26</v>
      </c>
      <c r="DE220" s="7">
        <f>ROUND(1647.86,2)</f>
        <v>1647.86</v>
      </c>
      <c r="DF220" s="6"/>
      <c r="DG220" s="7">
        <f>ROUND(154.53,2)</f>
        <v>154.53</v>
      </c>
      <c r="DH220" s="6"/>
      <c r="DI220" s="6"/>
      <c r="DJ220" s="6"/>
      <c r="DK220" s="6"/>
      <c r="DL220" s="6"/>
      <c r="DM220" s="6"/>
      <c r="DN220" s="7">
        <f>ROUND(7059.88,2)</f>
        <v>7059.88</v>
      </c>
      <c r="DO220" s="6"/>
      <c r="DP220" s="7">
        <f>ROUND(3851.09999999999,2)</f>
        <v>3851.1</v>
      </c>
      <c r="DQ220" s="6"/>
      <c r="DR220" s="6"/>
      <c r="DS220" s="6"/>
      <c r="DT220" s="6"/>
      <c r="DU220" s="6"/>
      <c r="DV220" s="6"/>
      <c r="DW220" s="6"/>
      <c r="DX220" s="6"/>
      <c r="DY220" s="7">
        <f>ROUND(6770.04,2)</f>
        <v>6770.04</v>
      </c>
      <c r="DZ220" s="6"/>
      <c r="EA220" s="7">
        <f>ROUND(5629.87,2)</f>
        <v>5629.87</v>
      </c>
      <c r="EB220" s="6"/>
      <c r="EC220" s="6"/>
      <c r="ED220" s="7">
        <f>ROUND(2034.43,2)</f>
        <v>2034.43</v>
      </c>
      <c r="EE220" s="7">
        <f>ROUND(371.85,2)</f>
        <v>371.85</v>
      </c>
      <c r="EF220" s="7">
        <f>ROUND(1322,2)</f>
        <v>1322</v>
      </c>
      <c r="EG220" s="6"/>
      <c r="EH220" s="7">
        <f>ROUND(3606.7,2)</f>
        <v>3606.7</v>
      </c>
      <c r="EI220" s="6"/>
      <c r="EJ220" s="6"/>
      <c r="EK220" s="6"/>
      <c r="EL220" s="6"/>
      <c r="EM220" s="6"/>
      <c r="EN220" s="7">
        <f t="shared" si="15"/>
        <v>256.72000000000003</v>
      </c>
      <c r="EO220" s="7">
        <f>ROUND(167.57,2)</f>
        <v>167.57</v>
      </c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7">
        <f>ROUND(10268.8,2)</f>
        <v>10268.799999999999</v>
      </c>
      <c r="FC220" s="7">
        <f>ROUND(5133.12,2)</f>
        <v>5133.12</v>
      </c>
      <c r="FD220" s="7">
        <f>ROUND(396.6,2)</f>
        <v>396.6</v>
      </c>
      <c r="FE220" s="7">
        <f>ROUND(240.68,2)</f>
        <v>240.68</v>
      </c>
      <c r="FF220" s="6"/>
      <c r="FG220" s="6"/>
      <c r="FH220" s="6"/>
      <c r="FI220" s="6"/>
      <c r="FJ220" s="7">
        <f>ROUND(2000,2)</f>
        <v>2000</v>
      </c>
      <c r="FK220" s="6"/>
      <c r="FL220" s="6"/>
      <c r="FM220" s="6"/>
      <c r="FN220" s="6"/>
      <c r="FO220" s="6"/>
      <c r="FP220" s="6"/>
      <c r="FQ220" s="6"/>
      <c r="FR220" s="6"/>
      <c r="FS220" s="6"/>
      <c r="FT220" s="7">
        <f t="shared" si="16"/>
        <v>3000</v>
      </c>
      <c r="FU220" s="6"/>
      <c r="FV220" s="6"/>
      <c r="FW220" s="6"/>
      <c r="FX220" s="7">
        <f>ROUND(2427.12,2)</f>
        <v>2427.12</v>
      </c>
      <c r="FY220" s="7">
        <f>ROUND(126784.13,2)</f>
        <v>126784.13</v>
      </c>
    </row>
    <row r="221" spans="1:181" x14ac:dyDescent="0.3">
      <c r="A221" s="4" t="s">
        <v>514</v>
      </c>
      <c r="B221" s="5" t="s">
        <v>1029</v>
      </c>
      <c r="C221" s="5" t="s">
        <v>181</v>
      </c>
      <c r="D221" s="5" t="s">
        <v>515</v>
      </c>
      <c r="E221" s="5" t="s">
        <v>0</v>
      </c>
      <c r="F221" s="5" t="s">
        <v>0</v>
      </c>
      <c r="G221" s="5" t="s">
        <v>183</v>
      </c>
      <c r="H221" s="8">
        <v>34.04</v>
      </c>
      <c r="I221" s="7">
        <f>ROUND(110688.519999999,2)</f>
        <v>110688.52</v>
      </c>
      <c r="J221" s="6"/>
      <c r="K221" s="6"/>
      <c r="L221" s="6"/>
      <c r="M221" s="6"/>
      <c r="N221" s="7">
        <f>ROUND(1281.9,2)</f>
        <v>1281.9000000000001</v>
      </c>
      <c r="O221" s="6"/>
      <c r="P221" s="6"/>
      <c r="Q221" s="7">
        <f>ROUND(576.92,2)</f>
        <v>576.91999999999996</v>
      </c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7">
        <f>ROUND(455.5,2)</f>
        <v>455.5</v>
      </c>
      <c r="AF221" s="6"/>
      <c r="AG221" s="7">
        <f>ROUND(133.09,2)</f>
        <v>133.09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7">
        <f>ROUND(60,2)</f>
        <v>60</v>
      </c>
      <c r="AV221" s="7">
        <f>ROUND(8,2)</f>
        <v>8</v>
      </c>
      <c r="AW221" s="7">
        <f>ROUND(24,2)</f>
        <v>24</v>
      </c>
      <c r="AX221" s="7">
        <f>ROUND(8,2)</f>
        <v>8</v>
      </c>
      <c r="AY221" s="7">
        <f>ROUND(242.02,2)</f>
        <v>242.02</v>
      </c>
      <c r="AZ221" s="7">
        <f>ROUND(5.98,2)</f>
        <v>5.98</v>
      </c>
      <c r="BA221" s="6"/>
      <c r="BB221" s="7">
        <f>ROUND(24,2)</f>
        <v>24</v>
      </c>
      <c r="BC221" s="6"/>
      <c r="BD221" s="7">
        <f>ROUND(17,2)</f>
        <v>17</v>
      </c>
      <c r="BE221" s="6"/>
      <c r="BF221" s="6"/>
      <c r="BG221" s="7">
        <f>ROUND(63.0699999999999,2)</f>
        <v>63.07</v>
      </c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7">
        <f>ROUND(7.77,2)</f>
        <v>7.77</v>
      </c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7">
        <f>ROUND(2907.25,2)</f>
        <v>2907.25</v>
      </c>
      <c r="CR221" s="6"/>
      <c r="CS221" s="6"/>
      <c r="CT221" s="6"/>
      <c r="CU221" s="6"/>
      <c r="CV221" s="7">
        <f>ROUND(41912.0499999999,2)</f>
        <v>41912.050000000003</v>
      </c>
      <c r="CW221" s="6"/>
      <c r="CX221" s="6"/>
      <c r="CY221" s="7">
        <f>ROUND(28214.2299999999,2)</f>
        <v>28214.23</v>
      </c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7">
        <f>ROUND(14802.25,2)</f>
        <v>14802.25</v>
      </c>
      <c r="DO221" s="6"/>
      <c r="DP221" s="7">
        <f>ROUND(6496.61,2)</f>
        <v>6496.61</v>
      </c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7">
        <f>ROUND(1956.36,2)</f>
        <v>1956.36</v>
      </c>
      <c r="EE221" s="7">
        <f>ROUND(396.64,2)</f>
        <v>396.64</v>
      </c>
      <c r="EF221" s="7">
        <f>ROUND(793.199999999999,2)</f>
        <v>793.2</v>
      </c>
      <c r="EG221" s="7">
        <f>ROUND(396.6,2)</f>
        <v>396.6</v>
      </c>
      <c r="EH221" s="7">
        <f>ROUND(7868.2,2)</f>
        <v>7868.2</v>
      </c>
      <c r="EI221" s="7">
        <f>ROUND(296.46,2)</f>
        <v>296.45999999999998</v>
      </c>
      <c r="EJ221" s="6"/>
      <c r="EK221" s="7">
        <f>ROUND(777.84,2)</f>
        <v>777.84</v>
      </c>
      <c r="EL221" s="6"/>
      <c r="EM221" s="6"/>
      <c r="EN221" s="7">
        <f>ROUND(554.17,2)</f>
        <v>554.16999999999996</v>
      </c>
      <c r="EO221" s="6"/>
      <c r="EP221" s="6"/>
      <c r="EQ221" s="7">
        <f>ROUND(2023.90999999999,2)</f>
        <v>2023.91</v>
      </c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7">
        <f>ROUND(1200,2)</f>
        <v>1200</v>
      </c>
      <c r="FK221" s="6"/>
      <c r="FL221" s="6"/>
      <c r="FM221" s="6"/>
      <c r="FN221" s="6"/>
      <c r="FO221" s="6"/>
      <c r="FP221" s="6"/>
      <c r="FQ221" s="6"/>
      <c r="FR221" s="6"/>
      <c r="FS221" s="6"/>
      <c r="FT221" s="7">
        <f t="shared" si="16"/>
        <v>3000</v>
      </c>
      <c r="FU221" s="6"/>
      <c r="FV221" s="6"/>
      <c r="FW221" s="6"/>
      <c r="FX221" s="6"/>
      <c r="FY221" s="7">
        <f>ROUND(110688.52,2)</f>
        <v>110688.52</v>
      </c>
    </row>
    <row r="222" spans="1:181" x14ac:dyDescent="0.3">
      <c r="A222" s="4" t="s">
        <v>516</v>
      </c>
      <c r="B222" s="5" t="s">
        <v>1029</v>
      </c>
      <c r="C222" s="5" t="s">
        <v>181</v>
      </c>
      <c r="D222" s="5" t="s">
        <v>517</v>
      </c>
      <c r="E222" s="5" t="s">
        <v>0</v>
      </c>
      <c r="F222" s="5" t="s">
        <v>0</v>
      </c>
      <c r="G222" s="5" t="s">
        <v>183</v>
      </c>
      <c r="H222" s="8">
        <v>33.71</v>
      </c>
      <c r="I222" s="7">
        <f>ROUND(75102.31,2)</f>
        <v>75102.31</v>
      </c>
      <c r="J222" s="6"/>
      <c r="K222" s="6"/>
      <c r="L222" s="6"/>
      <c r="M222" s="6"/>
      <c r="N222" s="7">
        <f>ROUND(1045.52,2)</f>
        <v>1045.52</v>
      </c>
      <c r="O222" s="6"/>
      <c r="P222" s="6"/>
      <c r="Q222" s="7">
        <f>ROUND(118.899999999999,2)</f>
        <v>118.9</v>
      </c>
      <c r="R222" s="6"/>
      <c r="S222" s="6"/>
      <c r="T222" s="6"/>
      <c r="U222" s="6"/>
      <c r="V222" s="7">
        <f>ROUND(27.34,2)</f>
        <v>27.34</v>
      </c>
      <c r="W222" s="7">
        <f>ROUND(5.67,2)</f>
        <v>5.67</v>
      </c>
      <c r="X222" s="7">
        <f>ROUND(11.9799999999999,2)</f>
        <v>11.98</v>
      </c>
      <c r="Y222" s="7">
        <f>ROUND(1.85,2)</f>
        <v>1.85</v>
      </c>
      <c r="Z222" s="6"/>
      <c r="AA222" s="6"/>
      <c r="AB222" s="6"/>
      <c r="AC222" s="6"/>
      <c r="AD222" s="6"/>
      <c r="AE222" s="7">
        <f>ROUND(348.63,2)</f>
        <v>348.63</v>
      </c>
      <c r="AF222" s="6"/>
      <c r="AG222" s="7">
        <f>ROUND(42.92,2)</f>
        <v>42.92</v>
      </c>
      <c r="AH222" s="6"/>
      <c r="AI222" s="6"/>
      <c r="AJ222" s="6"/>
      <c r="AK222" s="6"/>
      <c r="AL222" s="6"/>
      <c r="AM222" s="6"/>
      <c r="AN222" s="6"/>
      <c r="AO222" s="6"/>
      <c r="AP222" s="7">
        <f>ROUND(90.81,2)</f>
        <v>90.81</v>
      </c>
      <c r="AQ222" s="6"/>
      <c r="AR222" s="7">
        <f>ROUND(43.69,2)</f>
        <v>43.69</v>
      </c>
      <c r="AS222" s="6"/>
      <c r="AT222" s="6"/>
      <c r="AU222" s="7">
        <f>ROUND(67.58,2)</f>
        <v>67.58</v>
      </c>
      <c r="AV222" s="7">
        <f>ROUND(0.41,2)</f>
        <v>0.41</v>
      </c>
      <c r="AW222" s="7">
        <f>ROUND(24,2)</f>
        <v>24</v>
      </c>
      <c r="AX222" s="7">
        <f>ROUND(8,2)</f>
        <v>8</v>
      </c>
      <c r="AY222" s="7">
        <f>ROUND(111.25,2)</f>
        <v>111.25</v>
      </c>
      <c r="AZ222" s="7">
        <f>ROUND(0.75,2)</f>
        <v>0.75</v>
      </c>
      <c r="BA222" s="6"/>
      <c r="BB222" s="7">
        <f>ROUND(40,2)</f>
        <v>40</v>
      </c>
      <c r="BC222" s="6"/>
      <c r="BD222" s="7">
        <f>ROUND(40,2)</f>
        <v>40</v>
      </c>
      <c r="BE222" s="6"/>
      <c r="BF222" s="6"/>
      <c r="BG222" s="6"/>
      <c r="BH222" s="6"/>
      <c r="BI222" s="6"/>
      <c r="BJ222" s="6"/>
      <c r="BK222" s="7">
        <f>ROUND(10.25,2)</f>
        <v>10.25</v>
      </c>
      <c r="BL222" s="6"/>
      <c r="BM222" s="6"/>
      <c r="BN222" s="6"/>
      <c r="BO222" s="6"/>
      <c r="BP222" s="6"/>
      <c r="BQ222" s="7">
        <f>ROUND(9.5,2)</f>
        <v>9.5</v>
      </c>
      <c r="BR222" s="7">
        <f>ROUND(5.43,2)</f>
        <v>5.43</v>
      </c>
      <c r="BS222" s="6"/>
      <c r="BT222" s="7">
        <f>ROUND(0.4,2)</f>
        <v>0.4</v>
      </c>
      <c r="BU222" s="6"/>
      <c r="BV222" s="6"/>
      <c r="BW222" s="6"/>
      <c r="BX222" s="6"/>
      <c r="BY222" s="6"/>
      <c r="BZ222" s="6"/>
      <c r="CA222" s="7">
        <f>ROUND(24,2)</f>
        <v>24</v>
      </c>
      <c r="CB222" s="7">
        <f>ROUND(395.68,2)</f>
        <v>395.68</v>
      </c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>
        <f>ROUND(16,2)</f>
        <v>16</v>
      </c>
      <c r="CQ222" s="7">
        <f>ROUND(2490.56,2)</f>
        <v>2490.56</v>
      </c>
      <c r="CR222" s="6"/>
      <c r="CS222" s="6"/>
      <c r="CT222" s="6"/>
      <c r="CU222" s="6"/>
      <c r="CV222" s="7">
        <f>ROUND(33825.3599999999,2)</f>
        <v>33825.360000000001</v>
      </c>
      <c r="CW222" s="6"/>
      <c r="CX222" s="6"/>
      <c r="CY222" s="7">
        <f>ROUND(5782.66,2)</f>
        <v>5782.66</v>
      </c>
      <c r="CZ222" s="6"/>
      <c r="DA222" s="6"/>
      <c r="DB222" s="6"/>
      <c r="DC222" s="6"/>
      <c r="DD222" s="7">
        <f>ROUND(906.63,2)</f>
        <v>906.63</v>
      </c>
      <c r="DE222" s="7">
        <f>ROUND(272.93,2)</f>
        <v>272.93</v>
      </c>
      <c r="DF222" s="7">
        <f>ROUND(393.09,2)</f>
        <v>393.09</v>
      </c>
      <c r="DG222" s="7">
        <f>ROUND(91.21,2)</f>
        <v>91.21</v>
      </c>
      <c r="DH222" s="6"/>
      <c r="DI222" s="6"/>
      <c r="DJ222" s="6"/>
      <c r="DK222" s="6"/>
      <c r="DL222" s="6"/>
      <c r="DM222" s="6"/>
      <c r="DN222" s="7">
        <f>ROUND(11522.84,2)</f>
        <v>11522.84</v>
      </c>
      <c r="DO222" s="6"/>
      <c r="DP222" s="7">
        <f>ROUND(2130.73,2)</f>
        <v>2130.73</v>
      </c>
      <c r="DQ222" s="6"/>
      <c r="DR222" s="6"/>
      <c r="DS222" s="6"/>
      <c r="DT222" s="6"/>
      <c r="DU222" s="6"/>
      <c r="DV222" s="6"/>
      <c r="DW222" s="6"/>
      <c r="DX222" s="6"/>
      <c r="DY222" s="7">
        <f>ROUND(2999.25,2)</f>
        <v>2999.25</v>
      </c>
      <c r="DZ222" s="6"/>
      <c r="EA222" s="7">
        <f>ROUND(2156.94,2)</f>
        <v>2156.94</v>
      </c>
      <c r="EB222" s="6"/>
      <c r="EC222" s="6"/>
      <c r="ED222" s="7">
        <f>ROUND(2204.24,2)</f>
        <v>2204.2399999999998</v>
      </c>
      <c r="EE222" s="7">
        <f>ROUND(20.33,2)</f>
        <v>20.329999999999998</v>
      </c>
      <c r="EF222" s="7">
        <f>ROUND(785.52,2)</f>
        <v>785.52</v>
      </c>
      <c r="EG222" s="7">
        <f>ROUND(404.52,2)</f>
        <v>404.52</v>
      </c>
      <c r="EH222" s="7">
        <f>ROUND(3600.73,2)</f>
        <v>3600.73</v>
      </c>
      <c r="EI222" s="7">
        <f>ROUND(36.1,2)</f>
        <v>36.1</v>
      </c>
      <c r="EJ222" s="6"/>
      <c r="EK222" s="7">
        <f>ROUND(1298.96,2)</f>
        <v>1298.96</v>
      </c>
      <c r="EL222" s="6"/>
      <c r="EM222" s="6"/>
      <c r="EN222" s="7">
        <f>ROUND(1283.6,2)</f>
        <v>1283.5999999999999</v>
      </c>
      <c r="EO222" s="6"/>
      <c r="EP222" s="6"/>
      <c r="EQ222" s="6"/>
      <c r="ER222" s="6"/>
      <c r="ES222" s="6"/>
      <c r="ET222" s="6"/>
      <c r="EU222" s="6"/>
      <c r="EV222" s="6"/>
      <c r="EW222" s="6"/>
      <c r="EX222" s="7">
        <f>ROUND(329.66,2)</f>
        <v>329.66</v>
      </c>
      <c r="EY222" s="6"/>
      <c r="EZ222" s="6"/>
      <c r="FA222" s="6"/>
      <c r="FB222" s="6"/>
      <c r="FC222" s="6"/>
      <c r="FD222" s="7">
        <f>ROUND(306.28,2)</f>
        <v>306.27999999999997</v>
      </c>
      <c r="FE222" s="7">
        <f>ROUND(261.37,2)</f>
        <v>261.37</v>
      </c>
      <c r="FF222" s="6"/>
      <c r="FG222" s="6"/>
      <c r="FH222" s="6"/>
      <c r="FI222" s="6"/>
      <c r="FJ222" s="7">
        <f>ROUND(950,2)</f>
        <v>950</v>
      </c>
      <c r="FK222" s="6"/>
      <c r="FL222" s="6"/>
      <c r="FM222" s="6"/>
      <c r="FN222" s="6"/>
      <c r="FO222" s="6"/>
      <c r="FP222" s="6"/>
      <c r="FQ222" s="6"/>
      <c r="FR222" s="6"/>
      <c r="FS222" s="6"/>
      <c r="FT222" s="7">
        <f t="shared" si="16"/>
        <v>3000</v>
      </c>
      <c r="FU222" s="6"/>
      <c r="FV222" s="6"/>
      <c r="FW222" s="6"/>
      <c r="FX222" s="7">
        <f>ROUND(539.36,2)</f>
        <v>539.36</v>
      </c>
      <c r="FY222" s="7">
        <f>ROUND(75102.31,2)</f>
        <v>75102.31</v>
      </c>
    </row>
    <row r="223" spans="1:181" x14ac:dyDescent="0.3">
      <c r="A223" s="4" t="s">
        <v>518</v>
      </c>
      <c r="B223" s="5" t="s">
        <v>1029</v>
      </c>
      <c r="C223" s="5" t="s">
        <v>181</v>
      </c>
      <c r="D223" s="5" t="s">
        <v>519</v>
      </c>
      <c r="E223" s="5" t="s">
        <v>0</v>
      </c>
      <c r="F223" s="5" t="s">
        <v>0</v>
      </c>
      <c r="G223" s="5" t="s">
        <v>183</v>
      </c>
      <c r="H223" s="8">
        <v>33.880000000000003</v>
      </c>
      <c r="I223" s="7">
        <f>ROUND(51970.1,2)</f>
        <v>51970.1</v>
      </c>
      <c r="J223" s="6"/>
      <c r="K223" s="6"/>
      <c r="L223" s="6"/>
      <c r="M223" s="6"/>
      <c r="N223" s="7">
        <f>ROUND(1056.42,2)</f>
        <v>1056.42</v>
      </c>
      <c r="O223" s="6"/>
      <c r="P223" s="6"/>
      <c r="Q223" s="7">
        <f>ROUND(75.62,2)</f>
        <v>75.62</v>
      </c>
      <c r="R223" s="6"/>
      <c r="S223" s="6"/>
      <c r="T223" s="6"/>
      <c r="U223" s="6"/>
      <c r="V223" s="6"/>
      <c r="W223" s="7">
        <f>ROUND(7.42,2)</f>
        <v>7.42</v>
      </c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7">
        <f>ROUND(40,2)</f>
        <v>40</v>
      </c>
      <c r="AV223" s="6"/>
      <c r="AW223" s="7">
        <f>ROUND(48,2)</f>
        <v>48</v>
      </c>
      <c r="AX223" s="6"/>
      <c r="AY223" s="7">
        <f>ROUND(184,2)</f>
        <v>184</v>
      </c>
      <c r="AZ223" s="6"/>
      <c r="BA223" s="6"/>
      <c r="BB223" s="7">
        <f>ROUND(24,2)</f>
        <v>24</v>
      </c>
      <c r="BC223" s="6"/>
      <c r="BD223" s="7">
        <f>ROUND(12.5,2)</f>
        <v>12.5</v>
      </c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7">
        <f>ROUND(736,2)</f>
        <v>736</v>
      </c>
      <c r="BT223" s="7">
        <f>ROUND(16.08,2)</f>
        <v>16.079999999999998</v>
      </c>
      <c r="BU223" s="6"/>
      <c r="BV223" s="6"/>
      <c r="BW223" s="7">
        <f>ROUND(24,2)</f>
        <v>24</v>
      </c>
      <c r="BX223" s="6"/>
      <c r="BY223" s="7">
        <f>ROUND(16,2)</f>
        <v>16</v>
      </c>
      <c r="BZ223" s="6"/>
      <c r="CA223" s="7">
        <f>ROUND(16,2)</f>
        <v>16</v>
      </c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7">
        <f>ROUND(2256.04,2)</f>
        <v>2256.04</v>
      </c>
      <c r="CR223" s="6"/>
      <c r="CS223" s="6"/>
      <c r="CT223" s="6"/>
      <c r="CU223" s="6"/>
      <c r="CV223" s="7">
        <f>ROUND(34739.67,2)</f>
        <v>34739.67</v>
      </c>
      <c r="CW223" s="6"/>
      <c r="CX223" s="6"/>
      <c r="CY223" s="7">
        <f>ROUND(3723.02,2)</f>
        <v>3723.02</v>
      </c>
      <c r="CZ223" s="6"/>
      <c r="DA223" s="6"/>
      <c r="DB223" s="6"/>
      <c r="DC223" s="6"/>
      <c r="DD223" s="6"/>
      <c r="DE223" s="7">
        <f>ROUND(369.52,2)</f>
        <v>369.52</v>
      </c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7">
        <f>ROUND(1313.28,2)</f>
        <v>1313.28</v>
      </c>
      <c r="EE223" s="6"/>
      <c r="EF223" s="7">
        <f>ROUND(1570,2)</f>
        <v>1570</v>
      </c>
      <c r="EG223" s="6"/>
      <c r="EH223" s="7">
        <f>ROUND(5950.64,2)</f>
        <v>5950.64</v>
      </c>
      <c r="EI223" s="6"/>
      <c r="EJ223" s="6"/>
      <c r="EK223" s="7">
        <f>ROUND(777.84,2)</f>
        <v>777.84</v>
      </c>
      <c r="EL223" s="6"/>
      <c r="EM223" s="6"/>
      <c r="EN223" s="7">
        <f>ROUND(401.13,2)</f>
        <v>401.13</v>
      </c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7">
        <f>ROUND(125,2)</f>
        <v>125</v>
      </c>
      <c r="FK223" s="6"/>
      <c r="FL223" s="6"/>
      <c r="FM223" s="6"/>
      <c r="FN223" s="6"/>
      <c r="FO223" s="6"/>
      <c r="FP223" s="6"/>
      <c r="FQ223" s="6"/>
      <c r="FR223" s="6"/>
      <c r="FS223" s="6"/>
      <c r="FT223" s="7">
        <f t="shared" si="16"/>
        <v>3000</v>
      </c>
      <c r="FU223" s="6"/>
      <c r="FV223" s="6"/>
      <c r="FW223" s="6"/>
      <c r="FX223" s="6"/>
      <c r="FY223" s="7">
        <f>ROUND(51970.1,2)</f>
        <v>51970.1</v>
      </c>
    </row>
    <row r="224" spans="1:181" x14ac:dyDescent="0.3">
      <c r="A224" s="4" t="s">
        <v>520</v>
      </c>
      <c r="B224" s="5" t="s">
        <v>1029</v>
      </c>
      <c r="C224" s="5" t="s">
        <v>181</v>
      </c>
      <c r="D224" s="5" t="s">
        <v>335</v>
      </c>
      <c r="E224" s="5" t="s">
        <v>0</v>
      </c>
      <c r="F224" s="5" t="s">
        <v>0</v>
      </c>
      <c r="G224" s="5" t="s">
        <v>183</v>
      </c>
      <c r="H224" s="8">
        <v>33.380000000000003</v>
      </c>
      <c r="I224" s="7">
        <f>ROUND(42060.7299999999,2)</f>
        <v>42060.73</v>
      </c>
      <c r="J224" s="6"/>
      <c r="K224" s="6"/>
      <c r="L224" s="6"/>
      <c r="M224" s="6"/>
      <c r="N224" s="7">
        <f>ROUND(840.849999999999,2)</f>
        <v>840.85</v>
      </c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7">
        <f>ROUND(36,2)</f>
        <v>36</v>
      </c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7">
        <f>ROUND(40,2)</f>
        <v>40</v>
      </c>
      <c r="AV224" s="6"/>
      <c r="AW224" s="7">
        <f>ROUND(5,2)</f>
        <v>5</v>
      </c>
      <c r="AX224" s="6"/>
      <c r="AY224" s="7">
        <f>ROUND(20,2)</f>
        <v>20</v>
      </c>
      <c r="AZ224" s="6"/>
      <c r="BA224" s="6"/>
      <c r="BB224" s="7">
        <f>ROUND(5,2)</f>
        <v>5</v>
      </c>
      <c r="BC224" s="6"/>
      <c r="BD224" s="7">
        <f t="shared" ref="BD224:BD230" si="17">ROUND(8,2)</f>
        <v>8</v>
      </c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7">
        <f>ROUND(170,2)</f>
        <v>170</v>
      </c>
      <c r="BP224" s="6"/>
      <c r="BQ224" s="7">
        <f>ROUND(132.5,2)</f>
        <v>132.5</v>
      </c>
      <c r="BR224" s="6"/>
      <c r="BS224" s="7">
        <f>ROUND(63.92,2)</f>
        <v>63.92</v>
      </c>
      <c r="BT224" s="6"/>
      <c r="BU224" s="6"/>
      <c r="BV224" s="6"/>
      <c r="BW224" s="6"/>
      <c r="BX224" s="6"/>
      <c r="BY224" s="7">
        <f>ROUND(20,2)</f>
        <v>20</v>
      </c>
      <c r="BZ224" s="6"/>
      <c r="CA224" s="7">
        <f>ROUND(35,2)</f>
        <v>35</v>
      </c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7">
        <f>ROUND(1376.27,2)</f>
        <v>1376.27</v>
      </c>
      <c r="CR224" s="6"/>
      <c r="CS224" s="6"/>
      <c r="CT224" s="6"/>
      <c r="CU224" s="6"/>
      <c r="CV224" s="7">
        <f>ROUND(27087.53,2)</f>
        <v>27087.53</v>
      </c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7">
        <f>ROUND(1174.43999999999,2)</f>
        <v>1174.44</v>
      </c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7">
        <f>ROUND(1280.45,2)</f>
        <v>1280.45</v>
      </c>
      <c r="EE224" s="6"/>
      <c r="EF224" s="7">
        <f>ROUND(152.45,2)</f>
        <v>152.44999999999999</v>
      </c>
      <c r="EG224" s="6"/>
      <c r="EH224" s="7">
        <f>ROUND(609.8,2)</f>
        <v>609.79999999999995</v>
      </c>
      <c r="EI224" s="6"/>
      <c r="EJ224" s="6"/>
      <c r="EK224" s="7">
        <f>ROUND(152.45,2)</f>
        <v>152.44999999999999</v>
      </c>
      <c r="EL224" s="6"/>
      <c r="EM224" s="6"/>
      <c r="EN224" s="7">
        <f t="shared" ref="EN224:EN230" si="18">ROUND(256.72,2)</f>
        <v>256.72000000000003</v>
      </c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7">
        <f>ROUND(5183.3,2)</f>
        <v>5183.3</v>
      </c>
      <c r="FC224" s="6"/>
      <c r="FD224" s="7">
        <f>ROUND(4338.59,2)</f>
        <v>4338.59</v>
      </c>
      <c r="FE224" s="6"/>
      <c r="FF224" s="6"/>
      <c r="FG224" s="6"/>
      <c r="FH224" s="6"/>
      <c r="FI224" s="6"/>
      <c r="FJ224" s="7">
        <f>ROUND(325,2)</f>
        <v>325</v>
      </c>
      <c r="FK224" s="6"/>
      <c r="FL224" s="6"/>
      <c r="FM224" s="6"/>
      <c r="FN224" s="6"/>
      <c r="FO224" s="6"/>
      <c r="FP224" s="6"/>
      <c r="FQ224" s="6"/>
      <c r="FR224" s="6"/>
      <c r="FS224" s="6"/>
      <c r="FT224" s="7">
        <f>ROUND(1500,2)</f>
        <v>1500</v>
      </c>
      <c r="FU224" s="6"/>
      <c r="FV224" s="6"/>
      <c r="FW224" s="6"/>
      <c r="FX224" s="6"/>
      <c r="FY224" s="7">
        <f>ROUND(42060.7299999999,2)</f>
        <v>42060.73</v>
      </c>
    </row>
    <row r="225" spans="1:181" x14ac:dyDescent="0.3">
      <c r="A225" s="4" t="s">
        <v>523</v>
      </c>
      <c r="B225" s="5" t="s">
        <v>1029</v>
      </c>
      <c r="C225" s="5" t="s">
        <v>181</v>
      </c>
      <c r="D225" s="5" t="s">
        <v>194</v>
      </c>
      <c r="E225" s="5" t="s">
        <v>0</v>
      </c>
      <c r="F225" s="5" t="s">
        <v>0</v>
      </c>
      <c r="G225" s="5" t="s">
        <v>183</v>
      </c>
      <c r="H225" s="8">
        <v>33.380000000000003</v>
      </c>
      <c r="I225" s="7">
        <f>ROUND(89142.0299999999,2)</f>
        <v>89142.03</v>
      </c>
      <c r="J225" s="6"/>
      <c r="K225" s="6"/>
      <c r="L225" s="6"/>
      <c r="M225" s="6"/>
      <c r="N225" s="7">
        <f>ROUND(1451.98999999999,2)</f>
        <v>1451.99</v>
      </c>
      <c r="O225" s="6"/>
      <c r="P225" s="6"/>
      <c r="Q225" s="7">
        <f>ROUND(214.61,2)</f>
        <v>214.61</v>
      </c>
      <c r="R225" s="6"/>
      <c r="S225" s="6"/>
      <c r="T225" s="6"/>
      <c r="U225" s="6"/>
      <c r="V225" s="7">
        <f>ROUND(0.93,2)</f>
        <v>0.93</v>
      </c>
      <c r="W225" s="7">
        <f>ROUND(3.82,2)</f>
        <v>3.82</v>
      </c>
      <c r="X225" s="7">
        <f>ROUND(2.27,2)</f>
        <v>2.27</v>
      </c>
      <c r="Y225" s="7">
        <f>ROUND(1.33,2)</f>
        <v>1.33</v>
      </c>
      <c r="Z225" s="6"/>
      <c r="AA225" s="6"/>
      <c r="AB225" s="6"/>
      <c r="AC225" s="6"/>
      <c r="AD225" s="6"/>
      <c r="AE225" s="7">
        <f>ROUND(156.97,2)</f>
        <v>156.97</v>
      </c>
      <c r="AF225" s="6"/>
      <c r="AG225" s="7">
        <f>ROUND(14.29,2)</f>
        <v>14.29</v>
      </c>
      <c r="AH225" s="6"/>
      <c r="AI225" s="6"/>
      <c r="AJ225" s="6"/>
      <c r="AK225" s="6"/>
      <c r="AL225" s="6"/>
      <c r="AM225" s="6"/>
      <c r="AN225" s="6"/>
      <c r="AO225" s="6"/>
      <c r="AP225" s="7">
        <f>ROUND(335.87,2)</f>
        <v>335.87</v>
      </c>
      <c r="AQ225" s="6"/>
      <c r="AR225" s="7">
        <f>ROUND(36.14,2)</f>
        <v>36.14</v>
      </c>
      <c r="AS225" s="6"/>
      <c r="AT225" s="6"/>
      <c r="AU225" s="7">
        <f>ROUND(68,2)</f>
        <v>68</v>
      </c>
      <c r="AV225" s="7">
        <f>ROUND(8,2)</f>
        <v>8</v>
      </c>
      <c r="AW225" s="7">
        <f>ROUND(26.53,2)</f>
        <v>26.53</v>
      </c>
      <c r="AX225" s="7">
        <f>ROUND(5.47,2)</f>
        <v>5.47</v>
      </c>
      <c r="AY225" s="7">
        <f>ROUND(16,2)</f>
        <v>16</v>
      </c>
      <c r="AZ225" s="6"/>
      <c r="BA225" s="6"/>
      <c r="BB225" s="7">
        <f>ROUND(44,2)</f>
        <v>44</v>
      </c>
      <c r="BC225" s="6"/>
      <c r="BD225" s="7">
        <f t="shared" si="17"/>
        <v>8</v>
      </c>
      <c r="BE225" s="7">
        <f>ROUND(3.48,2)</f>
        <v>3.48</v>
      </c>
      <c r="BF225" s="6"/>
      <c r="BG225" s="6"/>
      <c r="BH225" s="6"/>
      <c r="BI225" s="6"/>
      <c r="BJ225" s="6"/>
      <c r="BK225" s="6"/>
      <c r="BL225" s="6"/>
      <c r="BM225" s="6"/>
      <c r="BN225" s="6"/>
      <c r="BO225" s="7">
        <f>ROUND(20,2)</f>
        <v>20</v>
      </c>
      <c r="BP225" s="6"/>
      <c r="BQ225" s="7">
        <f>ROUND(8.42,2)</f>
        <v>8.42</v>
      </c>
      <c r="BR225" s="6"/>
      <c r="BS225" s="6"/>
      <c r="BT225" s="7">
        <f>ROUND(0.17,2)</f>
        <v>0.17</v>
      </c>
      <c r="BU225" s="6"/>
      <c r="BV225" s="6"/>
      <c r="BW225" s="6"/>
      <c r="BX225" s="6"/>
      <c r="BY225" s="6"/>
      <c r="BZ225" s="6"/>
      <c r="CA225" s="7">
        <f>ROUND(8,2)</f>
        <v>8</v>
      </c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7">
        <f>ROUND(24,2)</f>
        <v>24</v>
      </c>
      <c r="CQ225" s="7">
        <f>ROUND(2458.28999999999,2)</f>
        <v>2458.29</v>
      </c>
      <c r="CR225" s="6"/>
      <c r="CS225" s="6"/>
      <c r="CT225" s="6"/>
      <c r="CU225" s="6"/>
      <c r="CV225" s="7">
        <f>ROUND(47315.6899999999,2)</f>
        <v>47315.69</v>
      </c>
      <c r="CW225" s="6"/>
      <c r="CX225" s="6"/>
      <c r="CY225" s="7">
        <f>ROUND(10573.97,2)</f>
        <v>10573.97</v>
      </c>
      <c r="CZ225" s="6"/>
      <c r="DA225" s="6"/>
      <c r="DB225" s="6"/>
      <c r="DC225" s="6"/>
      <c r="DD225" s="7">
        <f>ROUND(30.88,2)</f>
        <v>30.88</v>
      </c>
      <c r="DE225" s="7">
        <f>ROUND(190.24,2)</f>
        <v>190.24</v>
      </c>
      <c r="DF225" s="7">
        <f>ROUND(75.03,2)</f>
        <v>75.03</v>
      </c>
      <c r="DG225" s="7">
        <f>ROUND(65.93,2)</f>
        <v>65.930000000000007</v>
      </c>
      <c r="DH225" s="6"/>
      <c r="DI225" s="6"/>
      <c r="DJ225" s="6"/>
      <c r="DK225" s="6"/>
      <c r="DL225" s="6"/>
      <c r="DM225" s="6"/>
      <c r="DN225" s="7">
        <f>ROUND(5179.69,2)</f>
        <v>5179.6899999999996</v>
      </c>
      <c r="DO225" s="6"/>
      <c r="DP225" s="7">
        <f>ROUND(708.63,2)</f>
        <v>708.63</v>
      </c>
      <c r="DQ225" s="6"/>
      <c r="DR225" s="6"/>
      <c r="DS225" s="6"/>
      <c r="DT225" s="6"/>
      <c r="DU225" s="6"/>
      <c r="DV225" s="6"/>
      <c r="DW225" s="6"/>
      <c r="DX225" s="6"/>
      <c r="DY225" s="7">
        <f>ROUND(10955.0799999999,2)</f>
        <v>10955.08</v>
      </c>
      <c r="DZ225" s="6"/>
      <c r="EA225" s="7">
        <f>ROUND(1760.90999999999,2)</f>
        <v>1760.91</v>
      </c>
      <c r="EB225" s="6"/>
      <c r="EC225" s="6"/>
      <c r="ED225" s="7">
        <f>ROUND(2210.38,2)</f>
        <v>2210.38</v>
      </c>
      <c r="EE225" s="7">
        <f>ROUND(396.64,2)</f>
        <v>396.64</v>
      </c>
      <c r="EF225" s="7">
        <f>ROUND(876.82,2)</f>
        <v>876.82</v>
      </c>
      <c r="EG225" s="7">
        <f>ROUND(271.18,2)</f>
        <v>271.18</v>
      </c>
      <c r="EH225" s="7">
        <f>ROUND(528.8,2)</f>
        <v>528.79999999999995</v>
      </c>
      <c r="EI225" s="6"/>
      <c r="EJ225" s="6"/>
      <c r="EK225" s="7">
        <f>ROUND(1438.84,2)</f>
        <v>1438.84</v>
      </c>
      <c r="EL225" s="6"/>
      <c r="EM225" s="6"/>
      <c r="EN225" s="7">
        <f t="shared" si="18"/>
        <v>256.72000000000003</v>
      </c>
      <c r="EO225" s="7">
        <f>ROUND(113.73,2)</f>
        <v>113.73</v>
      </c>
      <c r="EP225" s="6"/>
      <c r="EQ225" s="6"/>
      <c r="ER225" s="7">
        <f>ROUND(344,2)</f>
        <v>344</v>
      </c>
      <c r="ES225" s="6"/>
      <c r="ET225" s="6"/>
      <c r="EU225" s="6"/>
      <c r="EV225" s="6"/>
      <c r="EW225" s="6"/>
      <c r="EX225" s="6"/>
      <c r="EY225" s="6"/>
      <c r="EZ225" s="6"/>
      <c r="FA225" s="6"/>
      <c r="FB225" s="7">
        <f>ROUND(647.349999999999,2)</f>
        <v>647.35</v>
      </c>
      <c r="FC225" s="6"/>
      <c r="FD225" s="7">
        <f>ROUND(275.4,2)</f>
        <v>275.39999999999998</v>
      </c>
      <c r="FE225" s="6"/>
      <c r="FF225" s="6"/>
      <c r="FG225" s="6"/>
      <c r="FH225" s="6"/>
      <c r="FI225" s="6"/>
      <c r="FJ225" s="7">
        <f>ROUND(1125,2)</f>
        <v>1125</v>
      </c>
      <c r="FK225" s="6"/>
      <c r="FL225" s="6"/>
      <c r="FM225" s="6"/>
      <c r="FN225" s="6"/>
      <c r="FO225" s="6"/>
      <c r="FP225" s="6"/>
      <c r="FQ225" s="6"/>
      <c r="FR225" s="6"/>
      <c r="FS225" s="6"/>
      <c r="FT225" s="7">
        <f>ROUND(3000,2)</f>
        <v>3000</v>
      </c>
      <c r="FU225" s="6"/>
      <c r="FV225" s="6"/>
      <c r="FW225" s="6"/>
      <c r="FX225" s="7">
        <f>ROUND(801.12,2)</f>
        <v>801.12</v>
      </c>
      <c r="FY225" s="7">
        <f>ROUND(89142.0299999999,2)</f>
        <v>89142.03</v>
      </c>
    </row>
    <row r="226" spans="1:181" x14ac:dyDescent="0.3">
      <c r="A226" s="4" t="s">
        <v>524</v>
      </c>
      <c r="B226" s="5" t="s">
        <v>1029</v>
      </c>
      <c r="C226" s="5" t="s">
        <v>181</v>
      </c>
      <c r="D226" s="5" t="s">
        <v>335</v>
      </c>
      <c r="E226" s="5" t="s">
        <v>0</v>
      </c>
      <c r="F226" s="5" t="s">
        <v>0</v>
      </c>
      <c r="G226" s="5" t="s">
        <v>183</v>
      </c>
      <c r="H226" s="6">
        <v>33.380000000000003</v>
      </c>
      <c r="I226" s="7">
        <f>ROUND(80991.18,2)</f>
        <v>80991.179999999993</v>
      </c>
      <c r="J226" s="6"/>
      <c r="K226" s="6"/>
      <c r="L226" s="6"/>
      <c r="M226" s="6"/>
      <c r="N226" s="7">
        <f>ROUND(1245.48,2)</f>
        <v>1245.48</v>
      </c>
      <c r="O226" s="6"/>
      <c r="P226" s="6"/>
      <c r="Q226" s="7">
        <f>ROUND(147.269999999999,2)</f>
        <v>147.27000000000001</v>
      </c>
      <c r="R226" s="6"/>
      <c r="S226" s="6"/>
      <c r="T226" s="6"/>
      <c r="U226" s="6"/>
      <c r="V226" s="7">
        <f>ROUND(26,2)</f>
        <v>26</v>
      </c>
      <c r="W226" s="6"/>
      <c r="X226" s="7">
        <f>ROUND(0.75,2)</f>
        <v>0.75</v>
      </c>
      <c r="Y226" s="6"/>
      <c r="Z226" s="7">
        <f>ROUND(0.18,2)</f>
        <v>0.18</v>
      </c>
      <c r="AA226" s="6"/>
      <c r="AB226" s="6"/>
      <c r="AC226" s="6"/>
      <c r="AD226" s="6"/>
      <c r="AE226" s="7">
        <f>ROUND(363.76,2)</f>
        <v>363.76</v>
      </c>
      <c r="AF226" s="6"/>
      <c r="AG226" s="7">
        <f>ROUND(38.9899999999999,2)</f>
        <v>38.99</v>
      </c>
      <c r="AH226" s="6"/>
      <c r="AI226" s="6"/>
      <c r="AJ226" s="6"/>
      <c r="AK226" s="6"/>
      <c r="AL226" s="6"/>
      <c r="AM226" s="6"/>
      <c r="AN226" s="6"/>
      <c r="AO226" s="6"/>
      <c r="AP226" s="7">
        <f>ROUND(275.289999999999,2)</f>
        <v>275.29000000000002</v>
      </c>
      <c r="AQ226" s="6"/>
      <c r="AR226" s="7">
        <f>ROUND(26,2)</f>
        <v>26</v>
      </c>
      <c r="AS226" s="6"/>
      <c r="AT226" s="6"/>
      <c r="AU226" s="7">
        <f>ROUND(68,2)</f>
        <v>68</v>
      </c>
      <c r="AV226" s="6"/>
      <c r="AW226" s="7">
        <f>ROUND(32,2)</f>
        <v>32</v>
      </c>
      <c r="AX226" s="6"/>
      <c r="AY226" s="7">
        <f>ROUND(39.5,2)</f>
        <v>39.5</v>
      </c>
      <c r="AZ226" s="7">
        <f>ROUND(0.5,2)</f>
        <v>0.5</v>
      </c>
      <c r="BA226" s="6"/>
      <c r="BB226" s="6"/>
      <c r="BC226" s="6"/>
      <c r="BD226" s="7">
        <f t="shared" si="17"/>
        <v>8</v>
      </c>
      <c r="BE226" s="7">
        <f>ROUND(1,2)</f>
        <v>1</v>
      </c>
      <c r="BF226" s="6"/>
      <c r="BG226" s="6"/>
      <c r="BH226" s="6"/>
      <c r="BI226" s="6"/>
      <c r="BJ226" s="6"/>
      <c r="BK226" s="6"/>
      <c r="BL226" s="6"/>
      <c r="BM226" s="6"/>
      <c r="BN226" s="6"/>
      <c r="BO226" s="7">
        <f>ROUND(10.25,2)</f>
        <v>10.25</v>
      </c>
      <c r="BP226" s="6"/>
      <c r="BQ226" s="7">
        <f>ROUND(10,2)</f>
        <v>10</v>
      </c>
      <c r="BR226" s="6"/>
      <c r="BS226" s="6"/>
      <c r="BT226" s="6"/>
      <c r="BU226" s="6"/>
      <c r="BV226" s="6"/>
      <c r="BW226" s="6"/>
      <c r="BX226" s="6"/>
      <c r="BY226" s="7">
        <f>ROUND(32,2)</f>
        <v>32</v>
      </c>
      <c r="BZ226" s="6"/>
      <c r="CA226" s="7">
        <f>ROUND(16,2)</f>
        <v>16</v>
      </c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7">
        <f>ROUND(2340.97,2)</f>
        <v>2340.9699999999998</v>
      </c>
      <c r="CR226" s="6"/>
      <c r="CS226" s="6"/>
      <c r="CT226" s="6"/>
      <c r="CU226" s="6"/>
      <c r="CV226" s="7">
        <f>ROUND(40009.5,2)</f>
        <v>40009.5</v>
      </c>
      <c r="CW226" s="6"/>
      <c r="CX226" s="6"/>
      <c r="CY226" s="7">
        <f>ROUND(7030.68,2)</f>
        <v>7030.68</v>
      </c>
      <c r="CZ226" s="6"/>
      <c r="DA226" s="6"/>
      <c r="DB226" s="6"/>
      <c r="DC226" s="6"/>
      <c r="DD226" s="7">
        <f>ROUND(817.069999999999,2)</f>
        <v>817.07</v>
      </c>
      <c r="DE226" s="6"/>
      <c r="DF226" s="7">
        <f>ROUND(24.79,2)</f>
        <v>24.79</v>
      </c>
      <c r="DG226" s="6"/>
      <c r="DH226" s="7">
        <f>ROUND(11.9,2)</f>
        <v>11.9</v>
      </c>
      <c r="DI226" s="6"/>
      <c r="DJ226" s="6"/>
      <c r="DK226" s="6"/>
      <c r="DL226" s="6"/>
      <c r="DM226" s="6"/>
      <c r="DN226" s="7">
        <f>ROUND(11796.1499999999,2)</f>
        <v>11796.15</v>
      </c>
      <c r="DO226" s="6"/>
      <c r="DP226" s="7">
        <f>ROUND(1866.23,2)</f>
        <v>1866.23</v>
      </c>
      <c r="DQ226" s="6"/>
      <c r="DR226" s="6"/>
      <c r="DS226" s="6"/>
      <c r="DT226" s="6"/>
      <c r="DU226" s="6"/>
      <c r="DV226" s="6"/>
      <c r="DW226" s="6"/>
      <c r="DX226" s="6"/>
      <c r="DY226" s="7">
        <f>ROUND(8608.86,2)</f>
        <v>8608.86</v>
      </c>
      <c r="DZ226" s="6"/>
      <c r="EA226" s="7">
        <f>ROUND(1235.1,2)</f>
        <v>1235.0999999999999</v>
      </c>
      <c r="EB226" s="6"/>
      <c r="EC226" s="6"/>
      <c r="ED226" s="7">
        <f>ROUND(2170.68,2)</f>
        <v>2170.6799999999998</v>
      </c>
      <c r="EE226" s="6"/>
      <c r="EF226" s="7">
        <f>ROUND(1008.95999999999,2)</f>
        <v>1008.96</v>
      </c>
      <c r="EG226" s="6"/>
      <c r="EH226" s="7">
        <f>ROUND(1204.36,2)</f>
        <v>1204.3599999999999</v>
      </c>
      <c r="EI226" s="7">
        <f>ROUND(22.87,2)</f>
        <v>22.87</v>
      </c>
      <c r="EJ226" s="6"/>
      <c r="EK226" s="6"/>
      <c r="EL226" s="6"/>
      <c r="EM226" s="6"/>
      <c r="EN226" s="7">
        <f t="shared" si="18"/>
        <v>256.72000000000003</v>
      </c>
      <c r="EO226" s="7">
        <f>ROUND(33.05,2)</f>
        <v>33.049999999999997</v>
      </c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7">
        <f>ROUND(338.76,2)</f>
        <v>338.76</v>
      </c>
      <c r="FC226" s="6"/>
      <c r="FD226" s="7">
        <f>ROUND(330.5,2)</f>
        <v>330.5</v>
      </c>
      <c r="FE226" s="6"/>
      <c r="FF226" s="6"/>
      <c r="FG226" s="6"/>
      <c r="FH226" s="6"/>
      <c r="FI226" s="6"/>
      <c r="FJ226" s="7">
        <f>ROUND(1225,2)</f>
        <v>1225</v>
      </c>
      <c r="FK226" s="6"/>
      <c r="FL226" s="6"/>
      <c r="FM226" s="6"/>
      <c r="FN226" s="6"/>
      <c r="FO226" s="6"/>
      <c r="FP226" s="6"/>
      <c r="FQ226" s="6"/>
      <c r="FR226" s="6"/>
      <c r="FS226" s="6"/>
      <c r="FT226" s="7">
        <f>ROUND(3000,2)</f>
        <v>3000</v>
      </c>
      <c r="FU226" s="6"/>
      <c r="FV226" s="6"/>
      <c r="FW226" s="6"/>
      <c r="FX226" s="6"/>
      <c r="FY226" s="7">
        <f>ROUND(80991.18,2)</f>
        <v>80991.179999999993</v>
      </c>
    </row>
    <row r="227" spans="1:181" x14ac:dyDescent="0.3">
      <c r="A227" s="4" t="s">
        <v>525</v>
      </c>
      <c r="B227" s="5" t="s">
        <v>1029</v>
      </c>
      <c r="C227" s="5" t="s">
        <v>181</v>
      </c>
      <c r="D227" s="5" t="s">
        <v>342</v>
      </c>
      <c r="E227" s="5" t="s">
        <v>0</v>
      </c>
      <c r="F227" s="5" t="s">
        <v>0</v>
      </c>
      <c r="G227" s="5" t="s">
        <v>183</v>
      </c>
      <c r="H227" s="8">
        <v>33.380000000000003</v>
      </c>
      <c r="I227" s="7">
        <f>ROUND(93457.04,2)</f>
        <v>93457.04</v>
      </c>
      <c r="J227" s="6"/>
      <c r="K227" s="6"/>
      <c r="L227" s="6"/>
      <c r="M227" s="6"/>
      <c r="N227" s="7">
        <f>ROUND(1062.59,2)</f>
        <v>1062.5899999999999</v>
      </c>
      <c r="O227" s="6"/>
      <c r="P227" s="6"/>
      <c r="Q227" s="7">
        <f>ROUND(372.18,2)</f>
        <v>372.18</v>
      </c>
      <c r="R227" s="6"/>
      <c r="S227" s="6"/>
      <c r="T227" s="6"/>
      <c r="U227" s="6"/>
      <c r="V227" s="7">
        <f>ROUND(27.72,2)</f>
        <v>27.72</v>
      </c>
      <c r="W227" s="7">
        <f>ROUND(28.47,2)</f>
        <v>28.47</v>
      </c>
      <c r="X227" s="7">
        <f>ROUND(7.56,2)</f>
        <v>7.56</v>
      </c>
      <c r="Y227" s="7">
        <f>ROUND(2.13,2)</f>
        <v>2.13</v>
      </c>
      <c r="Z227" s="6"/>
      <c r="AA227" s="6"/>
      <c r="AB227" s="6"/>
      <c r="AC227" s="6"/>
      <c r="AD227" s="6"/>
      <c r="AE227" s="7">
        <f>ROUND(106.19,2)</f>
        <v>106.19</v>
      </c>
      <c r="AF227" s="6"/>
      <c r="AG227" s="7">
        <f>ROUND(50.54,2)</f>
        <v>50.54</v>
      </c>
      <c r="AH227" s="6"/>
      <c r="AI227" s="6"/>
      <c r="AJ227" s="6"/>
      <c r="AK227" s="6"/>
      <c r="AL227" s="6"/>
      <c r="AM227" s="6"/>
      <c r="AN227" s="6"/>
      <c r="AO227" s="6"/>
      <c r="AP227" s="7">
        <f>ROUND(345.46,2)</f>
        <v>345.46</v>
      </c>
      <c r="AQ227" s="6"/>
      <c r="AR227" s="7">
        <f>ROUND(115.83,2)</f>
        <v>115.83</v>
      </c>
      <c r="AS227" s="6"/>
      <c r="AT227" s="6"/>
      <c r="AU227" s="7">
        <f>ROUND(58.5,2)</f>
        <v>58.5</v>
      </c>
      <c r="AV227" s="7">
        <f>ROUND(7.5,2)</f>
        <v>7.5</v>
      </c>
      <c r="AW227" s="7">
        <f>ROUND(32,2)</f>
        <v>32</v>
      </c>
      <c r="AX227" s="7">
        <f>ROUND(8,2)</f>
        <v>8</v>
      </c>
      <c r="AY227" s="7">
        <f>ROUND(53.78,2)</f>
        <v>53.78</v>
      </c>
      <c r="AZ227" s="7">
        <f>ROUND(36.22,2)</f>
        <v>36.22</v>
      </c>
      <c r="BA227" s="6"/>
      <c r="BB227" s="7">
        <f>ROUND(18,2)</f>
        <v>18</v>
      </c>
      <c r="BC227" s="6"/>
      <c r="BD227" s="7">
        <f t="shared" si="17"/>
        <v>8</v>
      </c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7">
        <f>ROUND(25.25,2)</f>
        <v>25.25</v>
      </c>
      <c r="BP227" s="6"/>
      <c r="BQ227" s="7">
        <f>ROUND(14.42,2)</f>
        <v>14.42</v>
      </c>
      <c r="BR227" s="7">
        <f>ROUND(17.78,2)</f>
        <v>17.78</v>
      </c>
      <c r="BS227" s="7">
        <f>ROUND(144,2)</f>
        <v>144</v>
      </c>
      <c r="BT227" s="7">
        <f>ROUND(1.77,2)</f>
        <v>1.77</v>
      </c>
      <c r="BU227" s="6"/>
      <c r="BV227" s="6"/>
      <c r="BW227" s="7">
        <f>ROUND(8,2)</f>
        <v>8</v>
      </c>
      <c r="BX227" s="6"/>
      <c r="BY227" s="6"/>
      <c r="BZ227" s="6"/>
      <c r="CA227" s="7">
        <f>ROUND(8,2)</f>
        <v>8</v>
      </c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7">
        <f>ROUND(24,2)</f>
        <v>24</v>
      </c>
      <c r="CQ227" s="7">
        <f>ROUND(2583.89,2)</f>
        <v>2583.89</v>
      </c>
      <c r="CR227" s="6"/>
      <c r="CS227" s="6"/>
      <c r="CT227" s="6"/>
      <c r="CU227" s="6"/>
      <c r="CV227" s="7">
        <f>ROUND(34556.8,2)</f>
        <v>34556.800000000003</v>
      </c>
      <c r="CW227" s="6"/>
      <c r="CX227" s="6"/>
      <c r="CY227" s="7">
        <f>ROUND(18040.44,2)</f>
        <v>18040.439999999999</v>
      </c>
      <c r="CZ227" s="6"/>
      <c r="DA227" s="6"/>
      <c r="DB227" s="6"/>
      <c r="DC227" s="6"/>
      <c r="DD227" s="7">
        <f>ROUND(895.5,2)</f>
        <v>895.5</v>
      </c>
      <c r="DE227" s="7">
        <f>ROUND(1373.93,2)</f>
        <v>1373.93</v>
      </c>
      <c r="DF227" s="7">
        <f>ROUND(245.67,2)</f>
        <v>245.67</v>
      </c>
      <c r="DG227" s="7">
        <f>ROUND(102.77,2)</f>
        <v>102.77</v>
      </c>
      <c r="DH227" s="6"/>
      <c r="DI227" s="6"/>
      <c r="DJ227" s="6"/>
      <c r="DK227" s="6"/>
      <c r="DL227" s="6"/>
      <c r="DM227" s="6"/>
      <c r="DN227" s="7">
        <f>ROUND(3466.17,2)</f>
        <v>3466.17</v>
      </c>
      <c r="DO227" s="6"/>
      <c r="DP227" s="7">
        <f>ROUND(2481.44,2)</f>
        <v>2481.44</v>
      </c>
      <c r="DQ227" s="6"/>
      <c r="DR227" s="6"/>
      <c r="DS227" s="6"/>
      <c r="DT227" s="6"/>
      <c r="DU227" s="6"/>
      <c r="DV227" s="6"/>
      <c r="DW227" s="6"/>
      <c r="DX227" s="6"/>
      <c r="DY227" s="7">
        <f>ROUND(11234.8599999999,2)</f>
        <v>11234.86</v>
      </c>
      <c r="DZ227" s="6"/>
      <c r="EA227" s="7">
        <f>ROUND(5729.80999999999,2)</f>
        <v>5729.81</v>
      </c>
      <c r="EB227" s="6"/>
      <c r="EC227" s="6"/>
      <c r="ED227" s="7">
        <f>ROUND(1895.03,2)</f>
        <v>1895.03</v>
      </c>
      <c r="EE227" s="7">
        <f>ROUND(371.85,2)</f>
        <v>371.85</v>
      </c>
      <c r="EF227" s="7">
        <f>ROUND(1026.88,2)</f>
        <v>1026.8800000000001</v>
      </c>
      <c r="EG227" s="7">
        <f>ROUND(385.08,2)</f>
        <v>385.08</v>
      </c>
      <c r="EH227" s="7">
        <f>ROUND(1733.48,2)</f>
        <v>1733.48</v>
      </c>
      <c r="EI227" s="7">
        <f>ROUND(1743.44999999999,2)</f>
        <v>1743.45</v>
      </c>
      <c r="EJ227" s="6"/>
      <c r="EK227" s="7">
        <f>ROUND(585.3,2)</f>
        <v>585.29999999999995</v>
      </c>
      <c r="EL227" s="6"/>
      <c r="EM227" s="6"/>
      <c r="EN227" s="7">
        <f t="shared" si="18"/>
        <v>256.72000000000003</v>
      </c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7">
        <f>ROUND(832.11,2)</f>
        <v>832.11</v>
      </c>
      <c r="FC227" s="6"/>
      <c r="FD227" s="7">
        <f>ROUND(472.34,2)</f>
        <v>472.34</v>
      </c>
      <c r="FE227" s="7">
        <f>ROUND(876.29,2)</f>
        <v>876.29</v>
      </c>
      <c r="FF227" s="6"/>
      <c r="FG227" s="6"/>
      <c r="FH227" s="6"/>
      <c r="FI227" s="6"/>
      <c r="FJ227" s="7">
        <f>ROUND(1350,2)</f>
        <v>1350</v>
      </c>
      <c r="FK227" s="6"/>
      <c r="FL227" s="6"/>
      <c r="FM227" s="6"/>
      <c r="FN227" s="6"/>
      <c r="FO227" s="6"/>
      <c r="FP227" s="6"/>
      <c r="FQ227" s="6"/>
      <c r="FR227" s="6"/>
      <c r="FS227" s="6"/>
      <c r="FT227" s="7">
        <f>ROUND(3000,2)</f>
        <v>3000</v>
      </c>
      <c r="FU227" s="6"/>
      <c r="FV227" s="6"/>
      <c r="FW227" s="6"/>
      <c r="FX227" s="7">
        <f>ROUND(801.12,2)</f>
        <v>801.12</v>
      </c>
      <c r="FY227" s="7">
        <f>ROUND(93457.04,2)</f>
        <v>93457.04</v>
      </c>
    </row>
    <row r="228" spans="1:181" x14ac:dyDescent="0.3">
      <c r="A228" s="4" t="s">
        <v>526</v>
      </c>
      <c r="B228" s="5" t="s">
        <v>1029</v>
      </c>
      <c r="C228" s="5" t="s">
        <v>181</v>
      </c>
      <c r="D228" s="5" t="s">
        <v>527</v>
      </c>
      <c r="E228" s="5" t="s">
        <v>528</v>
      </c>
      <c r="F228" s="5" t="s">
        <v>0</v>
      </c>
      <c r="G228" s="5" t="s">
        <v>183</v>
      </c>
      <c r="H228" s="8">
        <v>33.71</v>
      </c>
      <c r="I228" s="7">
        <f>ROUND(51735.36,2)</f>
        <v>51735.360000000001</v>
      </c>
      <c r="J228" s="6"/>
      <c r="K228" s="6"/>
      <c r="L228" s="6"/>
      <c r="M228" s="6"/>
      <c r="N228" s="7">
        <f>ROUND(1360.67,2)</f>
        <v>1360.67</v>
      </c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7">
        <f>ROUND(40,2)</f>
        <v>40</v>
      </c>
      <c r="AV228" s="6"/>
      <c r="AW228" s="7">
        <f>ROUND(5,2)</f>
        <v>5</v>
      </c>
      <c r="AX228" s="6"/>
      <c r="AY228" s="7">
        <f>ROUND(70,2)</f>
        <v>70</v>
      </c>
      <c r="AZ228" s="6"/>
      <c r="BA228" s="6"/>
      <c r="BB228" s="7">
        <f>ROUND(5,2)</f>
        <v>5</v>
      </c>
      <c r="BC228" s="6"/>
      <c r="BD228" s="7">
        <f t="shared" si="17"/>
        <v>8</v>
      </c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7">
        <f>ROUND(25,2)</f>
        <v>25</v>
      </c>
      <c r="CQ228" s="7">
        <f>ROUND(1513.66999999999,2)</f>
        <v>1513.67</v>
      </c>
      <c r="CR228" s="6"/>
      <c r="CS228" s="6"/>
      <c r="CT228" s="6"/>
      <c r="CU228" s="6"/>
      <c r="CV228" s="7">
        <f>ROUND(44363.59,2)</f>
        <v>44363.59</v>
      </c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7">
        <f>ROUND(1306.1,2)</f>
        <v>1306.0999999999999</v>
      </c>
      <c r="EE228" s="6"/>
      <c r="EF228" s="7">
        <f>ROUND(160.45,2)</f>
        <v>160.44999999999999</v>
      </c>
      <c r="EG228" s="6"/>
      <c r="EH228" s="7">
        <f>ROUND(2265.5,2)</f>
        <v>2265.5</v>
      </c>
      <c r="EI228" s="6"/>
      <c r="EJ228" s="6"/>
      <c r="EK228" s="7">
        <f>ROUND(165.25,2)</f>
        <v>165.25</v>
      </c>
      <c r="EL228" s="6"/>
      <c r="EM228" s="6"/>
      <c r="EN228" s="7">
        <f t="shared" si="18"/>
        <v>256.72000000000003</v>
      </c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7">
        <f>ROUND(875,2)</f>
        <v>875</v>
      </c>
      <c r="FK228" s="6"/>
      <c r="FL228" s="6"/>
      <c r="FM228" s="6"/>
      <c r="FN228" s="6"/>
      <c r="FO228" s="6"/>
      <c r="FP228" s="6"/>
      <c r="FQ228" s="6"/>
      <c r="FR228" s="6"/>
      <c r="FS228" s="6"/>
      <c r="FT228" s="7">
        <f>ROUND(1500,2)</f>
        <v>1500</v>
      </c>
      <c r="FU228" s="6"/>
      <c r="FV228" s="6"/>
      <c r="FW228" s="6"/>
      <c r="FX228" s="7">
        <f>ROUND(842.75,2)</f>
        <v>842.75</v>
      </c>
      <c r="FY228" s="7">
        <f>ROUND(51735.36,2)</f>
        <v>51735.360000000001</v>
      </c>
    </row>
    <row r="229" spans="1:181" x14ac:dyDescent="0.3">
      <c r="A229" s="4" t="s">
        <v>532</v>
      </c>
      <c r="B229" s="5" t="s">
        <v>1029</v>
      </c>
      <c r="C229" s="5" t="s">
        <v>181</v>
      </c>
      <c r="D229" s="5" t="s">
        <v>468</v>
      </c>
      <c r="E229" s="5" t="s">
        <v>0</v>
      </c>
      <c r="F229" s="5" t="s">
        <v>0</v>
      </c>
      <c r="G229" s="5" t="s">
        <v>183</v>
      </c>
      <c r="H229" s="8">
        <v>33.71</v>
      </c>
      <c r="I229" s="7">
        <f>ROUND(83429.9,2)</f>
        <v>83429.899999999994</v>
      </c>
      <c r="J229" s="6"/>
      <c r="K229" s="6"/>
      <c r="L229" s="6"/>
      <c r="M229" s="6"/>
      <c r="N229" s="7">
        <f>ROUND(1492.83,2)</f>
        <v>1492.83</v>
      </c>
      <c r="O229" s="6"/>
      <c r="P229" s="6"/>
      <c r="Q229" s="7">
        <f>ROUND(129.29,2)</f>
        <v>129.29</v>
      </c>
      <c r="R229" s="6"/>
      <c r="S229" s="6"/>
      <c r="T229" s="6"/>
      <c r="U229" s="6"/>
      <c r="V229" s="7">
        <f>ROUND(8.65,2)</f>
        <v>8.65</v>
      </c>
      <c r="W229" s="6"/>
      <c r="X229" s="6"/>
      <c r="Y229" s="6"/>
      <c r="Z229" s="6"/>
      <c r="AA229" s="6"/>
      <c r="AB229" s="6"/>
      <c r="AC229" s="6"/>
      <c r="AD229" s="6"/>
      <c r="AE229" s="7">
        <f>ROUND(118.54,2)</f>
        <v>118.54</v>
      </c>
      <c r="AF229" s="6"/>
      <c r="AG229" s="7">
        <f>ROUND(2.5,2)</f>
        <v>2.5</v>
      </c>
      <c r="AH229" s="6"/>
      <c r="AI229" s="6"/>
      <c r="AJ229" s="6"/>
      <c r="AK229" s="6"/>
      <c r="AL229" s="6"/>
      <c r="AM229" s="6"/>
      <c r="AN229" s="6"/>
      <c r="AO229" s="6"/>
      <c r="AP229" s="7">
        <f>ROUND(281.9,2)</f>
        <v>281.89999999999998</v>
      </c>
      <c r="AQ229" s="6"/>
      <c r="AR229" s="7">
        <f>ROUND(11.4699999999999,2)</f>
        <v>11.47</v>
      </c>
      <c r="AS229" s="6"/>
      <c r="AT229" s="6"/>
      <c r="AU229" s="7">
        <f>ROUND(66,2)</f>
        <v>66</v>
      </c>
      <c r="AV229" s="7">
        <f>ROUND(8,2)</f>
        <v>8</v>
      </c>
      <c r="AW229" s="7">
        <f>ROUND(17.99,2)</f>
        <v>17.989999999999998</v>
      </c>
      <c r="AX229" s="7">
        <f>ROUND(14.01,2)</f>
        <v>14.01</v>
      </c>
      <c r="AY229" s="7">
        <f>ROUND(101.75,2)</f>
        <v>101.75</v>
      </c>
      <c r="AZ229" s="7">
        <f>ROUND(2.25,2)</f>
        <v>2.25</v>
      </c>
      <c r="BA229" s="6"/>
      <c r="BB229" s="7">
        <f>ROUND(26,2)</f>
        <v>26</v>
      </c>
      <c r="BC229" s="6"/>
      <c r="BD229" s="7">
        <f t="shared" si="17"/>
        <v>8</v>
      </c>
      <c r="BE229" s="7">
        <f>ROUND(1.3,2)</f>
        <v>1.3</v>
      </c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7">
        <f>ROUND(8,2)</f>
        <v>8</v>
      </c>
      <c r="BZ229" s="6"/>
      <c r="CA229" s="7">
        <f>ROUND(18,2)</f>
        <v>18</v>
      </c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7">
        <f>ROUND(40,2)</f>
        <v>40</v>
      </c>
      <c r="CQ229" s="7">
        <f>ROUND(2356.47999999999,2)</f>
        <v>2356.48</v>
      </c>
      <c r="CR229" s="6"/>
      <c r="CS229" s="6"/>
      <c r="CT229" s="6"/>
      <c r="CU229" s="6"/>
      <c r="CV229" s="7">
        <f>ROUND(48729.68,2)</f>
        <v>48729.68</v>
      </c>
      <c r="CW229" s="6"/>
      <c r="CX229" s="6"/>
      <c r="CY229" s="7">
        <f>ROUND(6346.23,2)</f>
        <v>6346.23</v>
      </c>
      <c r="CZ229" s="6"/>
      <c r="DA229" s="6"/>
      <c r="DB229" s="6"/>
      <c r="DC229" s="6"/>
      <c r="DD229" s="7">
        <f>ROUND(278.88,2)</f>
        <v>278.88</v>
      </c>
      <c r="DE229" s="6"/>
      <c r="DF229" s="6"/>
      <c r="DG229" s="6"/>
      <c r="DH229" s="6"/>
      <c r="DI229" s="6"/>
      <c r="DJ229" s="6"/>
      <c r="DK229" s="6"/>
      <c r="DL229" s="6"/>
      <c r="DM229" s="6"/>
      <c r="DN229" s="7">
        <f>ROUND(3850.04,2)</f>
        <v>3850.04</v>
      </c>
      <c r="DO229" s="6"/>
      <c r="DP229" s="7">
        <f>ROUND(123.63,2)</f>
        <v>123.63</v>
      </c>
      <c r="DQ229" s="6"/>
      <c r="DR229" s="6"/>
      <c r="DS229" s="6"/>
      <c r="DT229" s="6"/>
      <c r="DU229" s="6"/>
      <c r="DV229" s="6"/>
      <c r="DW229" s="6"/>
      <c r="DX229" s="6"/>
      <c r="DY229" s="7">
        <f>ROUND(9156.63,2)</f>
        <v>9156.6299999999992</v>
      </c>
      <c r="DZ229" s="6"/>
      <c r="EA229" s="7">
        <f>ROUND(563.34,2)</f>
        <v>563.34</v>
      </c>
      <c r="EB229" s="6"/>
      <c r="EC229" s="6"/>
      <c r="ED229" s="7">
        <f>ROUND(2146.26,2)</f>
        <v>2146.2600000000002</v>
      </c>
      <c r="EE229" s="7">
        <f>ROUND(396.64,2)</f>
        <v>396.64</v>
      </c>
      <c r="EF229" s="7">
        <f>ROUND(580.5,2)</f>
        <v>580.5</v>
      </c>
      <c r="EG229" s="7">
        <f>ROUND(681.1,2)</f>
        <v>681.1</v>
      </c>
      <c r="EH229" s="7">
        <f>ROUND(3303.56,2)</f>
        <v>3303.56</v>
      </c>
      <c r="EI229" s="7">
        <f>ROUND(108.3,2)</f>
        <v>108.3</v>
      </c>
      <c r="EJ229" s="6"/>
      <c r="EK229" s="7">
        <f>ROUND(842.02,2)</f>
        <v>842.02</v>
      </c>
      <c r="EL229" s="6"/>
      <c r="EM229" s="6"/>
      <c r="EN229" s="7">
        <f t="shared" si="18"/>
        <v>256.72000000000003</v>
      </c>
      <c r="EO229" s="7">
        <f>ROUND(42.97,2)</f>
        <v>42.97</v>
      </c>
      <c r="EP229" s="6"/>
      <c r="EQ229" s="6"/>
      <c r="ER229" s="6"/>
      <c r="ES229" s="6"/>
      <c r="ET229" s="6"/>
      <c r="EU229" s="6"/>
      <c r="EV229" s="7">
        <f>ROUND(500,2)</f>
        <v>500</v>
      </c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7">
        <f>ROUND(1175,2)</f>
        <v>1175</v>
      </c>
      <c r="FK229" s="6"/>
      <c r="FL229" s="6"/>
      <c r="FM229" s="6"/>
      <c r="FN229" s="6"/>
      <c r="FO229" s="6"/>
      <c r="FP229" s="6"/>
      <c r="FQ229" s="6"/>
      <c r="FR229" s="6"/>
      <c r="FS229" s="6"/>
      <c r="FT229" s="7">
        <f>ROUND(3000,2)</f>
        <v>3000</v>
      </c>
      <c r="FU229" s="6"/>
      <c r="FV229" s="6"/>
      <c r="FW229" s="6"/>
      <c r="FX229" s="7">
        <f>ROUND(1348.4,2)</f>
        <v>1348.4</v>
      </c>
      <c r="FY229" s="7">
        <f>ROUND(83429.9,2)</f>
        <v>83429.899999999994</v>
      </c>
    </row>
    <row r="230" spans="1:181" x14ac:dyDescent="0.3">
      <c r="A230" s="4" t="s">
        <v>536</v>
      </c>
      <c r="B230" s="5" t="s">
        <v>1029</v>
      </c>
      <c r="C230" s="5" t="s">
        <v>181</v>
      </c>
      <c r="D230" s="5" t="s">
        <v>537</v>
      </c>
      <c r="E230" s="5" t="s">
        <v>0</v>
      </c>
      <c r="F230" s="5" t="s">
        <v>0</v>
      </c>
      <c r="G230" s="5" t="s">
        <v>183</v>
      </c>
      <c r="H230" s="8">
        <v>33.380000000000003</v>
      </c>
      <c r="I230" s="7">
        <f>ROUND(79962.29,2)</f>
        <v>79962.289999999994</v>
      </c>
      <c r="J230" s="6"/>
      <c r="K230" s="6"/>
      <c r="L230" s="6"/>
      <c r="M230" s="6"/>
      <c r="N230" s="7">
        <f>ROUND(1705.38999999999,2)</f>
        <v>1705.39</v>
      </c>
      <c r="O230" s="6"/>
      <c r="P230" s="6"/>
      <c r="Q230" s="7">
        <f>ROUND(49.1299999999999,2)</f>
        <v>49.13</v>
      </c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7">
        <f>ROUND(68,2)</f>
        <v>68</v>
      </c>
      <c r="AV230" s="6"/>
      <c r="AW230" s="7">
        <f>ROUND(32,2)</f>
        <v>32</v>
      </c>
      <c r="AX230" s="6"/>
      <c r="AY230" s="7">
        <f>ROUND(78.67,2)</f>
        <v>78.67</v>
      </c>
      <c r="AZ230" s="7">
        <f>ROUND(1.33,2)</f>
        <v>1.33</v>
      </c>
      <c r="BA230" s="6"/>
      <c r="BB230" s="7">
        <f>ROUND(40,2)</f>
        <v>40</v>
      </c>
      <c r="BC230" s="6"/>
      <c r="BD230" s="7">
        <f t="shared" si="17"/>
        <v>8</v>
      </c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7">
        <f>ROUND(129.8,2)</f>
        <v>129.80000000000001</v>
      </c>
      <c r="BP230" s="7">
        <f>ROUND(132.7,2)</f>
        <v>132.69999999999999</v>
      </c>
      <c r="BQ230" s="6"/>
      <c r="BR230" s="6"/>
      <c r="BS230" s="6"/>
      <c r="BT230" s="6"/>
      <c r="BU230" s="7">
        <f>ROUND(84.83,2)</f>
        <v>84.83</v>
      </c>
      <c r="BV230" s="7">
        <f>ROUND(6.08,2)</f>
        <v>6.08</v>
      </c>
      <c r="BW230" s="6"/>
      <c r="BX230" s="6"/>
      <c r="BY230" s="6"/>
      <c r="BZ230" s="6"/>
      <c r="CA230" s="7">
        <f>ROUND(24,2)</f>
        <v>24</v>
      </c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7">
        <f>ROUND(2359.92999999999,2)</f>
        <v>2359.9299999999998</v>
      </c>
      <c r="CR230" s="6"/>
      <c r="CS230" s="6"/>
      <c r="CT230" s="6"/>
      <c r="CU230" s="6"/>
      <c r="CV230" s="7">
        <f>ROUND(55831.98,2)</f>
        <v>55831.98</v>
      </c>
      <c r="CW230" s="6"/>
      <c r="CX230" s="6"/>
      <c r="CY230" s="7">
        <f>ROUND(2410.05,2)</f>
        <v>2410.0500000000002</v>
      </c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7">
        <f>ROUND(2215.48,2)</f>
        <v>2215.48</v>
      </c>
      <c r="EE230" s="6"/>
      <c r="EF230" s="7">
        <f>ROUND(1026.88,2)</f>
        <v>1026.8800000000001</v>
      </c>
      <c r="EG230" s="6"/>
      <c r="EH230" s="7">
        <f>ROUND(2524.52,2)</f>
        <v>2524.52</v>
      </c>
      <c r="EI230" s="7">
        <f>ROUND(64.02,2)</f>
        <v>64.02</v>
      </c>
      <c r="EJ230" s="6"/>
      <c r="EK230" s="7">
        <f>ROUND(1283.6,2)</f>
        <v>1283.5999999999999</v>
      </c>
      <c r="EL230" s="6"/>
      <c r="EM230" s="6"/>
      <c r="EN230" s="7">
        <f t="shared" si="18"/>
        <v>256.72000000000003</v>
      </c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7">
        <f>ROUND(4234.65,2)</f>
        <v>4234.6499999999996</v>
      </c>
      <c r="FC230" s="7">
        <f>ROUND(6489.38999999999,2)</f>
        <v>6489.39</v>
      </c>
      <c r="FD230" s="6"/>
      <c r="FE230" s="6"/>
      <c r="FF230" s="6"/>
      <c r="FG230" s="6"/>
      <c r="FH230" s="6"/>
      <c r="FI230" s="6"/>
      <c r="FJ230" s="7">
        <f>ROUND(625,2)</f>
        <v>625</v>
      </c>
      <c r="FK230" s="6"/>
      <c r="FL230" s="6"/>
      <c r="FM230" s="6"/>
      <c r="FN230" s="6"/>
      <c r="FO230" s="6"/>
      <c r="FP230" s="6"/>
      <c r="FQ230" s="6"/>
      <c r="FR230" s="6"/>
      <c r="FS230" s="6"/>
      <c r="FT230" s="7">
        <f>ROUND(3000,2)</f>
        <v>3000</v>
      </c>
      <c r="FU230" s="6"/>
      <c r="FV230" s="6"/>
      <c r="FW230" s="6"/>
      <c r="FX230" s="6"/>
      <c r="FY230" s="7">
        <f>ROUND(79962.29,2)</f>
        <v>79962.289999999994</v>
      </c>
    </row>
    <row r="231" spans="1:181" x14ac:dyDescent="0.3">
      <c r="A231" s="4" t="s">
        <v>538</v>
      </c>
      <c r="B231" s="5" t="s">
        <v>1029</v>
      </c>
      <c r="C231" s="5" t="s">
        <v>181</v>
      </c>
      <c r="D231" s="5" t="s">
        <v>276</v>
      </c>
      <c r="E231" s="5" t="s">
        <v>0</v>
      </c>
      <c r="F231" s="5" t="s">
        <v>0</v>
      </c>
      <c r="G231" s="5" t="s">
        <v>183</v>
      </c>
      <c r="H231" s="8">
        <v>33.380000000000003</v>
      </c>
      <c r="I231" s="7">
        <f>ROUND(97506.9499999999,2)</f>
        <v>97506.95</v>
      </c>
      <c r="J231" s="6"/>
      <c r="K231" s="6"/>
      <c r="L231" s="6"/>
      <c r="M231" s="6"/>
      <c r="N231" s="7">
        <f>ROUND(1358.79,2)</f>
        <v>1358.79</v>
      </c>
      <c r="O231" s="6"/>
      <c r="P231" s="6"/>
      <c r="Q231" s="7">
        <f>ROUND(248.29,2)</f>
        <v>248.29</v>
      </c>
      <c r="R231" s="6"/>
      <c r="S231" s="6"/>
      <c r="T231" s="6"/>
      <c r="U231" s="6"/>
      <c r="V231" s="7">
        <f>ROUND(19.28,2)</f>
        <v>19.28</v>
      </c>
      <c r="W231" s="7">
        <f>ROUND(4.64,2)</f>
        <v>4.6399999999999997</v>
      </c>
      <c r="X231" s="7">
        <f>ROUND(3.67999999999999,2)</f>
        <v>3.68</v>
      </c>
      <c r="Y231" s="7">
        <f>ROUND(3.22,2)</f>
        <v>3.22</v>
      </c>
      <c r="Z231" s="6"/>
      <c r="AA231" s="6"/>
      <c r="AB231" s="6"/>
      <c r="AC231" s="6"/>
      <c r="AD231" s="6"/>
      <c r="AE231" s="7">
        <f>ROUND(166.54,2)</f>
        <v>166.54</v>
      </c>
      <c r="AF231" s="6"/>
      <c r="AG231" s="7">
        <f>ROUND(60.13,2)</f>
        <v>60.13</v>
      </c>
      <c r="AH231" s="6"/>
      <c r="AI231" s="6"/>
      <c r="AJ231" s="6"/>
      <c r="AK231" s="6"/>
      <c r="AL231" s="6"/>
      <c r="AM231" s="6"/>
      <c r="AN231" s="6"/>
      <c r="AO231" s="6"/>
      <c r="AP231" s="7">
        <f>ROUND(347,2)</f>
        <v>347</v>
      </c>
      <c r="AQ231" s="6"/>
      <c r="AR231" s="7">
        <f>ROUND(150.97,2)</f>
        <v>150.97</v>
      </c>
      <c r="AS231" s="6"/>
      <c r="AT231" s="6"/>
      <c r="AU231" s="7">
        <f>ROUND(72,2)</f>
        <v>72</v>
      </c>
      <c r="AV231" s="6"/>
      <c r="AW231" s="7">
        <f>ROUND(19.84,2)</f>
        <v>19.84</v>
      </c>
      <c r="AX231" s="7">
        <f>ROUND(18.16,2)</f>
        <v>18.16</v>
      </c>
      <c r="AY231" s="7">
        <f>ROUND(61.15,2)</f>
        <v>61.15</v>
      </c>
      <c r="AZ231" s="7">
        <f>ROUND(10.85,2)</f>
        <v>10.85</v>
      </c>
      <c r="BA231" s="6"/>
      <c r="BB231" s="7">
        <f>ROUND(18,2)</f>
        <v>18</v>
      </c>
      <c r="BC231" s="6"/>
      <c r="BD231" s="7">
        <f>ROUND(6,2)</f>
        <v>6</v>
      </c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7">
        <f>ROUND(45.75,2)</f>
        <v>45.75</v>
      </c>
      <c r="BP231" s="6"/>
      <c r="BQ231" s="6"/>
      <c r="BR231" s="6"/>
      <c r="BS231" s="6"/>
      <c r="BT231" s="7">
        <f>ROUND(7.63,2)</f>
        <v>7.63</v>
      </c>
      <c r="BU231" s="6"/>
      <c r="BV231" s="6"/>
      <c r="BW231" s="6"/>
      <c r="BX231" s="6"/>
      <c r="BY231" s="7">
        <f>ROUND(16,2)</f>
        <v>16</v>
      </c>
      <c r="BZ231" s="6"/>
      <c r="CA231" s="7">
        <f>ROUND(8,2)</f>
        <v>8</v>
      </c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7">
        <f>ROUND(2645.92,2)</f>
        <v>2645.92</v>
      </c>
      <c r="CR231" s="6"/>
      <c r="CS231" s="6"/>
      <c r="CT231" s="6"/>
      <c r="CU231" s="6"/>
      <c r="CV231" s="7">
        <f>ROUND(44365.15,2)</f>
        <v>44365.15</v>
      </c>
      <c r="CW231" s="6"/>
      <c r="CX231" s="6"/>
      <c r="CY231" s="7">
        <f>ROUND(12059.9999999999,2)</f>
        <v>12060</v>
      </c>
      <c r="CZ231" s="6"/>
      <c r="DA231" s="6"/>
      <c r="DB231" s="6"/>
      <c r="DC231" s="6"/>
      <c r="DD231" s="7">
        <f>ROUND(625.77,2)</f>
        <v>625.77</v>
      </c>
      <c r="DE231" s="7">
        <f>ROUND(231.079999999999,2)</f>
        <v>231.08</v>
      </c>
      <c r="DF231" s="7">
        <f>ROUND(119.009999999999,2)</f>
        <v>119.01</v>
      </c>
      <c r="DG231" s="7">
        <f>ROUND(156.07,2)</f>
        <v>156.07</v>
      </c>
      <c r="DH231" s="6"/>
      <c r="DI231" s="6"/>
      <c r="DJ231" s="6"/>
      <c r="DK231" s="6"/>
      <c r="DL231" s="6"/>
      <c r="DM231" s="6"/>
      <c r="DN231" s="7">
        <f>ROUND(5433.89999999999,2)</f>
        <v>5433.9</v>
      </c>
      <c r="DO231" s="6"/>
      <c r="DP231" s="7">
        <f>ROUND(2939.39,2)</f>
        <v>2939.39</v>
      </c>
      <c r="DQ231" s="6"/>
      <c r="DR231" s="6"/>
      <c r="DS231" s="6"/>
      <c r="DT231" s="6"/>
      <c r="DU231" s="6"/>
      <c r="DV231" s="6"/>
      <c r="DW231" s="6"/>
      <c r="DX231" s="6"/>
      <c r="DY231" s="7">
        <f>ROUND(11347.75,2)</f>
        <v>11347.75</v>
      </c>
      <c r="DZ231" s="6"/>
      <c r="EA231" s="7">
        <f>ROUND(7414.48999999999,2)</f>
        <v>7414.49</v>
      </c>
      <c r="EB231" s="6"/>
      <c r="EC231" s="6"/>
      <c r="ED231" s="7">
        <f>ROUND(2348.34,2)</f>
        <v>2348.34</v>
      </c>
      <c r="EE231" s="6"/>
      <c r="EF231" s="7">
        <f>ROUND(640.67,2)</f>
        <v>640.66999999999996</v>
      </c>
      <c r="EG231" s="7">
        <f>ROUND(879.65,2)</f>
        <v>879.65</v>
      </c>
      <c r="EH231" s="7">
        <f>ROUND(1967.91999999999,2)</f>
        <v>1967.92</v>
      </c>
      <c r="EI231" s="7">
        <f>ROUND(525.36,2)</f>
        <v>525.36</v>
      </c>
      <c r="EJ231" s="6"/>
      <c r="EK231" s="7">
        <f>ROUND(587.22,2)</f>
        <v>587.22</v>
      </c>
      <c r="EL231" s="6"/>
      <c r="EM231" s="6"/>
      <c r="EN231" s="7">
        <f>ROUND(192.54,2)</f>
        <v>192.54</v>
      </c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7">
        <f>ROUND(1497.63999999999,2)</f>
        <v>1497.64</v>
      </c>
      <c r="FC231" s="6"/>
      <c r="FD231" s="6"/>
      <c r="FE231" s="6"/>
      <c r="FF231" s="6"/>
      <c r="FG231" s="6"/>
      <c r="FH231" s="6"/>
      <c r="FI231" s="6"/>
      <c r="FJ231" s="7">
        <f>ROUND(1175,2)</f>
        <v>1175</v>
      </c>
      <c r="FK231" s="6"/>
      <c r="FL231" s="6"/>
      <c r="FM231" s="6"/>
      <c r="FN231" s="6"/>
      <c r="FO231" s="6"/>
      <c r="FP231" s="6"/>
      <c r="FQ231" s="6"/>
      <c r="FR231" s="6"/>
      <c r="FS231" s="6"/>
      <c r="FT231" s="7">
        <f>ROUND(3000,2)</f>
        <v>3000</v>
      </c>
      <c r="FU231" s="6"/>
      <c r="FV231" s="6"/>
      <c r="FW231" s="6"/>
      <c r="FX231" s="6"/>
      <c r="FY231" s="7">
        <f>ROUND(97506.95,2)</f>
        <v>97506.95</v>
      </c>
    </row>
    <row r="232" spans="1:181" x14ac:dyDescent="0.3">
      <c r="A232" s="4" t="s">
        <v>539</v>
      </c>
      <c r="B232" s="5" t="s">
        <v>1029</v>
      </c>
      <c r="C232" s="5" t="s">
        <v>181</v>
      </c>
      <c r="D232" s="5" t="s">
        <v>188</v>
      </c>
      <c r="E232" s="5" t="s">
        <v>0</v>
      </c>
      <c r="F232" s="5" t="s">
        <v>0</v>
      </c>
      <c r="G232" s="5" t="s">
        <v>183</v>
      </c>
      <c r="H232" s="8">
        <v>33.380000000000003</v>
      </c>
      <c r="I232" s="7">
        <f>ROUND(80758.54,2)</f>
        <v>80758.539999999994</v>
      </c>
      <c r="J232" s="6"/>
      <c r="K232" s="6"/>
      <c r="L232" s="6"/>
      <c r="M232" s="6"/>
      <c r="N232" s="7">
        <f>ROUND(1448.87,2)</f>
        <v>1448.87</v>
      </c>
      <c r="O232" s="6"/>
      <c r="P232" s="6"/>
      <c r="Q232" s="7">
        <f>ROUND(127.829999999999,2)</f>
        <v>127.83</v>
      </c>
      <c r="R232" s="6"/>
      <c r="S232" s="6"/>
      <c r="T232" s="6"/>
      <c r="U232" s="6"/>
      <c r="V232" s="7">
        <f>ROUND(12.55,2)</f>
        <v>12.55</v>
      </c>
      <c r="W232" s="6"/>
      <c r="X232" s="6"/>
      <c r="Y232" s="6"/>
      <c r="Z232" s="6"/>
      <c r="AA232" s="6"/>
      <c r="AB232" s="6"/>
      <c r="AC232" s="6"/>
      <c r="AD232" s="6"/>
      <c r="AE232" s="7">
        <f>ROUND(164.69,2)</f>
        <v>164.69</v>
      </c>
      <c r="AF232" s="6"/>
      <c r="AG232" s="7">
        <f>ROUND(3.73,2)</f>
        <v>3.73</v>
      </c>
      <c r="AH232" s="6"/>
      <c r="AI232" s="6"/>
      <c r="AJ232" s="6"/>
      <c r="AK232" s="6"/>
      <c r="AL232" s="6"/>
      <c r="AM232" s="6"/>
      <c r="AN232" s="6"/>
      <c r="AO232" s="6"/>
      <c r="AP232" s="7">
        <f>ROUND(275.86,2)</f>
        <v>275.86</v>
      </c>
      <c r="AQ232" s="6"/>
      <c r="AR232" s="7">
        <f>ROUND(3.65,2)</f>
        <v>3.65</v>
      </c>
      <c r="AS232" s="6"/>
      <c r="AT232" s="6"/>
      <c r="AU232" s="7">
        <f>ROUND(68,2)</f>
        <v>68</v>
      </c>
      <c r="AV232" s="6"/>
      <c r="AW232" s="7">
        <f>ROUND(35.26,2)</f>
        <v>35.26</v>
      </c>
      <c r="AX232" s="7">
        <f>ROUND(6.74,2)</f>
        <v>6.74</v>
      </c>
      <c r="AY232" s="7">
        <f>ROUND(54.78,2)</f>
        <v>54.78</v>
      </c>
      <c r="AZ232" s="7">
        <f>ROUND(3.22,2)</f>
        <v>3.22</v>
      </c>
      <c r="BA232" s="6"/>
      <c r="BB232" s="7">
        <f>ROUND(34,2)</f>
        <v>34</v>
      </c>
      <c r="BC232" s="6"/>
      <c r="BD232" s="7">
        <f>ROUND(8,2)</f>
        <v>8</v>
      </c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7">
        <f>ROUND(10.25,2)</f>
        <v>10.25</v>
      </c>
      <c r="BP232" s="6"/>
      <c r="BQ232" s="7">
        <f>ROUND(10,2)</f>
        <v>10</v>
      </c>
      <c r="BR232" s="6"/>
      <c r="BS232" s="6"/>
      <c r="BT232" s="7">
        <f>ROUND(5.83,2)</f>
        <v>5.83</v>
      </c>
      <c r="BU232" s="6"/>
      <c r="BV232" s="6"/>
      <c r="BW232" s="7">
        <f>ROUND(8,2)</f>
        <v>8</v>
      </c>
      <c r="BX232" s="6"/>
      <c r="BY232" s="7">
        <f>ROUND(8,2)</f>
        <v>8</v>
      </c>
      <c r="BZ232" s="6"/>
      <c r="CA232" s="7">
        <f>ROUND(8,2)</f>
        <v>8</v>
      </c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7">
        <f>ROUND(2297.26,2)</f>
        <v>2297.2600000000002</v>
      </c>
      <c r="CR232" s="6"/>
      <c r="CS232" s="6"/>
      <c r="CT232" s="6"/>
      <c r="CU232" s="6"/>
      <c r="CV232" s="7">
        <f>ROUND(47241.4099999999,2)</f>
        <v>47241.41</v>
      </c>
      <c r="CW232" s="6"/>
      <c r="CX232" s="6"/>
      <c r="CY232" s="7">
        <f>ROUND(6274.79,2)</f>
        <v>6274.79</v>
      </c>
      <c r="CZ232" s="6"/>
      <c r="DA232" s="6"/>
      <c r="DB232" s="6"/>
      <c r="DC232" s="6"/>
      <c r="DD232" s="7">
        <f>ROUND(403.99,2)</f>
        <v>403.99</v>
      </c>
      <c r="DE232" s="6"/>
      <c r="DF232" s="6"/>
      <c r="DG232" s="6"/>
      <c r="DH232" s="6"/>
      <c r="DI232" s="6"/>
      <c r="DJ232" s="6"/>
      <c r="DK232" s="6"/>
      <c r="DL232" s="6"/>
      <c r="DM232" s="6"/>
      <c r="DN232" s="7">
        <f>ROUND(5366.24,2)</f>
        <v>5366.24</v>
      </c>
      <c r="DO232" s="6"/>
      <c r="DP232" s="7">
        <f>ROUND(180.67,2)</f>
        <v>180.67</v>
      </c>
      <c r="DQ232" s="6"/>
      <c r="DR232" s="6"/>
      <c r="DS232" s="6"/>
      <c r="DT232" s="6"/>
      <c r="DU232" s="6"/>
      <c r="DV232" s="6"/>
      <c r="DW232" s="6"/>
      <c r="DX232" s="6"/>
      <c r="DY232" s="7">
        <f>ROUND(8977.5,2)</f>
        <v>8977.5</v>
      </c>
      <c r="DZ232" s="6"/>
      <c r="EA232" s="7">
        <f>ROUND(177.92,2)</f>
        <v>177.92</v>
      </c>
      <c r="EB232" s="6"/>
      <c r="EC232" s="6"/>
      <c r="ED232" s="7">
        <f>ROUND(2219.98,2)</f>
        <v>2219.98</v>
      </c>
      <c r="EE232" s="6"/>
      <c r="EF232" s="7">
        <f>ROUND(1135.79,2)</f>
        <v>1135.79</v>
      </c>
      <c r="EG232" s="7">
        <f>ROUND(329.49,2)</f>
        <v>329.49</v>
      </c>
      <c r="EH232" s="7">
        <f>ROUND(1805.88999999999,2)</f>
        <v>1805.89</v>
      </c>
      <c r="EI232" s="7">
        <f>ROUND(154.99,2)</f>
        <v>154.99</v>
      </c>
      <c r="EJ232" s="6"/>
      <c r="EK232" s="7">
        <f>ROUND(1098.74,2)</f>
        <v>1098.74</v>
      </c>
      <c r="EL232" s="6"/>
      <c r="EM232" s="6"/>
      <c r="EN232" s="7">
        <f>ROUND(256.72,2)</f>
        <v>256.72000000000003</v>
      </c>
      <c r="EO232" s="6"/>
      <c r="EP232" s="6"/>
      <c r="EQ232" s="6"/>
      <c r="ER232" s="6"/>
      <c r="ES232" s="6"/>
      <c r="ET232" s="6"/>
      <c r="EU232" s="6"/>
      <c r="EV232" s="7">
        <f>ROUND(500,2)</f>
        <v>500</v>
      </c>
      <c r="EW232" s="6"/>
      <c r="EX232" s="6"/>
      <c r="EY232" s="6"/>
      <c r="EZ232" s="6"/>
      <c r="FA232" s="6"/>
      <c r="FB232" s="7">
        <f>ROUND(328.92,2)</f>
        <v>328.92</v>
      </c>
      <c r="FC232" s="6"/>
      <c r="FD232" s="7">
        <f>ROUND(330.5,2)</f>
        <v>330.5</v>
      </c>
      <c r="FE232" s="6"/>
      <c r="FF232" s="6"/>
      <c r="FG232" s="6"/>
      <c r="FH232" s="6"/>
      <c r="FI232" s="6"/>
      <c r="FJ232" s="7">
        <f>ROUND(975,2)</f>
        <v>975</v>
      </c>
      <c r="FK232" s="6"/>
      <c r="FL232" s="6"/>
      <c r="FM232" s="6"/>
      <c r="FN232" s="6"/>
      <c r="FO232" s="6"/>
      <c r="FP232" s="6"/>
      <c r="FQ232" s="6"/>
      <c r="FR232" s="6"/>
      <c r="FS232" s="6"/>
      <c r="FT232" s="7">
        <f>ROUND(3000,2)</f>
        <v>3000</v>
      </c>
      <c r="FU232" s="6"/>
      <c r="FV232" s="6"/>
      <c r="FW232" s="6"/>
      <c r="FX232" s="6"/>
      <c r="FY232" s="7">
        <f>ROUND(80758.54,2)</f>
        <v>80758.539999999994</v>
      </c>
    </row>
    <row r="233" spans="1:181" x14ac:dyDescent="0.3">
      <c r="A233" s="4" t="s">
        <v>544</v>
      </c>
      <c r="B233" s="5" t="s">
        <v>1029</v>
      </c>
      <c r="C233" s="5" t="s">
        <v>181</v>
      </c>
      <c r="D233" s="5" t="s">
        <v>545</v>
      </c>
      <c r="E233" s="5" t="s">
        <v>0</v>
      </c>
      <c r="F233" s="5" t="s">
        <v>0</v>
      </c>
      <c r="G233" s="5" t="s">
        <v>183</v>
      </c>
      <c r="H233" s="8">
        <v>33.380000000000003</v>
      </c>
      <c r="I233" s="7">
        <f>ROUND(77642.2899999999,2)</f>
        <v>77642.289999999994</v>
      </c>
      <c r="J233" s="6"/>
      <c r="K233" s="6"/>
      <c r="L233" s="6"/>
      <c r="M233" s="6"/>
      <c r="N233" s="7">
        <f>ROUND(1789.67,2)</f>
        <v>1789.67</v>
      </c>
      <c r="O233" s="6"/>
      <c r="P233" s="6"/>
      <c r="Q233" s="7">
        <f>ROUND(137.299999999999,2)</f>
        <v>137.30000000000001</v>
      </c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7">
        <f>ROUND(68,2)</f>
        <v>68</v>
      </c>
      <c r="AV233" s="6"/>
      <c r="AW233" s="7">
        <f>ROUND(32,2)</f>
        <v>32</v>
      </c>
      <c r="AX233" s="6"/>
      <c r="AY233" s="7">
        <f>ROUND(112,2)</f>
        <v>112</v>
      </c>
      <c r="AZ233" s="6"/>
      <c r="BA233" s="6"/>
      <c r="BB233" s="7">
        <f>ROUND(8,2)</f>
        <v>8</v>
      </c>
      <c r="BC233" s="6"/>
      <c r="BD233" s="7">
        <f>ROUND(8,2)</f>
        <v>8</v>
      </c>
      <c r="BE233" s="7">
        <f>ROUND(1.58,2)</f>
        <v>1.58</v>
      </c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7">
        <f>ROUND(24,2)</f>
        <v>24</v>
      </c>
      <c r="BY233" s="7">
        <f>ROUND(8,2)</f>
        <v>8</v>
      </c>
      <c r="BZ233" s="7">
        <f>ROUND(80,2)</f>
        <v>80</v>
      </c>
      <c r="CA233" s="7">
        <f>ROUND(8,2)</f>
        <v>8</v>
      </c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7">
        <f>ROUND(2276.55,2)</f>
        <v>2276.5500000000002</v>
      </c>
      <c r="CR233" s="6"/>
      <c r="CS233" s="6"/>
      <c r="CT233" s="6"/>
      <c r="CU233" s="6"/>
      <c r="CV233" s="7">
        <f>ROUND(58654.59,2)</f>
        <v>58654.59</v>
      </c>
      <c r="CW233" s="6"/>
      <c r="CX233" s="6"/>
      <c r="CY233" s="7">
        <f>ROUND(6825.44,2)</f>
        <v>6825.44</v>
      </c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7">
        <f>ROUND(2215.48,2)</f>
        <v>2215.48</v>
      </c>
      <c r="EE233" s="6"/>
      <c r="EF233" s="7">
        <f>ROUND(1034.56,2)</f>
        <v>1034.56</v>
      </c>
      <c r="EG233" s="6"/>
      <c r="EH233" s="7">
        <f>ROUND(3647.84,2)</f>
        <v>3647.84</v>
      </c>
      <c r="EI233" s="6"/>
      <c r="EJ233" s="6"/>
      <c r="EK233" s="7">
        <f>ROUND(256.72,2)</f>
        <v>256.72000000000003</v>
      </c>
      <c r="EL233" s="6"/>
      <c r="EM233" s="6"/>
      <c r="EN233" s="7">
        <f>ROUND(256.72,2)</f>
        <v>256.72000000000003</v>
      </c>
      <c r="EO233" s="7">
        <f>ROUND(50.94,2)</f>
        <v>50.94</v>
      </c>
      <c r="EP233" s="6"/>
      <c r="EQ233" s="6"/>
      <c r="ER233" s="6"/>
      <c r="ES233" s="6"/>
      <c r="ET233" s="6"/>
      <c r="EU233" s="6"/>
      <c r="EV233" s="7">
        <f>ROUND(500,2)</f>
        <v>500</v>
      </c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7">
        <f>ROUND(1200,2)</f>
        <v>1200</v>
      </c>
      <c r="FK233" s="6"/>
      <c r="FL233" s="6"/>
      <c r="FM233" s="6"/>
      <c r="FN233" s="6"/>
      <c r="FO233" s="6"/>
      <c r="FP233" s="6"/>
      <c r="FQ233" s="6"/>
      <c r="FR233" s="6"/>
      <c r="FS233" s="6"/>
      <c r="FT233" s="7">
        <f>ROUND(3000,2)</f>
        <v>3000</v>
      </c>
      <c r="FU233" s="6"/>
      <c r="FV233" s="6"/>
      <c r="FW233" s="6"/>
      <c r="FX233" s="6"/>
      <c r="FY233" s="7">
        <f>ROUND(77642.2899999999,2)</f>
        <v>77642.289999999994</v>
      </c>
    </row>
    <row r="234" spans="1:181" x14ac:dyDescent="0.3">
      <c r="A234" s="4" t="s">
        <v>548</v>
      </c>
      <c r="B234" s="5" t="s">
        <v>1029</v>
      </c>
      <c r="C234" s="5" t="s">
        <v>181</v>
      </c>
      <c r="D234" s="5" t="s">
        <v>424</v>
      </c>
      <c r="E234" s="5" t="s">
        <v>0</v>
      </c>
      <c r="F234" s="5" t="s">
        <v>0</v>
      </c>
      <c r="G234" s="5" t="s">
        <v>183</v>
      </c>
      <c r="H234" s="9">
        <v>31.71</v>
      </c>
      <c r="I234" s="7">
        <f>ROUND(47721.34,2)</f>
        <v>47721.34</v>
      </c>
      <c r="J234" s="6"/>
      <c r="K234" s="6"/>
      <c r="L234" s="6"/>
      <c r="M234" s="6"/>
      <c r="N234" s="7">
        <f>ROUND(1475.11,2)</f>
        <v>1475.11</v>
      </c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7">
        <f>ROUND(35,2)</f>
        <v>35</v>
      </c>
      <c r="AV234" s="6"/>
      <c r="AW234" s="6"/>
      <c r="AX234" s="6"/>
      <c r="AY234" s="7">
        <f>ROUND(5,2)</f>
        <v>5</v>
      </c>
      <c r="AZ234" s="6"/>
      <c r="BA234" s="6"/>
      <c r="BB234" s="7">
        <f>ROUND(10,2)</f>
        <v>10</v>
      </c>
      <c r="BC234" s="6"/>
      <c r="BD234" s="7">
        <f>ROUND(8,2)</f>
        <v>8</v>
      </c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7">
        <f>ROUND(5,2)</f>
        <v>5</v>
      </c>
      <c r="BX234" s="6"/>
      <c r="BY234" s="6"/>
      <c r="BZ234" s="6"/>
      <c r="CA234" s="7">
        <f>ROUND(5,2)</f>
        <v>5</v>
      </c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7">
        <f>ROUND(10,2)</f>
        <v>10</v>
      </c>
      <c r="CQ234" s="7">
        <f>ROUND(1553.11,2)</f>
        <v>1553.11</v>
      </c>
      <c r="CR234" s="6"/>
      <c r="CS234" s="6"/>
      <c r="CT234" s="6"/>
      <c r="CU234" s="6"/>
      <c r="CV234" s="7">
        <f>ROUND(43405.3999999999,2)</f>
        <v>43405.4</v>
      </c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7">
        <f>ROUND(1025.9,2)</f>
        <v>1025.9000000000001</v>
      </c>
      <c r="EE234" s="6"/>
      <c r="EF234" s="6"/>
      <c r="EG234" s="6"/>
      <c r="EH234" s="7">
        <f>ROUND(144.4,2)</f>
        <v>144.4</v>
      </c>
      <c r="EI234" s="6"/>
      <c r="EJ234" s="6"/>
      <c r="EK234" s="7">
        <f>ROUND(297.5,2)</f>
        <v>297.5</v>
      </c>
      <c r="EL234" s="6"/>
      <c r="EM234" s="6"/>
      <c r="EN234" s="7">
        <f>ROUND(231.04,2)</f>
        <v>231.04</v>
      </c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7">
        <f>ROUND(800,2)</f>
        <v>800</v>
      </c>
      <c r="FK234" s="6"/>
      <c r="FL234" s="6"/>
      <c r="FM234" s="6"/>
      <c r="FN234" s="6"/>
      <c r="FO234" s="6"/>
      <c r="FP234" s="6"/>
      <c r="FQ234" s="6"/>
      <c r="FR234" s="6"/>
      <c r="FS234" s="6"/>
      <c r="FT234" s="7">
        <f>ROUND(1500,2)</f>
        <v>1500</v>
      </c>
      <c r="FU234" s="6"/>
      <c r="FV234" s="6"/>
      <c r="FW234" s="6"/>
      <c r="FX234" s="7">
        <f>ROUND(317.1,2)</f>
        <v>317.10000000000002</v>
      </c>
      <c r="FY234" s="7">
        <f>ROUND(47721.34,2)</f>
        <v>47721.34</v>
      </c>
    </row>
    <row r="235" spans="1:181" x14ac:dyDescent="0.3">
      <c r="A235" s="4" t="s">
        <v>549</v>
      </c>
      <c r="B235" s="5" t="s">
        <v>1029</v>
      </c>
      <c r="C235" s="5" t="s">
        <v>181</v>
      </c>
      <c r="D235" s="5" t="s">
        <v>550</v>
      </c>
      <c r="E235" s="5" t="s">
        <v>0</v>
      </c>
      <c r="F235" s="5" t="s">
        <v>0</v>
      </c>
      <c r="G235" s="5" t="s">
        <v>183</v>
      </c>
      <c r="H235" s="8">
        <v>33.380000000000003</v>
      </c>
      <c r="I235" s="7">
        <f>ROUND(61767.77,2)</f>
        <v>61767.77</v>
      </c>
      <c r="J235" s="6"/>
      <c r="K235" s="6"/>
      <c r="L235" s="6"/>
      <c r="M235" s="6"/>
      <c r="N235" s="7">
        <f>ROUND(1346.68,2)</f>
        <v>1346.68</v>
      </c>
      <c r="O235" s="6"/>
      <c r="P235" s="6"/>
      <c r="Q235" s="7">
        <f>ROUND(39.36,2)</f>
        <v>39.36</v>
      </c>
      <c r="R235" s="6"/>
      <c r="S235" s="6"/>
      <c r="T235" s="6"/>
      <c r="U235" s="6"/>
      <c r="V235" s="6"/>
      <c r="W235" s="7">
        <f>ROUND(7.83,2)</f>
        <v>7.83</v>
      </c>
      <c r="X235" s="6"/>
      <c r="Y235" s="6"/>
      <c r="Z235" s="6"/>
      <c r="AA235" s="6"/>
      <c r="AB235" s="6"/>
      <c r="AC235" s="6"/>
      <c r="AD235" s="6"/>
      <c r="AE235" s="7">
        <f>ROUND(80.08,2)</f>
        <v>80.08</v>
      </c>
      <c r="AF235" s="6"/>
      <c r="AG235" s="7">
        <f>ROUND(28.17,2)</f>
        <v>28.17</v>
      </c>
      <c r="AH235" s="6"/>
      <c r="AI235" s="6"/>
      <c r="AJ235" s="6"/>
      <c r="AK235" s="6"/>
      <c r="AL235" s="6"/>
      <c r="AM235" s="6"/>
      <c r="AN235" s="6"/>
      <c r="AO235" s="6"/>
      <c r="AP235" s="7">
        <f>ROUND(10,2)</f>
        <v>10</v>
      </c>
      <c r="AQ235" s="6"/>
      <c r="AR235" s="7">
        <f>ROUND(5,2)</f>
        <v>5</v>
      </c>
      <c r="AS235" s="6"/>
      <c r="AT235" s="6"/>
      <c r="AU235" s="7">
        <f>ROUND(70,2)</f>
        <v>70</v>
      </c>
      <c r="AV235" s="6"/>
      <c r="AW235" s="7">
        <f>ROUND(48,2)</f>
        <v>48</v>
      </c>
      <c r="AX235" s="6"/>
      <c r="AY235" s="7">
        <f>ROUND(48,2)</f>
        <v>48</v>
      </c>
      <c r="AZ235" s="6"/>
      <c r="BA235" s="6"/>
      <c r="BB235" s="7">
        <f>ROUND(32,2)</f>
        <v>32</v>
      </c>
      <c r="BC235" s="6"/>
      <c r="BD235" s="7">
        <f>ROUND(8,2)</f>
        <v>8</v>
      </c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7">
        <f>ROUND(336,2)</f>
        <v>336</v>
      </c>
      <c r="BT235" s="6"/>
      <c r="BU235" s="7">
        <f>ROUND(40,2)</f>
        <v>40</v>
      </c>
      <c r="BV235" s="6"/>
      <c r="BW235" s="6"/>
      <c r="BX235" s="6"/>
      <c r="BY235" s="7">
        <f>ROUND(8,2)</f>
        <v>8</v>
      </c>
      <c r="BZ235" s="6"/>
      <c r="CA235" s="7">
        <f>ROUND(136,2)</f>
        <v>136</v>
      </c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7">
        <f>ROUND(16,2)</f>
        <v>16</v>
      </c>
      <c r="CQ235" s="7">
        <f>ROUND(2259.12,2)</f>
        <v>2259.12</v>
      </c>
      <c r="CR235" s="6"/>
      <c r="CS235" s="6"/>
      <c r="CT235" s="6"/>
      <c r="CU235" s="6"/>
      <c r="CV235" s="7">
        <f>ROUND(43871.56,2)</f>
        <v>43871.56</v>
      </c>
      <c r="CW235" s="6"/>
      <c r="CX235" s="6"/>
      <c r="CY235" s="7">
        <f>ROUND(1937.04,2)</f>
        <v>1937.04</v>
      </c>
      <c r="CZ235" s="6"/>
      <c r="DA235" s="6"/>
      <c r="DB235" s="6"/>
      <c r="DC235" s="6"/>
      <c r="DD235" s="6"/>
      <c r="DE235" s="7">
        <f>ROUND(388.17,2)</f>
        <v>388.17</v>
      </c>
      <c r="DF235" s="6"/>
      <c r="DG235" s="6"/>
      <c r="DH235" s="6"/>
      <c r="DI235" s="6"/>
      <c r="DJ235" s="6"/>
      <c r="DK235" s="6"/>
      <c r="DL235" s="6"/>
      <c r="DM235" s="6"/>
      <c r="DN235" s="7">
        <f>ROUND(2625.49,2)</f>
        <v>2625.49</v>
      </c>
      <c r="DO235" s="6"/>
      <c r="DP235" s="7">
        <f>ROUND(1377.11,2)</f>
        <v>1377.11</v>
      </c>
      <c r="DQ235" s="6"/>
      <c r="DR235" s="6"/>
      <c r="DS235" s="6"/>
      <c r="DT235" s="6"/>
      <c r="DU235" s="6"/>
      <c r="DV235" s="6"/>
      <c r="DW235" s="6"/>
      <c r="DX235" s="6"/>
      <c r="DY235" s="7">
        <f>ROUND(333.8,2)</f>
        <v>333.8</v>
      </c>
      <c r="DZ235" s="6"/>
      <c r="EA235" s="7">
        <f>ROUND(247.88,2)</f>
        <v>247.88</v>
      </c>
      <c r="EB235" s="6"/>
      <c r="EC235" s="6"/>
      <c r="ED235" s="7">
        <f>ROUND(2282.24,2)</f>
        <v>2282.2399999999998</v>
      </c>
      <c r="EE235" s="6"/>
      <c r="EF235" s="7">
        <f>ROUND(1568.64,2)</f>
        <v>1568.64</v>
      </c>
      <c r="EG235" s="6"/>
      <c r="EH235" s="7">
        <f>ROUND(1540.32,2)</f>
        <v>1540.32</v>
      </c>
      <c r="EI235" s="6"/>
      <c r="EJ235" s="6"/>
      <c r="EK235" s="7">
        <f>ROUND(1034.56,2)</f>
        <v>1034.56</v>
      </c>
      <c r="EL235" s="6"/>
      <c r="EM235" s="6"/>
      <c r="EN235" s="7">
        <f>ROUND(256.72,2)</f>
        <v>256.72000000000003</v>
      </c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7">
        <f>ROUND(770.16,2)</f>
        <v>770.16</v>
      </c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7">
        <f>ROUND(3000,2)</f>
        <v>3000</v>
      </c>
      <c r="FU235" s="6"/>
      <c r="FV235" s="6"/>
      <c r="FW235" s="6"/>
      <c r="FX235" s="7">
        <f>ROUND(534.08,2)</f>
        <v>534.08000000000004</v>
      </c>
      <c r="FY235" s="7">
        <f>ROUND(61767.77,2)</f>
        <v>61767.77</v>
      </c>
    </row>
    <row r="236" spans="1:181" x14ac:dyDescent="0.3">
      <c r="A236" s="4" t="s">
        <v>553</v>
      </c>
      <c r="B236" s="5" t="s">
        <v>1029</v>
      </c>
      <c r="C236" s="5" t="s">
        <v>181</v>
      </c>
      <c r="D236" s="5" t="s">
        <v>554</v>
      </c>
      <c r="E236" s="5" t="s">
        <v>0</v>
      </c>
      <c r="F236" s="5" t="s">
        <v>0</v>
      </c>
      <c r="G236" s="5" t="s">
        <v>183</v>
      </c>
      <c r="H236" s="9">
        <v>30.04</v>
      </c>
      <c r="I236" s="7">
        <f>ROUND(41329.45,2)</f>
        <v>41329.449999999997</v>
      </c>
      <c r="J236" s="6"/>
      <c r="K236" s="6"/>
      <c r="L236" s="6"/>
      <c r="M236" s="6"/>
      <c r="N236" s="7">
        <f>ROUND(1181.98999999999,2)</f>
        <v>1181.99</v>
      </c>
      <c r="O236" s="6"/>
      <c r="P236" s="6"/>
      <c r="Q236" s="7">
        <f>ROUND(0.67,2)</f>
        <v>0.67</v>
      </c>
      <c r="R236" s="6"/>
      <c r="S236" s="6"/>
      <c r="T236" s="6"/>
      <c r="U236" s="6"/>
      <c r="V236" s="7">
        <f>ROUND(1.58,2)</f>
        <v>1.58</v>
      </c>
      <c r="W236" s="6"/>
      <c r="X236" s="7">
        <f>ROUND(0.42,2)</f>
        <v>0.42</v>
      </c>
      <c r="Y236" s="6"/>
      <c r="Z236" s="6"/>
      <c r="AA236" s="6"/>
      <c r="AB236" s="6"/>
      <c r="AC236" s="6"/>
      <c r="AD236" s="6"/>
      <c r="AE236" s="7">
        <f>ROUND(60,2)</f>
        <v>60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7">
        <f>ROUND(25.08,2)</f>
        <v>25.08</v>
      </c>
      <c r="AQ236" s="6"/>
      <c r="AR236" s="6"/>
      <c r="AS236" s="6"/>
      <c r="AT236" s="6"/>
      <c r="AU236" s="7">
        <f>ROUND(40,2)</f>
        <v>40</v>
      </c>
      <c r="AV236" s="6"/>
      <c r="AW236" s="7">
        <f>ROUND(5,2)</f>
        <v>5</v>
      </c>
      <c r="AX236" s="6"/>
      <c r="AY236" s="7">
        <f>ROUND(15,2)</f>
        <v>15</v>
      </c>
      <c r="AZ236" s="6"/>
      <c r="BA236" s="6"/>
      <c r="BB236" s="6"/>
      <c r="BC236" s="6"/>
      <c r="BD236" s="7">
        <f>ROUND(158,2)</f>
        <v>158</v>
      </c>
      <c r="BE236" s="6"/>
      <c r="BF236" s="7">
        <f>ROUND(14.93,2)</f>
        <v>14.93</v>
      </c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7">
        <f>ROUND(1.67,2)</f>
        <v>1.67</v>
      </c>
      <c r="BT236" s="7">
        <f>ROUND(1.10999999999999,2)</f>
        <v>1.1100000000000001</v>
      </c>
      <c r="BU236" s="6"/>
      <c r="BV236" s="6"/>
      <c r="BW236" s="6"/>
      <c r="BX236" s="6"/>
      <c r="BY236" s="7">
        <f>ROUND(20,2)</f>
        <v>20</v>
      </c>
      <c r="BZ236" s="6"/>
      <c r="CA236" s="7">
        <f>ROUND(40,2)</f>
        <v>40</v>
      </c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7">
        <f>ROUND(1565.44999999999,2)</f>
        <v>1565.45</v>
      </c>
      <c r="CR236" s="6"/>
      <c r="CS236" s="6"/>
      <c r="CT236" s="6"/>
      <c r="CU236" s="6"/>
      <c r="CV236" s="7">
        <f>ROUND(31696.07,2)</f>
        <v>31696.07</v>
      </c>
      <c r="CW236" s="6"/>
      <c r="CX236" s="6"/>
      <c r="CY236" s="7">
        <f>ROUND(17.59,2)</f>
        <v>17.59</v>
      </c>
      <c r="CZ236" s="6"/>
      <c r="DA236" s="6"/>
      <c r="DB236" s="6"/>
      <c r="DC236" s="6"/>
      <c r="DD236" s="7">
        <f>ROUND(44.38,2)</f>
        <v>44.38</v>
      </c>
      <c r="DE236" s="6"/>
      <c r="DF236" s="7">
        <f>ROUND(11.8,2)</f>
        <v>11.8</v>
      </c>
      <c r="DG236" s="6"/>
      <c r="DH236" s="6"/>
      <c r="DI236" s="6"/>
      <c r="DJ236" s="6"/>
      <c r="DK236" s="6"/>
      <c r="DL236" s="6"/>
      <c r="DM236" s="6"/>
      <c r="DN236" s="7">
        <f>ROUND(1622.34,2)</f>
        <v>1622.34</v>
      </c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7">
        <f>ROUND(720.71,2)</f>
        <v>720.71</v>
      </c>
      <c r="DZ236" s="6"/>
      <c r="EA236" s="6"/>
      <c r="EB236" s="6"/>
      <c r="EC236" s="6"/>
      <c r="ED236" s="7">
        <f>ROUND(1019.59999999999,2)</f>
        <v>1019.6</v>
      </c>
      <c r="EE236" s="6"/>
      <c r="EF236" s="7">
        <f>ROUND(140.45,2)</f>
        <v>140.44999999999999</v>
      </c>
      <c r="EG236" s="6"/>
      <c r="EH236" s="7">
        <f>ROUND(421.349999999999,2)</f>
        <v>421.35</v>
      </c>
      <c r="EI236" s="6"/>
      <c r="EJ236" s="6"/>
      <c r="EK236" s="6"/>
      <c r="EL236" s="6"/>
      <c r="EM236" s="6"/>
      <c r="EN236" s="7">
        <f>ROUND(2843.24,2)</f>
        <v>2843.24</v>
      </c>
      <c r="EO236" s="6"/>
      <c r="EP236" s="7">
        <f>ROUND(391.919999999999,2)</f>
        <v>391.92</v>
      </c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7">
        <f>ROUND(900,2)</f>
        <v>900</v>
      </c>
      <c r="FK236" s="6"/>
      <c r="FL236" s="6"/>
      <c r="FM236" s="6"/>
      <c r="FN236" s="6"/>
      <c r="FO236" s="6"/>
      <c r="FP236" s="6"/>
      <c r="FQ236" s="6"/>
      <c r="FR236" s="6"/>
      <c r="FS236" s="6"/>
      <c r="FT236" s="7">
        <f>ROUND(1500,2)</f>
        <v>1500</v>
      </c>
      <c r="FU236" s="6"/>
      <c r="FV236" s="6"/>
      <c r="FW236" s="6"/>
      <c r="FX236" s="6"/>
      <c r="FY236" s="7">
        <f>ROUND(41329.45,2)</f>
        <v>41329.449999999997</v>
      </c>
    </row>
    <row r="237" spans="1:181" x14ac:dyDescent="0.3">
      <c r="A237" s="4" t="s">
        <v>561</v>
      </c>
      <c r="B237" s="5" t="s">
        <v>1029</v>
      </c>
      <c r="C237" s="5" t="s">
        <v>181</v>
      </c>
      <c r="D237" s="5" t="s">
        <v>471</v>
      </c>
      <c r="E237" s="5" t="s">
        <v>562</v>
      </c>
      <c r="F237" s="5" t="s">
        <v>0</v>
      </c>
      <c r="G237" s="5" t="s">
        <v>183</v>
      </c>
      <c r="H237" s="9">
        <v>28.09</v>
      </c>
      <c r="I237" s="7">
        <f>ROUND(26167.35,2)</f>
        <v>26167.35</v>
      </c>
      <c r="J237" s="6"/>
      <c r="K237" s="6"/>
      <c r="L237" s="6"/>
      <c r="M237" s="6"/>
      <c r="N237" s="7">
        <f>ROUND(692.98,2)</f>
        <v>692.98</v>
      </c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7">
        <f>ROUND(60.33,2)</f>
        <v>60.33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7">
        <f>ROUND(20,2)</f>
        <v>20</v>
      </c>
      <c r="AV237" s="6"/>
      <c r="AW237" s="6"/>
      <c r="AX237" s="6"/>
      <c r="AY237" s="6"/>
      <c r="AZ237" s="6"/>
      <c r="BA237" s="6"/>
      <c r="BB237" s="6"/>
      <c r="BC237" s="6"/>
      <c r="BD237" s="7">
        <f>ROUND(309.9,2)</f>
        <v>309.89999999999998</v>
      </c>
      <c r="BE237" s="6"/>
      <c r="BF237" s="7">
        <f>ROUND(8.58,2)</f>
        <v>8.58</v>
      </c>
      <c r="BG237" s="6"/>
      <c r="BH237" s="6"/>
      <c r="BI237" s="7">
        <f>ROUND(18.1,2)</f>
        <v>18.100000000000001</v>
      </c>
      <c r="BJ237" s="7">
        <f>ROUND(11.57,2)</f>
        <v>11.57</v>
      </c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7">
        <f>ROUND(5,2)</f>
        <v>5</v>
      </c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7">
        <f>ROUND(1126.46,2)</f>
        <v>1126.46</v>
      </c>
      <c r="CR237" s="6"/>
      <c r="CS237" s="6"/>
      <c r="CT237" s="6"/>
      <c r="CU237" s="6"/>
      <c r="CV237" s="7">
        <f>ROUND(17498.03,2)</f>
        <v>17498.03</v>
      </c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7">
        <f>ROUND(1471.52,2)</f>
        <v>1471.52</v>
      </c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7">
        <f>ROUND(488.499999999999,2)</f>
        <v>488.5</v>
      </c>
      <c r="EE237" s="6"/>
      <c r="EF237" s="6"/>
      <c r="EG237" s="6"/>
      <c r="EH237" s="6"/>
      <c r="EI237" s="6"/>
      <c r="EJ237" s="6"/>
      <c r="EK237" s="6"/>
      <c r="EL237" s="6"/>
      <c r="EM237" s="6"/>
      <c r="EN237" s="7">
        <f>ROUND(5488.61,2)</f>
        <v>5488.61</v>
      </c>
      <c r="EO237" s="6"/>
      <c r="EP237" s="7">
        <f>ROUND(225.23,2)</f>
        <v>225.23</v>
      </c>
      <c r="EQ237" s="6"/>
      <c r="ER237" s="6"/>
      <c r="ES237" s="6"/>
      <c r="ET237" s="7">
        <f>ROUND(316.75,2)</f>
        <v>316.75</v>
      </c>
      <c r="EU237" s="7">
        <f>ROUND(303.71,2)</f>
        <v>303.70999999999998</v>
      </c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7">
        <f>ROUND(375,2)</f>
        <v>375</v>
      </c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7">
        <f>ROUND(26167.35,2)</f>
        <v>26167.35</v>
      </c>
    </row>
    <row r="238" spans="1:181" x14ac:dyDescent="0.3">
      <c r="A238" s="4" t="s">
        <v>563</v>
      </c>
      <c r="B238" s="5" t="s">
        <v>1029</v>
      </c>
      <c r="C238" s="5" t="s">
        <v>181</v>
      </c>
      <c r="D238" s="5" t="s">
        <v>303</v>
      </c>
      <c r="E238" s="5" t="s">
        <v>0</v>
      </c>
      <c r="F238" s="5" t="s">
        <v>0</v>
      </c>
      <c r="G238" s="5" t="s">
        <v>183</v>
      </c>
      <c r="H238" s="6">
        <v>33.380000000000003</v>
      </c>
      <c r="I238" s="7">
        <f>ROUND(60687.7499999999,2)</f>
        <v>60687.75</v>
      </c>
      <c r="J238" s="6"/>
      <c r="K238" s="6"/>
      <c r="L238" s="6"/>
      <c r="M238" s="6"/>
      <c r="N238" s="7">
        <f>ROUND(878.469999999999,2)</f>
        <v>878.47</v>
      </c>
      <c r="O238" s="6"/>
      <c r="P238" s="6"/>
      <c r="Q238" s="7">
        <f>ROUND(85.0799999999999,2)</f>
        <v>85.08</v>
      </c>
      <c r="R238" s="6"/>
      <c r="S238" s="6"/>
      <c r="T238" s="6"/>
      <c r="U238" s="6"/>
      <c r="V238" s="7">
        <f>ROUND(18.46,2)</f>
        <v>18.46</v>
      </c>
      <c r="W238" s="7">
        <f>ROUND(5.25,2)</f>
        <v>5.25</v>
      </c>
      <c r="X238" s="6"/>
      <c r="Y238" s="6"/>
      <c r="Z238" s="6"/>
      <c r="AA238" s="6"/>
      <c r="AB238" s="6"/>
      <c r="AC238" s="6"/>
      <c r="AD238" s="6"/>
      <c r="AE238" s="7">
        <f>ROUND(224.23,2)</f>
        <v>224.23</v>
      </c>
      <c r="AF238" s="6"/>
      <c r="AG238" s="7">
        <f>ROUND(51.8,2)</f>
        <v>51.8</v>
      </c>
      <c r="AH238" s="6"/>
      <c r="AI238" s="6"/>
      <c r="AJ238" s="6"/>
      <c r="AK238" s="6"/>
      <c r="AL238" s="6"/>
      <c r="AM238" s="6"/>
      <c r="AN238" s="6"/>
      <c r="AO238" s="6"/>
      <c r="AP238" s="7">
        <f>ROUND(278.24,2)</f>
        <v>278.24</v>
      </c>
      <c r="AQ238" s="6"/>
      <c r="AR238" s="7">
        <f>ROUND(40.56,2)</f>
        <v>40.56</v>
      </c>
      <c r="AS238" s="6"/>
      <c r="AT238" s="6"/>
      <c r="AU238" s="7">
        <f>ROUND(52,2)</f>
        <v>52</v>
      </c>
      <c r="AV238" s="6"/>
      <c r="AW238" s="7">
        <f>ROUND(32,2)</f>
        <v>32</v>
      </c>
      <c r="AX238" s="6"/>
      <c r="AY238" s="7">
        <f>ROUND(40,2)</f>
        <v>40</v>
      </c>
      <c r="AZ238" s="6"/>
      <c r="BA238" s="6"/>
      <c r="BB238" s="6"/>
      <c r="BC238" s="6"/>
      <c r="BD238" s="7">
        <f>ROUND(8,2)</f>
        <v>8</v>
      </c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7">
        <f>ROUND(16.33,2)</f>
        <v>16.329999999999998</v>
      </c>
      <c r="BR238" s="6"/>
      <c r="BS238" s="6"/>
      <c r="BT238" s="7">
        <f>ROUND(7.5,2)</f>
        <v>7.5</v>
      </c>
      <c r="BU238" s="6"/>
      <c r="BV238" s="6"/>
      <c r="BW238" s="7">
        <f>ROUND(16,2)</f>
        <v>16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7">
        <f>ROUND(1753.92,2)</f>
        <v>1753.92</v>
      </c>
      <c r="CR238" s="6"/>
      <c r="CS238" s="6"/>
      <c r="CT238" s="6"/>
      <c r="CU238" s="6"/>
      <c r="CV238" s="7">
        <f>ROUND(27455.1599999999,2)</f>
        <v>27455.16</v>
      </c>
      <c r="CW238" s="6"/>
      <c r="CX238" s="6"/>
      <c r="CY238" s="7">
        <f>ROUND(4019.61999999999,2)</f>
        <v>4019.62</v>
      </c>
      <c r="CZ238" s="6"/>
      <c r="DA238" s="6"/>
      <c r="DB238" s="6"/>
      <c r="DC238" s="6"/>
      <c r="DD238" s="7">
        <f>ROUND(580.89,2)</f>
        <v>580.89</v>
      </c>
      <c r="DE238" s="7">
        <f>ROUND(261.24,2)</f>
        <v>261.24</v>
      </c>
      <c r="DF238" s="6"/>
      <c r="DG238" s="6"/>
      <c r="DH238" s="6"/>
      <c r="DI238" s="6"/>
      <c r="DJ238" s="6"/>
      <c r="DK238" s="6"/>
      <c r="DL238" s="6"/>
      <c r="DM238" s="6"/>
      <c r="DN238" s="7">
        <f>ROUND(6995.98,2)</f>
        <v>6995.98</v>
      </c>
      <c r="DO238" s="6"/>
      <c r="DP238" s="7">
        <f>ROUND(2451.82,2)</f>
        <v>2451.8200000000002</v>
      </c>
      <c r="DQ238" s="6"/>
      <c r="DR238" s="6"/>
      <c r="DS238" s="6"/>
      <c r="DT238" s="6"/>
      <c r="DU238" s="6"/>
      <c r="DV238" s="6"/>
      <c r="DW238" s="6"/>
      <c r="DX238" s="6"/>
      <c r="DY238" s="7">
        <f>ROUND(8493.05,2)</f>
        <v>8493.0499999999993</v>
      </c>
      <c r="DZ238" s="6"/>
      <c r="EA238" s="7">
        <f>ROUND(1953.19,2)</f>
        <v>1953.19</v>
      </c>
      <c r="EB238" s="6"/>
      <c r="EC238" s="6"/>
      <c r="ED238" s="7">
        <f>ROUND(1611.44,2)</f>
        <v>1611.44</v>
      </c>
      <c r="EE238" s="6"/>
      <c r="EF238" s="7">
        <f>ROUND(977.679999999999,2)</f>
        <v>977.68</v>
      </c>
      <c r="EG238" s="6"/>
      <c r="EH238" s="7">
        <f>ROUND(1256,2)</f>
        <v>1256</v>
      </c>
      <c r="EI238" s="6"/>
      <c r="EJ238" s="6"/>
      <c r="EK238" s="6"/>
      <c r="EL238" s="6"/>
      <c r="EM238" s="6"/>
      <c r="EN238" s="7">
        <f>ROUND(243.92,2)</f>
        <v>243.92</v>
      </c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7">
        <f>ROUND(512.76,2)</f>
        <v>512.76</v>
      </c>
      <c r="FE238" s="6"/>
      <c r="FF238" s="6"/>
      <c r="FG238" s="6"/>
      <c r="FH238" s="6"/>
      <c r="FI238" s="6"/>
      <c r="FJ238" s="7">
        <f>ROUND(875,2)</f>
        <v>875</v>
      </c>
      <c r="FK238" s="6"/>
      <c r="FL238" s="6"/>
      <c r="FM238" s="6"/>
      <c r="FN238" s="6"/>
      <c r="FO238" s="6"/>
      <c r="FP238" s="6"/>
      <c r="FQ238" s="6"/>
      <c r="FR238" s="6"/>
      <c r="FS238" s="6"/>
      <c r="FT238" s="7">
        <f>ROUND(3000,2)</f>
        <v>3000</v>
      </c>
      <c r="FU238" s="6"/>
      <c r="FV238" s="6"/>
      <c r="FW238" s="6"/>
      <c r="FX238" s="6"/>
      <c r="FY238" s="7">
        <f>ROUND(60687.7499999999,2)</f>
        <v>60687.75</v>
      </c>
    </row>
    <row r="239" spans="1:181" x14ac:dyDescent="0.3">
      <c r="A239" s="4" t="s">
        <v>567</v>
      </c>
      <c r="B239" s="5" t="s">
        <v>1029</v>
      </c>
      <c r="C239" s="5" t="s">
        <v>181</v>
      </c>
      <c r="D239" s="5" t="s">
        <v>439</v>
      </c>
      <c r="E239" s="5" t="s">
        <v>0</v>
      </c>
      <c r="F239" s="5" t="s">
        <v>0</v>
      </c>
      <c r="G239" s="5" t="s">
        <v>183</v>
      </c>
      <c r="H239" s="8">
        <v>33.880000000000003</v>
      </c>
      <c r="I239" s="7">
        <f>ROUND(130342.31,2)</f>
        <v>130342.31</v>
      </c>
      <c r="J239" s="6"/>
      <c r="K239" s="6"/>
      <c r="L239" s="6"/>
      <c r="M239" s="6"/>
      <c r="N239" s="7">
        <f>ROUND(1674.94999999999,2)</f>
        <v>1674.95</v>
      </c>
      <c r="O239" s="6"/>
      <c r="P239" s="6"/>
      <c r="Q239" s="7">
        <f>ROUND(822.129999999999,2)</f>
        <v>822.13</v>
      </c>
      <c r="R239" s="6"/>
      <c r="S239" s="6"/>
      <c r="T239" s="6"/>
      <c r="U239" s="6"/>
      <c r="V239" s="7">
        <f>ROUND(11.3,2)</f>
        <v>11.3</v>
      </c>
      <c r="W239" s="7">
        <f>ROUND(54.83,2)</f>
        <v>54.83</v>
      </c>
      <c r="X239" s="7">
        <f>ROUND(1.95,2)</f>
        <v>1.95</v>
      </c>
      <c r="Y239" s="7">
        <f>ROUND(1.83999999999999,2)</f>
        <v>1.84</v>
      </c>
      <c r="Z239" s="6"/>
      <c r="AA239" s="6"/>
      <c r="AB239" s="6"/>
      <c r="AC239" s="6"/>
      <c r="AD239" s="6"/>
      <c r="AE239" s="7">
        <f>ROUND(224.28,2)</f>
        <v>224.28</v>
      </c>
      <c r="AF239" s="6"/>
      <c r="AG239" s="7">
        <f>ROUND(72.59,2)</f>
        <v>72.59</v>
      </c>
      <c r="AH239" s="6"/>
      <c r="AI239" s="6"/>
      <c r="AJ239" s="6"/>
      <c r="AK239" s="6"/>
      <c r="AL239" s="6"/>
      <c r="AM239" s="6"/>
      <c r="AN239" s="6"/>
      <c r="AO239" s="6"/>
      <c r="AP239" s="7">
        <f>ROUND(30,2)</f>
        <v>30</v>
      </c>
      <c r="AQ239" s="6"/>
      <c r="AR239" s="7">
        <f>ROUND(82.83,2)</f>
        <v>82.83</v>
      </c>
      <c r="AS239" s="6"/>
      <c r="AT239" s="6"/>
      <c r="AU239" s="7">
        <f>ROUND(60,2)</f>
        <v>60</v>
      </c>
      <c r="AV239" s="7">
        <f>ROUND(8,2)</f>
        <v>8</v>
      </c>
      <c r="AW239" s="7">
        <f>ROUND(16,2)</f>
        <v>16</v>
      </c>
      <c r="AX239" s="7">
        <f>ROUND(24,2)</f>
        <v>24</v>
      </c>
      <c r="AY239" s="7">
        <f>ROUND(88,2)</f>
        <v>88</v>
      </c>
      <c r="AZ239" s="7">
        <f>ROUND(8,2)</f>
        <v>8</v>
      </c>
      <c r="BA239" s="6"/>
      <c r="BB239" s="7">
        <f>ROUND(24,2)</f>
        <v>24</v>
      </c>
      <c r="BC239" s="6"/>
      <c r="BD239" s="7">
        <f>ROUND(27.42,2)</f>
        <v>27.42</v>
      </c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7">
        <f>ROUND(9.62,2)</f>
        <v>9.6199999999999992</v>
      </c>
      <c r="BU239" s="6"/>
      <c r="BV239" s="6"/>
      <c r="BW239" s="6"/>
      <c r="BX239" s="6"/>
      <c r="BY239" s="7">
        <f>ROUND(8,2)</f>
        <v>8</v>
      </c>
      <c r="BZ239" s="6"/>
      <c r="CA239" s="7">
        <f>ROUND(12,2)</f>
        <v>12</v>
      </c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7">
        <f>ROUND(80,2)</f>
        <v>80</v>
      </c>
      <c r="CQ239" s="7">
        <f>ROUND(3341.74,2)</f>
        <v>3341.74</v>
      </c>
      <c r="CR239" s="6"/>
      <c r="CS239" s="6"/>
      <c r="CT239" s="6"/>
      <c r="CU239" s="6"/>
      <c r="CV239" s="7">
        <f>ROUND(54669.1599999999,2)</f>
        <v>54669.16</v>
      </c>
      <c r="CW239" s="6"/>
      <c r="CX239" s="6"/>
      <c r="CY239" s="7">
        <f>ROUND(40381.5,2)</f>
        <v>40381.5</v>
      </c>
      <c r="CZ239" s="6"/>
      <c r="DA239" s="6"/>
      <c r="DB239" s="6"/>
      <c r="DC239" s="6"/>
      <c r="DD239" s="7">
        <f>ROUND(364.31,2)</f>
        <v>364.31</v>
      </c>
      <c r="DE239" s="7">
        <f>ROUND(2697.12,2)</f>
        <v>2697.12</v>
      </c>
      <c r="DF239" s="7">
        <f>ROUND(62.58,2)</f>
        <v>62.58</v>
      </c>
      <c r="DG239" s="7">
        <f>ROUND(89.5399999999999,2)</f>
        <v>89.54</v>
      </c>
      <c r="DH239" s="6"/>
      <c r="DI239" s="6"/>
      <c r="DJ239" s="6"/>
      <c r="DK239" s="6"/>
      <c r="DL239" s="6"/>
      <c r="DM239" s="6"/>
      <c r="DN239" s="7">
        <f>ROUND(7470.26999999999,2)</f>
        <v>7470.27</v>
      </c>
      <c r="DO239" s="6"/>
      <c r="DP239" s="7">
        <f>ROUND(3616.05,2)</f>
        <v>3616.05</v>
      </c>
      <c r="DQ239" s="6"/>
      <c r="DR239" s="6"/>
      <c r="DS239" s="6"/>
      <c r="DT239" s="6"/>
      <c r="DU239" s="6"/>
      <c r="DV239" s="6"/>
      <c r="DW239" s="6"/>
      <c r="DX239" s="6"/>
      <c r="DY239" s="7">
        <f>ROUND(967.2,2)</f>
        <v>967.2</v>
      </c>
      <c r="DZ239" s="6"/>
      <c r="EA239" s="7">
        <f>ROUND(4072.07999999999,2)</f>
        <v>4072.08</v>
      </c>
      <c r="EB239" s="6"/>
      <c r="EC239" s="6"/>
      <c r="ED239" s="7">
        <f>ROUND(1955.08,2)</f>
        <v>1955.08</v>
      </c>
      <c r="EE239" s="7">
        <f>ROUND(396.64,2)</f>
        <v>396.64</v>
      </c>
      <c r="EF239" s="7">
        <f>ROUND(521.12,2)</f>
        <v>521.12</v>
      </c>
      <c r="EG239" s="7">
        <f>ROUND(1189.8,2)</f>
        <v>1189.8</v>
      </c>
      <c r="EH239" s="7">
        <f>ROUND(2839.28,2)</f>
        <v>2839.28</v>
      </c>
      <c r="EI239" s="7">
        <f>ROUND(396.6,2)</f>
        <v>396.6</v>
      </c>
      <c r="EJ239" s="6"/>
      <c r="EK239" s="7">
        <f>ROUND(777.84,2)</f>
        <v>777.84</v>
      </c>
      <c r="EL239" s="6"/>
      <c r="EM239" s="6"/>
      <c r="EN239" s="7">
        <f>ROUND(915.74,2)</f>
        <v>915.74</v>
      </c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7">
        <f>ROUND(1250,2)</f>
        <v>1250</v>
      </c>
      <c r="FK239" s="6"/>
      <c r="FL239" s="6"/>
      <c r="FM239" s="6"/>
      <c r="FN239" s="6"/>
      <c r="FO239" s="6"/>
      <c r="FP239" s="6"/>
      <c r="FQ239" s="6"/>
      <c r="FR239" s="6"/>
      <c r="FS239" s="6"/>
      <c r="FT239" s="7">
        <f>ROUND(3000,2)</f>
        <v>3000</v>
      </c>
      <c r="FU239" s="6"/>
      <c r="FV239" s="6"/>
      <c r="FW239" s="6"/>
      <c r="FX239" s="7">
        <f>ROUND(2710.4,2)</f>
        <v>2710.4</v>
      </c>
      <c r="FY239" s="7">
        <f>ROUND(130342.31,2)</f>
        <v>130342.31</v>
      </c>
    </row>
    <row r="240" spans="1:181" x14ac:dyDescent="0.3">
      <c r="A240" s="4" t="s">
        <v>571</v>
      </c>
      <c r="B240" s="5" t="s">
        <v>1029</v>
      </c>
      <c r="C240" s="5" t="s">
        <v>181</v>
      </c>
      <c r="D240" s="5" t="s">
        <v>554</v>
      </c>
      <c r="E240" s="5" t="s">
        <v>572</v>
      </c>
      <c r="F240" s="5" t="s">
        <v>0</v>
      </c>
      <c r="G240" s="5" t="s">
        <v>183</v>
      </c>
      <c r="H240" s="9">
        <v>17.5</v>
      </c>
      <c r="I240" s="7">
        <f>ROUND(2568.49,2)</f>
        <v>2568.4899999999998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7">
        <f>ROUND(10,2)</f>
        <v>10</v>
      </c>
      <c r="AV240" s="6"/>
      <c r="AW240" s="6"/>
      <c r="AX240" s="6"/>
      <c r="AY240" s="6"/>
      <c r="AZ240" s="6"/>
      <c r="BA240" s="6"/>
      <c r="BB240" s="6"/>
      <c r="BC240" s="6"/>
      <c r="BD240" s="7">
        <f>ROUND(118.92,2)</f>
        <v>118.92</v>
      </c>
      <c r="BE240" s="6"/>
      <c r="BF240" s="7">
        <f>ROUND(11.9,2)</f>
        <v>11.9</v>
      </c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7">
        <f>ROUND(0.13,2)</f>
        <v>0.13</v>
      </c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7">
        <f>ROUND(140.95,2)</f>
        <v>140.94999999999999</v>
      </c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7">
        <f>ROUND(175,2)</f>
        <v>175</v>
      </c>
      <c r="EE240" s="6"/>
      <c r="EF240" s="6"/>
      <c r="EG240" s="6"/>
      <c r="EH240" s="6"/>
      <c r="EI240" s="6"/>
      <c r="EJ240" s="6"/>
      <c r="EK240" s="6"/>
      <c r="EL240" s="6"/>
      <c r="EM240" s="6"/>
      <c r="EN240" s="7">
        <f>ROUND(2081.11,2)</f>
        <v>2081.11</v>
      </c>
      <c r="EO240" s="6"/>
      <c r="EP240" s="7">
        <f>ROUND(312.38,2)</f>
        <v>312.38</v>
      </c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7">
        <f>ROUND(2568.49,2)</f>
        <v>2568.4899999999998</v>
      </c>
    </row>
    <row r="241" spans="1:181" x14ac:dyDescent="0.3">
      <c r="A241" s="4" t="s">
        <v>573</v>
      </c>
      <c r="B241" s="5" t="s">
        <v>1029</v>
      </c>
      <c r="C241" s="5" t="s">
        <v>181</v>
      </c>
      <c r="D241" s="5" t="s">
        <v>390</v>
      </c>
      <c r="E241" s="5" t="s">
        <v>0</v>
      </c>
      <c r="F241" s="5" t="s">
        <v>0</v>
      </c>
      <c r="G241" s="5" t="s">
        <v>183</v>
      </c>
      <c r="H241" s="6">
        <v>33.380000000000003</v>
      </c>
      <c r="I241" s="7">
        <f>ROUND(87265.68,2)</f>
        <v>87265.68</v>
      </c>
      <c r="J241" s="6"/>
      <c r="K241" s="6"/>
      <c r="L241" s="6"/>
      <c r="M241" s="6"/>
      <c r="N241" s="7">
        <f>ROUND(1052.86,2)</f>
        <v>1052.8599999999999</v>
      </c>
      <c r="O241" s="6"/>
      <c r="P241" s="6"/>
      <c r="Q241" s="7">
        <f>ROUND(201.459999999999,2)</f>
        <v>201.46</v>
      </c>
      <c r="R241" s="6"/>
      <c r="S241" s="6"/>
      <c r="T241" s="6"/>
      <c r="U241" s="6"/>
      <c r="V241" s="7">
        <f>ROUND(28.3,2)</f>
        <v>28.3</v>
      </c>
      <c r="W241" s="7">
        <f>ROUND(9.07,2)</f>
        <v>9.07</v>
      </c>
      <c r="X241" s="6"/>
      <c r="Y241" s="6"/>
      <c r="Z241" s="6"/>
      <c r="AA241" s="6"/>
      <c r="AB241" s="6"/>
      <c r="AC241" s="6"/>
      <c r="AD241" s="6"/>
      <c r="AE241" s="7">
        <f>ROUND(239.62,2)</f>
        <v>239.62</v>
      </c>
      <c r="AF241" s="6"/>
      <c r="AG241" s="7">
        <f>ROUND(26.64,2)</f>
        <v>26.64</v>
      </c>
      <c r="AH241" s="6"/>
      <c r="AI241" s="6"/>
      <c r="AJ241" s="6"/>
      <c r="AK241" s="6"/>
      <c r="AL241" s="6"/>
      <c r="AM241" s="6"/>
      <c r="AN241" s="6"/>
      <c r="AO241" s="6"/>
      <c r="AP241" s="7">
        <f>ROUND(560.339999999999,2)</f>
        <v>560.34</v>
      </c>
      <c r="AQ241" s="6"/>
      <c r="AR241" s="7">
        <f>ROUND(67.49,2)</f>
        <v>67.489999999999995</v>
      </c>
      <c r="AS241" s="6"/>
      <c r="AT241" s="6"/>
      <c r="AU241" s="7">
        <f>ROUND(76,2)</f>
        <v>76</v>
      </c>
      <c r="AV241" s="6"/>
      <c r="AW241" s="7">
        <f>ROUND(9.35,2)</f>
        <v>9.35</v>
      </c>
      <c r="AX241" s="7">
        <f>ROUND(8.65,2)</f>
        <v>8.65</v>
      </c>
      <c r="AY241" s="7">
        <f>ROUND(40.5,2)</f>
        <v>40.5</v>
      </c>
      <c r="AZ241" s="7">
        <f>ROUND(3.5,2)</f>
        <v>3.5</v>
      </c>
      <c r="BA241" s="6"/>
      <c r="BB241" s="6"/>
      <c r="BC241" s="6"/>
      <c r="BD241" s="7">
        <f>ROUND(10,2)</f>
        <v>10</v>
      </c>
      <c r="BE241" s="6"/>
      <c r="BF241" s="6"/>
      <c r="BG241" s="7">
        <f>ROUND(30,2)</f>
        <v>30</v>
      </c>
      <c r="BH241" s="6"/>
      <c r="BI241" s="6"/>
      <c r="BJ241" s="6"/>
      <c r="BK241" s="6"/>
      <c r="BL241" s="6"/>
      <c r="BM241" s="6"/>
      <c r="BN241" s="6"/>
      <c r="BO241" s="7">
        <f>ROUND(37.5,2)</f>
        <v>37.5</v>
      </c>
      <c r="BP241" s="7">
        <f>ROUND(8.83,2)</f>
        <v>8.83</v>
      </c>
      <c r="BQ241" s="7">
        <f>ROUND(46.28,2)</f>
        <v>46.28</v>
      </c>
      <c r="BR241" s="6"/>
      <c r="BS241" s="6"/>
      <c r="BT241" s="7">
        <f>ROUND(0.47,2)</f>
        <v>0.47</v>
      </c>
      <c r="BU241" s="6"/>
      <c r="BV241" s="6"/>
      <c r="BW241" s="6"/>
      <c r="BX241" s="6"/>
      <c r="BY241" s="7">
        <f>ROUND(32,2)</f>
        <v>32</v>
      </c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7">
        <f>ROUND(2488.86,2)</f>
        <v>2488.86</v>
      </c>
      <c r="CR241" s="6"/>
      <c r="CS241" s="6"/>
      <c r="CT241" s="6"/>
      <c r="CU241" s="6"/>
      <c r="CV241" s="7">
        <f>ROUND(33772.16,2)</f>
        <v>33772.160000000003</v>
      </c>
      <c r="CW241" s="6"/>
      <c r="CX241" s="6"/>
      <c r="CY241" s="7">
        <f>ROUND(9872.91999999999,2)</f>
        <v>9872.92</v>
      </c>
      <c r="CZ241" s="6"/>
      <c r="DA241" s="6"/>
      <c r="DB241" s="6"/>
      <c r="DC241" s="6"/>
      <c r="DD241" s="7">
        <f>ROUND(880.449999999999,2)</f>
        <v>880.45</v>
      </c>
      <c r="DE241" s="7">
        <f>ROUND(414.82,2)</f>
        <v>414.82</v>
      </c>
      <c r="DF241" s="6"/>
      <c r="DG241" s="6"/>
      <c r="DH241" s="6"/>
      <c r="DI241" s="6"/>
      <c r="DJ241" s="6"/>
      <c r="DK241" s="6"/>
      <c r="DL241" s="6"/>
      <c r="DM241" s="6"/>
      <c r="DN241" s="7">
        <f>ROUND(7535.88999999999,2)</f>
        <v>7535.89</v>
      </c>
      <c r="DO241" s="6"/>
      <c r="DP241" s="7">
        <f>ROUND(1220.16,2)</f>
        <v>1220.1600000000001</v>
      </c>
      <c r="DQ241" s="6"/>
      <c r="DR241" s="6"/>
      <c r="DS241" s="6"/>
      <c r="DT241" s="6"/>
      <c r="DU241" s="6"/>
      <c r="DV241" s="6"/>
      <c r="DW241" s="6"/>
      <c r="DX241" s="6"/>
      <c r="DY241" s="7">
        <f>ROUND(17386.28,2)</f>
        <v>17386.28</v>
      </c>
      <c r="DZ241" s="6"/>
      <c r="EA241" s="7">
        <f>ROUND(3113.91,2)</f>
        <v>3113.91</v>
      </c>
      <c r="EB241" s="6"/>
      <c r="EC241" s="6"/>
      <c r="ED241" s="7">
        <f>ROUND(2358.22,2)</f>
        <v>2358.2199999999998</v>
      </c>
      <c r="EE241" s="6"/>
      <c r="EF241" s="7">
        <f>ROUND(285.08,2)</f>
        <v>285.08</v>
      </c>
      <c r="EG241" s="7">
        <f>ROUND(395.61,2)</f>
        <v>395.61</v>
      </c>
      <c r="EH241" s="7">
        <f>ROUND(1322.17,2)</f>
        <v>1322.17</v>
      </c>
      <c r="EI241" s="7">
        <f>ROUND(175.25,2)</f>
        <v>175.25</v>
      </c>
      <c r="EJ241" s="6"/>
      <c r="EK241" s="6"/>
      <c r="EL241" s="6"/>
      <c r="EM241" s="6"/>
      <c r="EN241" s="7">
        <f>ROUND(304.9,2)</f>
        <v>304.89999999999998</v>
      </c>
      <c r="EO241" s="6"/>
      <c r="EP241" s="6"/>
      <c r="EQ241" s="7">
        <f>ROUND(1001.4,2)</f>
        <v>1001.4</v>
      </c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7">
        <f>ROUND(1180.5,2)</f>
        <v>1180.5</v>
      </c>
      <c r="FC241" s="7">
        <f>ROUND(405.98,2)</f>
        <v>405.98</v>
      </c>
      <c r="FD241" s="7">
        <f>ROUND(1439.98,2)</f>
        <v>1439.98</v>
      </c>
      <c r="FE241" s="6"/>
      <c r="FF241" s="6"/>
      <c r="FG241" s="6"/>
      <c r="FH241" s="6"/>
      <c r="FI241" s="6"/>
      <c r="FJ241" s="7">
        <f>ROUND(1200,2)</f>
        <v>1200</v>
      </c>
      <c r="FK241" s="6"/>
      <c r="FL241" s="6"/>
      <c r="FM241" s="6"/>
      <c r="FN241" s="6"/>
      <c r="FO241" s="6"/>
      <c r="FP241" s="6"/>
      <c r="FQ241" s="6"/>
      <c r="FR241" s="6"/>
      <c r="FS241" s="6"/>
      <c r="FT241" s="7">
        <f>ROUND(3000,2)</f>
        <v>3000</v>
      </c>
      <c r="FU241" s="6"/>
      <c r="FV241" s="6"/>
      <c r="FW241" s="6"/>
      <c r="FX241" s="6"/>
      <c r="FY241" s="7">
        <f>ROUND(87265.6799999999,2)</f>
        <v>87265.68</v>
      </c>
    </row>
    <row r="242" spans="1:181" x14ac:dyDescent="0.3">
      <c r="A242" s="4" t="s">
        <v>582</v>
      </c>
      <c r="B242" s="5" t="s">
        <v>1029</v>
      </c>
      <c r="C242" s="5" t="s">
        <v>181</v>
      </c>
      <c r="D242" s="5" t="s">
        <v>217</v>
      </c>
      <c r="E242" s="5" t="s">
        <v>0</v>
      </c>
      <c r="F242" s="5" t="s">
        <v>0</v>
      </c>
      <c r="G242" s="5" t="s">
        <v>183</v>
      </c>
      <c r="H242" s="8">
        <v>33.380000000000003</v>
      </c>
      <c r="I242" s="7">
        <f>ROUND(77483.7799999999,2)</f>
        <v>77483.78</v>
      </c>
      <c r="J242" s="6"/>
      <c r="K242" s="6"/>
      <c r="L242" s="6"/>
      <c r="M242" s="6"/>
      <c r="N242" s="7">
        <f>ROUND(1774.43999999999,2)</f>
        <v>1774.44</v>
      </c>
      <c r="O242" s="6"/>
      <c r="P242" s="6"/>
      <c r="Q242" s="7">
        <f>ROUND(119.02,2)</f>
        <v>119.02</v>
      </c>
      <c r="R242" s="6"/>
      <c r="S242" s="6"/>
      <c r="T242" s="6"/>
      <c r="U242" s="7">
        <f>ROUND(0.08,2)</f>
        <v>0.08</v>
      </c>
      <c r="V242" s="7">
        <f>ROUND(0.58,2)</f>
        <v>0.57999999999999996</v>
      </c>
      <c r="W242" s="7">
        <f>ROUND(15.54,2)</f>
        <v>15.54</v>
      </c>
      <c r="X242" s="7">
        <f>ROUND(3.21,2)</f>
        <v>3.21</v>
      </c>
      <c r="Y242" s="7">
        <f>ROUND(0.58,2)</f>
        <v>0.57999999999999996</v>
      </c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7">
        <f>ROUND(60,2)</f>
        <v>60</v>
      </c>
      <c r="AV242" s="6"/>
      <c r="AW242" s="7">
        <f>ROUND(23.2,2)</f>
        <v>23.2</v>
      </c>
      <c r="AX242" s="7">
        <f>ROUND(8.79999999999999,2)</f>
        <v>8.8000000000000007</v>
      </c>
      <c r="AY242" s="7">
        <f>ROUND(98.81,2)</f>
        <v>98.81</v>
      </c>
      <c r="AZ242" s="7">
        <f>ROUND(13.19,2)</f>
        <v>13.19</v>
      </c>
      <c r="BA242" s="6"/>
      <c r="BB242" s="7">
        <f>ROUND(16,2)</f>
        <v>16</v>
      </c>
      <c r="BC242" s="6"/>
      <c r="BD242" s="7">
        <f>ROUND(6.53,2)</f>
        <v>6.53</v>
      </c>
      <c r="BE242" s="7">
        <f>ROUND(2.65,2)</f>
        <v>2.65</v>
      </c>
      <c r="BF242" s="7">
        <f>ROUND(1.47,2)</f>
        <v>1.47</v>
      </c>
      <c r="BG242" s="7">
        <f>ROUND(24.75,2)</f>
        <v>24.75</v>
      </c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7">
        <f>ROUND(56,2)</f>
        <v>56</v>
      </c>
      <c r="BT242" s="7">
        <f>ROUND(18.35,2)</f>
        <v>18.350000000000001</v>
      </c>
      <c r="BU242" s="7">
        <f>ROUND(24,2)</f>
        <v>24</v>
      </c>
      <c r="BV242" s="6"/>
      <c r="BW242" s="7">
        <f>ROUND(8,2)</f>
        <v>8</v>
      </c>
      <c r="BX242" s="6"/>
      <c r="BY242" s="7">
        <f>ROUND(16,2)</f>
        <v>16</v>
      </c>
      <c r="BZ242" s="6"/>
      <c r="CA242" s="7">
        <f>ROUND(16,2)</f>
        <v>16</v>
      </c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7">
        <f>ROUND(2307.2,2)</f>
        <v>2307.1999999999998</v>
      </c>
      <c r="CR242" s="6"/>
      <c r="CS242" s="6"/>
      <c r="CT242" s="6"/>
      <c r="CU242" s="6"/>
      <c r="CV242" s="7">
        <f>ROUND(57864.85,2)</f>
        <v>57864.85</v>
      </c>
      <c r="CW242" s="6"/>
      <c r="CX242" s="6"/>
      <c r="CY242" s="7">
        <f>ROUND(5871.35999999999,2)</f>
        <v>5871.36</v>
      </c>
      <c r="CZ242" s="6"/>
      <c r="DA242" s="6"/>
      <c r="DB242" s="6"/>
      <c r="DC242" s="7">
        <f>ROUND(5.29,2)</f>
        <v>5.29</v>
      </c>
      <c r="DD242" s="7">
        <f>ROUND(19.26,2)</f>
        <v>19.260000000000002</v>
      </c>
      <c r="DE242" s="7">
        <f>ROUND(768.32,2)</f>
        <v>768.32</v>
      </c>
      <c r="DF242" s="7">
        <f>ROUND(105.12,2)</f>
        <v>105.12</v>
      </c>
      <c r="DG242" s="7">
        <f>ROUND(28.75,2)</f>
        <v>28.75</v>
      </c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7">
        <f>ROUND(1958.76,2)</f>
        <v>1958.76</v>
      </c>
      <c r="EE242" s="6"/>
      <c r="EF242" s="7">
        <f>ROUND(744.55,2)</f>
        <v>744.55</v>
      </c>
      <c r="EG242" s="7">
        <f>ROUND(435.01,2)</f>
        <v>435.01</v>
      </c>
      <c r="EH242" s="7">
        <f>ROUND(3184.97,2)</f>
        <v>3184.97</v>
      </c>
      <c r="EI242" s="7">
        <f>ROUND(648.22,2)</f>
        <v>648.22</v>
      </c>
      <c r="EJ242" s="6"/>
      <c r="EK242" s="7">
        <f>ROUND(513.44,2)</f>
        <v>513.44000000000005</v>
      </c>
      <c r="EL242" s="6"/>
      <c r="EM242" s="6"/>
      <c r="EN242" s="7">
        <f>ROUND(209.55,2)</f>
        <v>209.55</v>
      </c>
      <c r="EO242" s="7">
        <f>ROUND(87.58,2)</f>
        <v>87.58</v>
      </c>
      <c r="EP242" s="7">
        <f>ROUND(70.76,2)</f>
        <v>70.760000000000005</v>
      </c>
      <c r="EQ242" s="7">
        <f>ROUND(817.99,2)</f>
        <v>817.99</v>
      </c>
      <c r="ER242" s="6"/>
      <c r="ES242" s="6"/>
      <c r="ET242" s="6"/>
      <c r="EU242" s="6"/>
      <c r="EV242" s="7">
        <f>ROUND(500,2)</f>
        <v>500</v>
      </c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7">
        <f>ROUND(650,2)</f>
        <v>650</v>
      </c>
      <c r="FK242" s="6"/>
      <c r="FL242" s="6"/>
      <c r="FM242" s="6"/>
      <c r="FN242" s="6"/>
      <c r="FO242" s="6"/>
      <c r="FP242" s="6"/>
      <c r="FQ242" s="6"/>
      <c r="FR242" s="6"/>
      <c r="FS242" s="6"/>
      <c r="FT242" s="7">
        <f>ROUND(3000,2)</f>
        <v>3000</v>
      </c>
      <c r="FU242" s="6"/>
      <c r="FV242" s="6"/>
      <c r="FW242" s="6"/>
      <c r="FX242" s="6"/>
      <c r="FY242" s="7">
        <f>ROUND(77483.7799999999,2)</f>
        <v>77483.78</v>
      </c>
    </row>
    <row r="243" spans="1:181" x14ac:dyDescent="0.3">
      <c r="A243" s="4" t="s">
        <v>583</v>
      </c>
      <c r="B243" s="5" t="s">
        <v>1029</v>
      </c>
      <c r="C243" s="5" t="s">
        <v>181</v>
      </c>
      <c r="D243" s="5" t="s">
        <v>344</v>
      </c>
      <c r="E243" s="5" t="s">
        <v>0</v>
      </c>
      <c r="F243" s="5" t="s">
        <v>0</v>
      </c>
      <c r="G243" s="5" t="s">
        <v>183</v>
      </c>
      <c r="H243" s="8">
        <v>33.380000000000003</v>
      </c>
      <c r="I243" s="7">
        <f>ROUND(69655.62,2)</f>
        <v>69655.62</v>
      </c>
      <c r="J243" s="6"/>
      <c r="K243" s="6"/>
      <c r="L243" s="6"/>
      <c r="M243" s="6"/>
      <c r="N243" s="7">
        <f>ROUND(954.579999999999,2)</f>
        <v>954.58</v>
      </c>
      <c r="O243" s="6"/>
      <c r="P243" s="6"/>
      <c r="Q243" s="7">
        <f>ROUND(69.64,2)</f>
        <v>69.64</v>
      </c>
      <c r="R243" s="6"/>
      <c r="S243" s="6"/>
      <c r="T243" s="6"/>
      <c r="U243" s="6"/>
      <c r="V243" s="7">
        <f>ROUND(38.6,2)</f>
        <v>38.6</v>
      </c>
      <c r="W243" s="7">
        <f>ROUND(30.65,2)</f>
        <v>30.65</v>
      </c>
      <c r="X243" s="7">
        <f>ROUND(0.22,2)</f>
        <v>0.22</v>
      </c>
      <c r="Y243" s="6"/>
      <c r="Z243" s="6"/>
      <c r="AA243" s="6"/>
      <c r="AB243" s="6"/>
      <c r="AC243" s="6"/>
      <c r="AD243" s="6"/>
      <c r="AE243" s="7">
        <f>ROUND(277.75,2)</f>
        <v>277.75</v>
      </c>
      <c r="AF243" s="6"/>
      <c r="AG243" s="7">
        <f>ROUND(33.6999999999999,2)</f>
        <v>33.700000000000003</v>
      </c>
      <c r="AH243" s="6"/>
      <c r="AI243" s="6"/>
      <c r="AJ243" s="6"/>
      <c r="AK243" s="6"/>
      <c r="AL243" s="6"/>
      <c r="AM243" s="6"/>
      <c r="AN243" s="6"/>
      <c r="AO243" s="6"/>
      <c r="AP243" s="7">
        <f>ROUND(340.5,2)</f>
        <v>340.5</v>
      </c>
      <c r="AQ243" s="6"/>
      <c r="AR243" s="7">
        <f>ROUND(24.34,2)</f>
        <v>24.34</v>
      </c>
      <c r="AS243" s="6"/>
      <c r="AT243" s="6"/>
      <c r="AU243" s="7">
        <f>ROUND(68,2)</f>
        <v>68</v>
      </c>
      <c r="AV243" s="6"/>
      <c r="AW243" s="7">
        <f>ROUND(34,2)</f>
        <v>34</v>
      </c>
      <c r="AX243" s="6"/>
      <c r="AY243" s="7">
        <f>ROUND(16,2)</f>
        <v>16</v>
      </c>
      <c r="AZ243" s="6"/>
      <c r="BA243" s="6"/>
      <c r="BB243" s="7">
        <f>ROUND(24,2)</f>
        <v>24</v>
      </c>
      <c r="BC243" s="6"/>
      <c r="BD243" s="7">
        <f>ROUND(8,2)</f>
        <v>8</v>
      </c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7">
        <f>ROUND(49.42,2)</f>
        <v>49.42</v>
      </c>
      <c r="BP243" s="6"/>
      <c r="BQ243" s="7">
        <f>ROUND(8,2)</f>
        <v>8</v>
      </c>
      <c r="BR243" s="7">
        <f>ROUND(8,2)</f>
        <v>8</v>
      </c>
      <c r="BS243" s="7">
        <f>ROUND(39.75,2)</f>
        <v>39.75</v>
      </c>
      <c r="BT243" s="7">
        <f>ROUND(2.87,2)</f>
        <v>2.87</v>
      </c>
      <c r="BU243" s="7">
        <f>ROUND(220.39,2)</f>
        <v>220.39</v>
      </c>
      <c r="BV243" s="6"/>
      <c r="BW243" s="7">
        <f>ROUND(8,2)</f>
        <v>8</v>
      </c>
      <c r="BX243" s="6"/>
      <c r="BY243" s="7">
        <f>ROUND(10,2)</f>
        <v>10</v>
      </c>
      <c r="BZ243" s="6"/>
      <c r="CA243" s="7">
        <f>ROUND(38,2)</f>
        <v>38</v>
      </c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7">
        <f>ROUND(2304.41,2)</f>
        <v>2304.41</v>
      </c>
      <c r="CR243" s="6"/>
      <c r="CS243" s="6"/>
      <c r="CT243" s="6"/>
      <c r="CU243" s="6"/>
      <c r="CV243" s="7">
        <f>ROUND(30907.7099999999,2)</f>
        <v>30907.71</v>
      </c>
      <c r="CW243" s="6"/>
      <c r="CX243" s="6"/>
      <c r="CY243" s="7">
        <f>ROUND(3281.28,2)</f>
        <v>3281.28</v>
      </c>
      <c r="CZ243" s="6"/>
      <c r="DA243" s="6"/>
      <c r="DB243" s="6"/>
      <c r="DC243" s="6"/>
      <c r="DD243" s="7">
        <f>ROUND(1248.3,2)</f>
        <v>1248.3</v>
      </c>
      <c r="DE243" s="7">
        <f>ROUND(1523.07,2)</f>
        <v>1523.07</v>
      </c>
      <c r="DF243" s="7">
        <f>ROUND(7.27,2)</f>
        <v>7.27</v>
      </c>
      <c r="DG243" s="6"/>
      <c r="DH243" s="6"/>
      <c r="DI243" s="6"/>
      <c r="DJ243" s="6"/>
      <c r="DK243" s="6"/>
      <c r="DL243" s="6"/>
      <c r="DM243" s="6"/>
      <c r="DN243" s="7">
        <f>ROUND(8818.71,2)</f>
        <v>8818.7099999999991</v>
      </c>
      <c r="DO243" s="6"/>
      <c r="DP243" s="7">
        <f>ROUND(1596.1,2)</f>
        <v>1596.1</v>
      </c>
      <c r="DQ243" s="6"/>
      <c r="DR243" s="6"/>
      <c r="DS243" s="6"/>
      <c r="DT243" s="6"/>
      <c r="DU243" s="6"/>
      <c r="DV243" s="6"/>
      <c r="DW243" s="6"/>
      <c r="DX243" s="6"/>
      <c r="DY243" s="7">
        <f>ROUND(10789.35,2)</f>
        <v>10789.35</v>
      </c>
      <c r="DZ243" s="6"/>
      <c r="EA243" s="7">
        <f>ROUND(1138.6,2)</f>
        <v>1138.5999999999999</v>
      </c>
      <c r="EB243" s="6"/>
      <c r="EC243" s="6"/>
      <c r="ED243" s="7">
        <f>ROUND(2185.4,2)</f>
        <v>2185.4</v>
      </c>
      <c r="EE243" s="6"/>
      <c r="EF243" s="7">
        <f>ROUND(1109.06,2)</f>
        <v>1109.06</v>
      </c>
      <c r="EG243" s="6"/>
      <c r="EH243" s="7">
        <f>ROUND(521.12,2)</f>
        <v>521.12</v>
      </c>
      <c r="EI243" s="6"/>
      <c r="EJ243" s="6"/>
      <c r="EK243" s="7">
        <f>ROUND(793.199999999999,2)</f>
        <v>793.2</v>
      </c>
      <c r="EL243" s="6"/>
      <c r="EM243" s="6"/>
      <c r="EN243" s="7">
        <f>ROUND(256.72,2)</f>
        <v>256.72000000000003</v>
      </c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7">
        <f>ROUND(1549.45,2)</f>
        <v>1549.45</v>
      </c>
      <c r="FC243" s="6"/>
      <c r="FD243" s="7">
        <f>ROUND(264.4,2)</f>
        <v>264.39999999999998</v>
      </c>
      <c r="FE243" s="7">
        <f>ROUND(365.88,2)</f>
        <v>365.88</v>
      </c>
      <c r="FF243" s="6"/>
      <c r="FG243" s="6"/>
      <c r="FH243" s="6"/>
      <c r="FI243" s="6"/>
      <c r="FJ243" s="7">
        <f>ROUND(300,2)</f>
        <v>300</v>
      </c>
      <c r="FK243" s="6"/>
      <c r="FL243" s="6"/>
      <c r="FM243" s="6"/>
      <c r="FN243" s="6"/>
      <c r="FO243" s="6"/>
      <c r="FP243" s="6"/>
      <c r="FQ243" s="6"/>
      <c r="FR243" s="6"/>
      <c r="FS243" s="6"/>
      <c r="FT243" s="7">
        <f>ROUND(3000,2)</f>
        <v>3000</v>
      </c>
      <c r="FU243" s="6"/>
      <c r="FV243" s="6"/>
      <c r="FW243" s="6"/>
      <c r="FX243" s="6"/>
      <c r="FY243" s="7">
        <f>ROUND(69655.62,2)</f>
        <v>69655.62</v>
      </c>
    </row>
    <row r="244" spans="1:181" x14ac:dyDescent="0.3">
      <c r="A244" s="4" t="s">
        <v>584</v>
      </c>
      <c r="B244" s="5" t="s">
        <v>1029</v>
      </c>
      <c r="C244" s="5" t="s">
        <v>181</v>
      </c>
      <c r="D244" s="5" t="s">
        <v>276</v>
      </c>
      <c r="E244" s="5" t="s">
        <v>0</v>
      </c>
      <c r="F244" s="5" t="s">
        <v>0</v>
      </c>
      <c r="G244" s="5" t="s">
        <v>183</v>
      </c>
      <c r="H244" s="8">
        <v>33.380000000000003</v>
      </c>
      <c r="I244" s="7">
        <f>ROUND(84774.4399999999,2)</f>
        <v>84774.44</v>
      </c>
      <c r="J244" s="6"/>
      <c r="K244" s="6"/>
      <c r="L244" s="6"/>
      <c r="M244" s="6"/>
      <c r="N244" s="7">
        <f>ROUND(1664.2,2)</f>
        <v>1664.2</v>
      </c>
      <c r="O244" s="6"/>
      <c r="P244" s="6"/>
      <c r="Q244" s="7">
        <f>ROUND(198.45,2)</f>
        <v>198.45</v>
      </c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7">
        <f>ROUND(149.92,2)</f>
        <v>149.91999999999999</v>
      </c>
      <c r="AF244" s="6"/>
      <c r="AG244" s="7">
        <f>ROUND(4.5,2)</f>
        <v>4.5</v>
      </c>
      <c r="AH244" s="6"/>
      <c r="AI244" s="6"/>
      <c r="AJ244" s="6"/>
      <c r="AK244" s="6"/>
      <c r="AL244" s="6"/>
      <c r="AM244" s="6"/>
      <c r="AN244" s="6"/>
      <c r="AO244" s="6"/>
      <c r="AP244" s="7">
        <f>ROUND(140.04,2)</f>
        <v>140.04</v>
      </c>
      <c r="AQ244" s="6"/>
      <c r="AR244" s="7">
        <f>ROUND(6.6,2)</f>
        <v>6.6</v>
      </c>
      <c r="AS244" s="6"/>
      <c r="AT244" s="6"/>
      <c r="AU244" s="7">
        <f>ROUND(68,2)</f>
        <v>68</v>
      </c>
      <c r="AV244" s="6"/>
      <c r="AW244" s="7">
        <f>ROUND(28.77,2)</f>
        <v>28.77</v>
      </c>
      <c r="AX244" s="7">
        <f>ROUND(3.23,2)</f>
        <v>3.23</v>
      </c>
      <c r="AY244" s="7">
        <f>ROUND(27,2)</f>
        <v>27</v>
      </c>
      <c r="AZ244" s="7">
        <f>ROUND(5,2)</f>
        <v>5</v>
      </c>
      <c r="BA244" s="6"/>
      <c r="BB244" s="7">
        <f>ROUND(40,2)</f>
        <v>40</v>
      </c>
      <c r="BC244" s="6"/>
      <c r="BD244" s="6"/>
      <c r="BE244" s="7">
        <f>ROUND(3.2,2)</f>
        <v>3.2</v>
      </c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7">
        <f>ROUND(8,2)</f>
        <v>8</v>
      </c>
      <c r="BR244" s="6"/>
      <c r="BS244" s="6"/>
      <c r="BT244" s="7">
        <f>ROUND(1.2,2)</f>
        <v>1.2</v>
      </c>
      <c r="BU244" s="6"/>
      <c r="BV244" s="6"/>
      <c r="BW244" s="6"/>
      <c r="BX244" s="6"/>
      <c r="BY244" s="6"/>
      <c r="BZ244" s="6"/>
      <c r="CA244" s="7">
        <f>ROUND(16,2)</f>
        <v>16</v>
      </c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7">
        <f>ROUND(16,2)</f>
        <v>16</v>
      </c>
      <c r="CQ244" s="7">
        <f>ROUND(2380.10999999999,2)</f>
        <v>2380.11</v>
      </c>
      <c r="CR244" s="6"/>
      <c r="CS244" s="6"/>
      <c r="CT244" s="6"/>
      <c r="CU244" s="6"/>
      <c r="CV244" s="7">
        <f>ROUND(54340.88,2)</f>
        <v>54340.88</v>
      </c>
      <c r="CW244" s="6"/>
      <c r="CX244" s="6"/>
      <c r="CY244" s="7">
        <f>ROUND(9747.6,2)</f>
        <v>9747.6</v>
      </c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7">
        <f>ROUND(4865.46999999999,2)</f>
        <v>4865.47</v>
      </c>
      <c r="DO244" s="6"/>
      <c r="DP244" s="7">
        <f>ROUND(216.61,2)</f>
        <v>216.61</v>
      </c>
      <c r="DQ244" s="6"/>
      <c r="DR244" s="6"/>
      <c r="DS244" s="6"/>
      <c r="DT244" s="6"/>
      <c r="DU244" s="6"/>
      <c r="DV244" s="6"/>
      <c r="DW244" s="6"/>
      <c r="DX244" s="6"/>
      <c r="DY244" s="7">
        <f>ROUND(4510.24,2)</f>
        <v>4510.24</v>
      </c>
      <c r="DZ244" s="6"/>
      <c r="EA244" s="7">
        <f>ROUND(319.17,2)</f>
        <v>319.17</v>
      </c>
      <c r="EB244" s="6"/>
      <c r="EC244" s="6"/>
      <c r="ED244" s="7">
        <f>ROUND(2215.48,2)</f>
        <v>2215.48</v>
      </c>
      <c r="EE244" s="6"/>
      <c r="EF244" s="7">
        <f>ROUND(923.23,2)</f>
        <v>923.23</v>
      </c>
      <c r="EG244" s="7">
        <f>ROUND(155.47,2)</f>
        <v>155.47</v>
      </c>
      <c r="EH244" s="7">
        <f>ROUND(874.12,2)</f>
        <v>874.12</v>
      </c>
      <c r="EI244" s="7">
        <f>ROUND(240.67,2)</f>
        <v>240.67</v>
      </c>
      <c r="EJ244" s="6"/>
      <c r="EK244" s="7">
        <f>ROUND(1291.28,2)</f>
        <v>1291.28</v>
      </c>
      <c r="EL244" s="6"/>
      <c r="EM244" s="6"/>
      <c r="EN244" s="6"/>
      <c r="EO244" s="7">
        <f>ROUND(108.42,2)</f>
        <v>108.42</v>
      </c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7">
        <f>ROUND(256.72,2)</f>
        <v>256.72000000000003</v>
      </c>
      <c r="FE244" s="6"/>
      <c r="FF244" s="6"/>
      <c r="FG244" s="6"/>
      <c r="FH244" s="6"/>
      <c r="FI244" s="6"/>
      <c r="FJ244" s="7">
        <f>ROUND(1175,2)</f>
        <v>1175</v>
      </c>
      <c r="FK244" s="6"/>
      <c r="FL244" s="6"/>
      <c r="FM244" s="6"/>
      <c r="FN244" s="6"/>
      <c r="FO244" s="6"/>
      <c r="FP244" s="6"/>
      <c r="FQ244" s="6"/>
      <c r="FR244" s="6"/>
      <c r="FS244" s="6"/>
      <c r="FT244" s="7">
        <f>ROUND(3000,2)</f>
        <v>3000</v>
      </c>
      <c r="FU244" s="6"/>
      <c r="FV244" s="6"/>
      <c r="FW244" s="6"/>
      <c r="FX244" s="7">
        <f>ROUND(534.08,2)</f>
        <v>534.08000000000004</v>
      </c>
      <c r="FY244" s="7">
        <f>ROUND(84774.4399999999,2)</f>
        <v>84774.44</v>
      </c>
    </row>
    <row r="245" spans="1:181" x14ac:dyDescent="0.3">
      <c r="A245" s="4" t="s">
        <v>589</v>
      </c>
      <c r="B245" s="5" t="s">
        <v>1029</v>
      </c>
      <c r="C245" s="5" t="s">
        <v>181</v>
      </c>
      <c r="D245" s="5" t="s">
        <v>590</v>
      </c>
      <c r="E245" s="5" t="s">
        <v>0</v>
      </c>
      <c r="F245" s="5" t="s">
        <v>0</v>
      </c>
      <c r="G245" s="5" t="s">
        <v>183</v>
      </c>
      <c r="H245" s="8">
        <v>33.880000000000003</v>
      </c>
      <c r="I245" s="7">
        <f>ROUND(96316.62,2)</f>
        <v>96316.62</v>
      </c>
      <c r="J245" s="6"/>
      <c r="K245" s="6"/>
      <c r="L245" s="6"/>
      <c r="M245" s="6"/>
      <c r="N245" s="7">
        <f>ROUND(84.01,2)</f>
        <v>84.01</v>
      </c>
      <c r="O245" s="6"/>
      <c r="P245" s="6"/>
      <c r="Q245" s="7">
        <f>ROUND(39.9699999999999,2)</f>
        <v>39.97</v>
      </c>
      <c r="R245" s="6"/>
      <c r="S245" s="6"/>
      <c r="T245" s="6"/>
      <c r="U245" s="6"/>
      <c r="V245" s="6"/>
      <c r="W245" s="7">
        <f>ROUND(37.33,2)</f>
        <v>37.33</v>
      </c>
      <c r="X245" s="7">
        <f>ROUND(33.34,2)</f>
        <v>33.340000000000003</v>
      </c>
      <c r="Y245" s="7">
        <f>ROUND(12.11,2)</f>
        <v>12.11</v>
      </c>
      <c r="Z245" s="6"/>
      <c r="AA245" s="6"/>
      <c r="AB245" s="6"/>
      <c r="AC245" s="6"/>
      <c r="AD245" s="6"/>
      <c r="AE245" s="7">
        <f>ROUND(1648.23,2)</f>
        <v>1648.23</v>
      </c>
      <c r="AF245" s="6"/>
      <c r="AG245" s="7">
        <f>ROUND(219.399999999999,2)</f>
        <v>219.4</v>
      </c>
      <c r="AH245" s="6"/>
      <c r="AI245" s="6"/>
      <c r="AJ245" s="6"/>
      <c r="AK245" s="6"/>
      <c r="AL245" s="6"/>
      <c r="AM245" s="6"/>
      <c r="AN245" s="6"/>
      <c r="AO245" s="6"/>
      <c r="AP245" s="7">
        <f>ROUND(94.6699999999999,2)</f>
        <v>94.67</v>
      </c>
      <c r="AQ245" s="6"/>
      <c r="AR245" s="7">
        <f>ROUND(106.69,2)</f>
        <v>106.69</v>
      </c>
      <c r="AS245" s="6"/>
      <c r="AT245" s="6"/>
      <c r="AU245" s="7">
        <f>ROUND(68,2)</f>
        <v>68</v>
      </c>
      <c r="AV245" s="6"/>
      <c r="AW245" s="7">
        <f>ROUND(32,2)</f>
        <v>32</v>
      </c>
      <c r="AX245" s="6"/>
      <c r="AY245" s="7">
        <f>ROUND(152,2)</f>
        <v>152</v>
      </c>
      <c r="AZ245" s="7">
        <f>ROUND(16,2)</f>
        <v>16</v>
      </c>
      <c r="BA245" s="6"/>
      <c r="BB245" s="6"/>
      <c r="BC245" s="6"/>
      <c r="BD245" s="7">
        <f>ROUND(8,2)</f>
        <v>8</v>
      </c>
      <c r="BE245" s="7">
        <f>ROUND(1.5,2)</f>
        <v>1.5</v>
      </c>
      <c r="BF245" s="6"/>
      <c r="BG245" s="6"/>
      <c r="BH245" s="6"/>
      <c r="BI245" s="6"/>
      <c r="BJ245" s="6"/>
      <c r="BK245" s="6"/>
      <c r="BL245" s="6"/>
      <c r="BM245" s="6"/>
      <c r="BN245" s="6"/>
      <c r="BO245" s="7">
        <f>ROUND(18,2)</f>
        <v>18</v>
      </c>
      <c r="BP245" s="7">
        <f>ROUND(7,2)</f>
        <v>7</v>
      </c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7">
        <f>ROUND(2578.25,2)</f>
        <v>2578.25</v>
      </c>
      <c r="CR245" s="6"/>
      <c r="CS245" s="6"/>
      <c r="CT245" s="6"/>
      <c r="CU245" s="6"/>
      <c r="CV245" s="7">
        <f>ROUND(2730.6,2)</f>
        <v>2730.6</v>
      </c>
      <c r="CW245" s="6"/>
      <c r="CX245" s="6"/>
      <c r="CY245" s="7">
        <f>ROUND(1962.31,2)</f>
        <v>1962.31</v>
      </c>
      <c r="CZ245" s="6"/>
      <c r="DA245" s="6"/>
      <c r="DB245" s="6"/>
      <c r="DC245" s="6"/>
      <c r="DD245" s="6"/>
      <c r="DE245" s="7">
        <f>ROUND(1836.92999999999,2)</f>
        <v>1836.93</v>
      </c>
      <c r="DF245" s="7">
        <f>ROUND(1089.94999999999,2)</f>
        <v>1089.95</v>
      </c>
      <c r="DG245" s="7">
        <f>ROUND(592.699999999999,2)</f>
        <v>592.70000000000005</v>
      </c>
      <c r="DH245" s="6"/>
      <c r="DI245" s="6"/>
      <c r="DJ245" s="6"/>
      <c r="DK245" s="6"/>
      <c r="DL245" s="6"/>
      <c r="DM245" s="6"/>
      <c r="DN245" s="7">
        <f>ROUND(53633.2299999999,2)</f>
        <v>53633.23</v>
      </c>
      <c r="DO245" s="6"/>
      <c r="DP245" s="7">
        <f>ROUND(10768.47,2)</f>
        <v>10768.47</v>
      </c>
      <c r="DQ245" s="6"/>
      <c r="DR245" s="6"/>
      <c r="DS245" s="6"/>
      <c r="DT245" s="6"/>
      <c r="DU245" s="6"/>
      <c r="DV245" s="6"/>
      <c r="DW245" s="6"/>
      <c r="DX245" s="6"/>
      <c r="DY245" s="7">
        <f>ROUND(3137.48,2)</f>
        <v>3137.48</v>
      </c>
      <c r="DZ245" s="6"/>
      <c r="EA245" s="7">
        <f>ROUND(5247.46999999999,2)</f>
        <v>5247.47</v>
      </c>
      <c r="EB245" s="6"/>
      <c r="EC245" s="6"/>
      <c r="ED245" s="7">
        <f>ROUND(2218.12,2)</f>
        <v>2218.12</v>
      </c>
      <c r="EE245" s="6"/>
      <c r="EF245" s="7">
        <f>ROUND(1049.92,2)</f>
        <v>1049.92</v>
      </c>
      <c r="EG245" s="6"/>
      <c r="EH245" s="7">
        <f>ROUND(4990.48,2)</f>
        <v>4990.4799999999996</v>
      </c>
      <c r="EI245" s="7">
        <f>ROUND(781.68,2)</f>
        <v>781.68</v>
      </c>
      <c r="EJ245" s="6"/>
      <c r="EK245" s="6"/>
      <c r="EL245" s="6"/>
      <c r="EM245" s="6"/>
      <c r="EN245" s="7">
        <f>ROUND(256.72,2)</f>
        <v>256.72000000000003</v>
      </c>
      <c r="EO245" s="7">
        <f>ROUND(74.36,2)</f>
        <v>74.36</v>
      </c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7">
        <f>ROUND(597.6,2)</f>
        <v>597.6</v>
      </c>
      <c r="FC245" s="7">
        <f>ROUND(348.6,2)</f>
        <v>348.6</v>
      </c>
      <c r="FD245" s="6"/>
      <c r="FE245" s="6"/>
      <c r="FF245" s="6"/>
      <c r="FG245" s="6"/>
      <c r="FH245" s="6"/>
      <c r="FI245" s="6"/>
      <c r="FJ245" s="7">
        <f>ROUND(2000,2)</f>
        <v>2000</v>
      </c>
      <c r="FK245" s="6"/>
      <c r="FL245" s="6"/>
      <c r="FM245" s="6"/>
      <c r="FN245" s="6"/>
      <c r="FO245" s="6"/>
      <c r="FP245" s="6"/>
      <c r="FQ245" s="6"/>
      <c r="FR245" s="6"/>
      <c r="FS245" s="6"/>
      <c r="FT245" s="7">
        <f>ROUND(3000,2)</f>
        <v>3000</v>
      </c>
      <c r="FU245" s="6"/>
      <c r="FV245" s="6"/>
      <c r="FW245" s="6"/>
      <c r="FX245" s="6"/>
      <c r="FY245" s="7">
        <f>ROUND(96316.62,2)</f>
        <v>96316.62</v>
      </c>
    </row>
    <row r="246" spans="1:181" x14ac:dyDescent="0.3">
      <c r="A246" s="4" t="s">
        <v>592</v>
      </c>
      <c r="B246" s="5" t="s">
        <v>1029</v>
      </c>
      <c r="C246" s="5" t="s">
        <v>181</v>
      </c>
      <c r="D246" s="5" t="s">
        <v>219</v>
      </c>
      <c r="E246" s="5" t="s">
        <v>0</v>
      </c>
      <c r="F246" s="5" t="s">
        <v>0</v>
      </c>
      <c r="G246" s="5" t="s">
        <v>183</v>
      </c>
      <c r="H246" s="8">
        <v>33.380000000000003</v>
      </c>
      <c r="I246" s="7">
        <f>ROUND(33303.12,2)</f>
        <v>33303.120000000003</v>
      </c>
      <c r="J246" s="6"/>
      <c r="K246" s="6"/>
      <c r="L246" s="6"/>
      <c r="M246" s="6"/>
      <c r="N246" s="7">
        <f>ROUND(454.61,2)</f>
        <v>454.61</v>
      </c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>
        <f>ROUND(5,2)</f>
        <v>5</v>
      </c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7">
        <f>ROUND(1.98,2)</f>
        <v>1.98</v>
      </c>
      <c r="AQ246" s="6"/>
      <c r="AR246" s="6"/>
      <c r="AS246" s="6"/>
      <c r="AT246" s="6"/>
      <c r="AU246" s="7">
        <f>ROUND(30,2)</f>
        <v>30</v>
      </c>
      <c r="AV246" s="6"/>
      <c r="AW246" s="7">
        <f>ROUND(5,2)</f>
        <v>5</v>
      </c>
      <c r="AX246" s="6"/>
      <c r="AY246" s="7">
        <f>ROUND(35,2)</f>
        <v>35</v>
      </c>
      <c r="AZ246" s="6"/>
      <c r="BA246" s="6"/>
      <c r="BB246" s="7">
        <f>ROUND(15,2)</f>
        <v>15</v>
      </c>
      <c r="BC246" s="6"/>
      <c r="BD246" s="7">
        <f>ROUND(8,2)</f>
        <v>8</v>
      </c>
      <c r="BE246" s="7">
        <f>ROUND(7.33,2)</f>
        <v>7.33</v>
      </c>
      <c r="BF246" s="6"/>
      <c r="BG246" s="6"/>
      <c r="BH246" s="6"/>
      <c r="BI246" s="6"/>
      <c r="BJ246" s="6"/>
      <c r="BK246" s="6"/>
      <c r="BL246" s="6"/>
      <c r="BM246" s="6"/>
      <c r="BN246" s="6"/>
      <c r="BO246" s="7">
        <f>ROUND(388,2)</f>
        <v>388</v>
      </c>
      <c r="BP246" s="6"/>
      <c r="BQ246" s="6"/>
      <c r="BR246" s="6"/>
      <c r="BS246" s="7">
        <f>ROUND(95,2)</f>
        <v>95</v>
      </c>
      <c r="BT246" s="7">
        <f>ROUND(0.28,2)</f>
        <v>0.28000000000000003</v>
      </c>
      <c r="BU246" s="6"/>
      <c r="BV246" s="6"/>
      <c r="BW246" s="7">
        <f>ROUND(10,2)</f>
        <v>10</v>
      </c>
      <c r="BX246" s="6"/>
      <c r="BY246" s="7">
        <f>ROUND(15,2)</f>
        <v>15</v>
      </c>
      <c r="BZ246" s="6"/>
      <c r="CA246" s="7">
        <f>ROUND(15,2)</f>
        <v>15</v>
      </c>
      <c r="CB246" s="6"/>
      <c r="CC246" s="7">
        <f>ROUND(305,2)</f>
        <v>305</v>
      </c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7">
        <f>ROUND(1390.19999999999,2)</f>
        <v>1390.2</v>
      </c>
      <c r="CR246" s="6"/>
      <c r="CS246" s="6"/>
      <c r="CT246" s="6"/>
      <c r="CU246" s="6"/>
      <c r="CV246" s="7">
        <f>ROUND(14755.0899999999,2)</f>
        <v>14755.09</v>
      </c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7">
        <f>ROUND(166.9,2)</f>
        <v>166.9</v>
      </c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7">
        <f>ROUND(65.44,2)</f>
        <v>65.44</v>
      </c>
      <c r="DZ246" s="6"/>
      <c r="EA246" s="6"/>
      <c r="EB246" s="6"/>
      <c r="EC246" s="6"/>
      <c r="ED246" s="7">
        <f>ROUND(978.75,2)</f>
        <v>978.75</v>
      </c>
      <c r="EE246" s="6"/>
      <c r="EF246" s="7">
        <f>ROUND(160.45,2)</f>
        <v>160.44999999999999</v>
      </c>
      <c r="EG246" s="6"/>
      <c r="EH246" s="7">
        <f>ROUND(1132.75,2)</f>
        <v>1132.75</v>
      </c>
      <c r="EI246" s="6"/>
      <c r="EJ246" s="6"/>
      <c r="EK246" s="7">
        <f>ROUND(486.15,2)</f>
        <v>486.15</v>
      </c>
      <c r="EL246" s="6"/>
      <c r="EM246" s="6"/>
      <c r="EN246" s="7">
        <f>ROUND(256.72,2)</f>
        <v>256.72000000000003</v>
      </c>
      <c r="EO246" s="7">
        <f>ROUND(242.26,2)</f>
        <v>242.26</v>
      </c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7">
        <f>ROUND(12808.61,2)</f>
        <v>12808.61</v>
      </c>
      <c r="FC246" s="6"/>
      <c r="FD246" s="6"/>
      <c r="FE246" s="6"/>
      <c r="FF246" s="6"/>
      <c r="FG246" s="6"/>
      <c r="FH246" s="6"/>
      <c r="FI246" s="6"/>
      <c r="FJ246" s="7">
        <f>ROUND(750,2)</f>
        <v>750</v>
      </c>
      <c r="FK246" s="6"/>
      <c r="FL246" s="6"/>
      <c r="FM246" s="6"/>
      <c r="FN246" s="6"/>
      <c r="FO246" s="6"/>
      <c r="FP246" s="6"/>
      <c r="FQ246" s="6"/>
      <c r="FR246" s="6"/>
      <c r="FS246" s="6"/>
      <c r="FT246" s="7">
        <f>ROUND(1500,2)</f>
        <v>1500</v>
      </c>
      <c r="FU246" s="6"/>
      <c r="FV246" s="6"/>
      <c r="FW246" s="6"/>
      <c r="FX246" s="6"/>
      <c r="FY246" s="7">
        <f>ROUND(33303.12,2)</f>
        <v>33303.120000000003</v>
      </c>
    </row>
    <row r="247" spans="1:181" x14ac:dyDescent="0.3">
      <c r="A247" s="4" t="s">
        <v>593</v>
      </c>
      <c r="B247" s="5" t="s">
        <v>1029</v>
      </c>
      <c r="C247" s="5" t="s">
        <v>181</v>
      </c>
      <c r="D247" s="5" t="s">
        <v>190</v>
      </c>
      <c r="E247" s="5" t="s">
        <v>0</v>
      </c>
      <c r="F247" s="5" t="s">
        <v>0</v>
      </c>
      <c r="G247" s="5" t="s">
        <v>183</v>
      </c>
      <c r="H247" s="8">
        <v>33.880000000000003</v>
      </c>
      <c r="I247" s="7">
        <f>ROUND(93746.47,2)</f>
        <v>93746.47</v>
      </c>
      <c r="J247" s="6"/>
      <c r="K247" s="6"/>
      <c r="L247" s="6"/>
      <c r="M247" s="6"/>
      <c r="N247" s="7">
        <f>ROUND(80.68,2)</f>
        <v>80.680000000000007</v>
      </c>
      <c r="O247" s="6"/>
      <c r="P247" s="6"/>
      <c r="Q247" s="7">
        <f>ROUND(32.28,2)</f>
        <v>32.28</v>
      </c>
      <c r="R247" s="6"/>
      <c r="S247" s="6"/>
      <c r="T247" s="6"/>
      <c r="U247" s="6"/>
      <c r="V247" s="6"/>
      <c r="W247" s="7">
        <f>ROUND(13.17,2)</f>
        <v>13.17</v>
      </c>
      <c r="X247" s="7">
        <f>ROUND(12.06,2)</f>
        <v>12.06</v>
      </c>
      <c r="Y247" s="7">
        <f>ROUND(5.66,2)</f>
        <v>5.66</v>
      </c>
      <c r="Z247" s="6"/>
      <c r="AA247" s="6"/>
      <c r="AB247" s="6"/>
      <c r="AC247" s="6"/>
      <c r="AD247" s="6"/>
      <c r="AE247" s="7">
        <f>ROUND(1778.76,2)</f>
        <v>1778.76</v>
      </c>
      <c r="AF247" s="6"/>
      <c r="AG247" s="7">
        <f>ROUND(247.129999999999,2)</f>
        <v>247.13</v>
      </c>
      <c r="AH247" s="6"/>
      <c r="AI247" s="6"/>
      <c r="AJ247" s="6"/>
      <c r="AK247" s="6"/>
      <c r="AL247" s="6"/>
      <c r="AM247" s="6"/>
      <c r="AN247" s="6"/>
      <c r="AO247" s="6"/>
      <c r="AP247" s="7">
        <f>ROUND(6.75,2)</f>
        <v>6.75</v>
      </c>
      <c r="AQ247" s="6"/>
      <c r="AR247" s="7">
        <f>ROUND(77.25,2)</f>
        <v>77.25</v>
      </c>
      <c r="AS247" s="6"/>
      <c r="AT247" s="6"/>
      <c r="AU247" s="7">
        <f>ROUND(68,2)</f>
        <v>68</v>
      </c>
      <c r="AV247" s="6"/>
      <c r="AW247" s="7">
        <f>ROUND(40,2)</f>
        <v>40</v>
      </c>
      <c r="AX247" s="6"/>
      <c r="AY247" s="7">
        <f>ROUND(86.93,2)</f>
        <v>86.93</v>
      </c>
      <c r="AZ247" s="7">
        <f>ROUND(25.07,2)</f>
        <v>25.07</v>
      </c>
      <c r="BA247" s="6"/>
      <c r="BB247" s="6"/>
      <c r="BC247" s="6"/>
      <c r="BD247" s="7">
        <f>ROUND(8,2)</f>
        <v>8</v>
      </c>
      <c r="BE247" s="7">
        <f>ROUND(1.5,2)</f>
        <v>1.5</v>
      </c>
      <c r="BF247" s="6"/>
      <c r="BG247" s="6"/>
      <c r="BH247" s="6"/>
      <c r="BI247" s="6"/>
      <c r="BJ247" s="6"/>
      <c r="BK247" s="6"/>
      <c r="BL247" s="6"/>
      <c r="BM247" s="6"/>
      <c r="BN247" s="6"/>
      <c r="BO247" s="7">
        <f>ROUND(10,2)</f>
        <v>10</v>
      </c>
      <c r="BP247" s="6"/>
      <c r="BQ247" s="6"/>
      <c r="BR247" s="6"/>
      <c r="BS247" s="7">
        <f>ROUND(45.33,2)</f>
        <v>45.33</v>
      </c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7">
        <f>ROUND(48,2)</f>
        <v>48</v>
      </c>
      <c r="CQ247" s="7">
        <f>ROUND(2586.57,2)</f>
        <v>2586.5700000000002</v>
      </c>
      <c r="CR247" s="6"/>
      <c r="CS247" s="6"/>
      <c r="CT247" s="6"/>
      <c r="CU247" s="6"/>
      <c r="CV247" s="7">
        <f>ROUND(2621.77999999999,2)</f>
        <v>2621.78</v>
      </c>
      <c r="CW247" s="6"/>
      <c r="CX247" s="6"/>
      <c r="CY247" s="7">
        <f>ROUND(1576.89,2)</f>
        <v>1576.89</v>
      </c>
      <c r="CZ247" s="6"/>
      <c r="DA247" s="6"/>
      <c r="DB247" s="6"/>
      <c r="DC247" s="6"/>
      <c r="DD247" s="6"/>
      <c r="DE247" s="7">
        <f>ROUND(644.02,2)</f>
        <v>644.02</v>
      </c>
      <c r="DF247" s="7">
        <f>ROUND(388.269999999999,2)</f>
        <v>388.27</v>
      </c>
      <c r="DG247" s="7">
        <f>ROUND(272.43,2)</f>
        <v>272.43</v>
      </c>
      <c r="DH247" s="6"/>
      <c r="DI247" s="6"/>
      <c r="DJ247" s="6"/>
      <c r="DK247" s="6"/>
      <c r="DL247" s="6"/>
      <c r="DM247" s="6"/>
      <c r="DN247" s="7">
        <f>ROUND(58023.7699999999,2)</f>
        <v>58023.77</v>
      </c>
      <c r="DO247" s="6"/>
      <c r="DP247" s="7">
        <f>ROUND(12158.3399999999,2)</f>
        <v>12158.34</v>
      </c>
      <c r="DQ247" s="6"/>
      <c r="DR247" s="6"/>
      <c r="DS247" s="6"/>
      <c r="DT247" s="6"/>
      <c r="DU247" s="6"/>
      <c r="DV247" s="6"/>
      <c r="DW247" s="6"/>
      <c r="DX247" s="6"/>
      <c r="DY247" s="7">
        <f>ROUND(217.62,2)</f>
        <v>217.62</v>
      </c>
      <c r="DZ247" s="6"/>
      <c r="EA247" s="7">
        <f>ROUND(3776.31,2)</f>
        <v>3776.31</v>
      </c>
      <c r="EB247" s="6"/>
      <c r="EC247" s="6"/>
      <c r="ED247" s="7">
        <f>ROUND(2218.12,2)</f>
        <v>2218.12</v>
      </c>
      <c r="EE247" s="6"/>
      <c r="EF247" s="7">
        <f>ROUND(1291.28,2)</f>
        <v>1291.28</v>
      </c>
      <c r="EG247" s="6"/>
      <c r="EH247" s="7">
        <f>ROUND(2822.22,2)</f>
        <v>2822.22</v>
      </c>
      <c r="EI247" s="7">
        <f>ROUND(1238.42,2)</f>
        <v>1238.42</v>
      </c>
      <c r="EJ247" s="6"/>
      <c r="EK247" s="6"/>
      <c r="EL247" s="6"/>
      <c r="EM247" s="6"/>
      <c r="EN247" s="7">
        <f>ROUND(256.72,2)</f>
        <v>256.72000000000003</v>
      </c>
      <c r="EO247" s="7">
        <f>ROUND(49.8,2)</f>
        <v>49.8</v>
      </c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7">
        <f>ROUND(322.4,2)</f>
        <v>322.39999999999998</v>
      </c>
      <c r="FC247" s="6"/>
      <c r="FD247" s="6"/>
      <c r="FE247" s="6"/>
      <c r="FF247" s="6"/>
      <c r="FG247" s="6"/>
      <c r="FH247" s="6"/>
      <c r="FI247" s="6"/>
      <c r="FJ247" s="7">
        <f>ROUND(1250,2)</f>
        <v>1250</v>
      </c>
      <c r="FK247" s="6"/>
      <c r="FL247" s="6"/>
      <c r="FM247" s="6"/>
      <c r="FN247" s="6"/>
      <c r="FO247" s="6"/>
      <c r="FP247" s="6"/>
      <c r="FQ247" s="6"/>
      <c r="FR247" s="6"/>
      <c r="FS247" s="6"/>
      <c r="FT247" s="7">
        <f>ROUND(3000,2)</f>
        <v>3000</v>
      </c>
      <c r="FU247" s="6"/>
      <c r="FV247" s="6"/>
      <c r="FW247" s="6"/>
      <c r="FX247" s="7">
        <f>ROUND(1618.08,2)</f>
        <v>1618.08</v>
      </c>
      <c r="FY247" s="7">
        <f>ROUND(93746.47,2)</f>
        <v>93746.47</v>
      </c>
    </row>
    <row r="248" spans="1:181" x14ac:dyDescent="0.3">
      <c r="A248" s="4" t="s">
        <v>594</v>
      </c>
      <c r="B248" s="5" t="s">
        <v>1029</v>
      </c>
      <c r="C248" s="5" t="s">
        <v>181</v>
      </c>
      <c r="D248" s="5" t="s">
        <v>276</v>
      </c>
      <c r="E248" s="5" t="s">
        <v>595</v>
      </c>
      <c r="F248" s="5" t="s">
        <v>0</v>
      </c>
      <c r="G248" s="5" t="s">
        <v>183</v>
      </c>
      <c r="H248" s="8">
        <v>33.049999999999997</v>
      </c>
      <c r="I248" s="7">
        <f>ROUND(83236.7699999999,2)</f>
        <v>83236.77</v>
      </c>
      <c r="J248" s="6"/>
      <c r="K248" s="6"/>
      <c r="L248" s="6"/>
      <c r="M248" s="6"/>
      <c r="N248" s="7">
        <f>ROUND(1629.92,2)</f>
        <v>1629.92</v>
      </c>
      <c r="O248" s="6"/>
      <c r="P248" s="6"/>
      <c r="Q248" s="7">
        <f>ROUND(389.85,2)</f>
        <v>389.85</v>
      </c>
      <c r="R248" s="6"/>
      <c r="S248" s="6"/>
      <c r="T248" s="6"/>
      <c r="U248" s="6"/>
      <c r="V248" s="7">
        <f>ROUND(12.92,2)</f>
        <v>12.92</v>
      </c>
      <c r="W248" s="6"/>
      <c r="X248" s="6"/>
      <c r="Y248" s="7">
        <f>ROUND(0.83,2)</f>
        <v>0.83</v>
      </c>
      <c r="Z248" s="6"/>
      <c r="AA248" s="6"/>
      <c r="AB248" s="6"/>
      <c r="AC248" s="6"/>
      <c r="AD248" s="6"/>
      <c r="AE248" s="7">
        <f>ROUND(6,2)</f>
        <v>6</v>
      </c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7">
        <f>ROUND(67.96,2)</f>
        <v>67.959999999999994</v>
      </c>
      <c r="AQ248" s="6"/>
      <c r="AR248" s="7">
        <f>ROUND(14.26,2)</f>
        <v>14.26</v>
      </c>
      <c r="AS248" s="6"/>
      <c r="AT248" s="6"/>
      <c r="AU248" s="7">
        <f>ROUND(48,2)</f>
        <v>48</v>
      </c>
      <c r="AV248" s="6"/>
      <c r="AW248" s="7">
        <f>ROUND(21.38,2)</f>
        <v>21.38</v>
      </c>
      <c r="AX248" s="7">
        <f>ROUND(10.62,2)</f>
        <v>10.62</v>
      </c>
      <c r="AY248" s="7">
        <f>ROUND(16,2)</f>
        <v>16</v>
      </c>
      <c r="AZ248" s="6"/>
      <c r="BA248" s="6"/>
      <c r="BB248" s="7">
        <f>ROUND(44,2)</f>
        <v>44</v>
      </c>
      <c r="BC248" s="6"/>
      <c r="BD248" s="7">
        <f>ROUND(8,2)</f>
        <v>8</v>
      </c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7">
        <f>ROUND(34.53,2)</f>
        <v>34.53</v>
      </c>
      <c r="BR248" s="7">
        <f>ROUND(1.47,2)</f>
        <v>1.47</v>
      </c>
      <c r="BS248" s="7">
        <f>ROUND(82,2)</f>
        <v>82</v>
      </c>
      <c r="BT248" s="7">
        <f>ROUND(0.83,2)</f>
        <v>0.83</v>
      </c>
      <c r="BU248" s="6"/>
      <c r="BV248" s="6"/>
      <c r="BW248" s="7">
        <f>ROUND(18,2)</f>
        <v>18</v>
      </c>
      <c r="BX248" s="6"/>
      <c r="BY248" s="6"/>
      <c r="BZ248" s="7">
        <f>ROUND(56,2)</f>
        <v>56</v>
      </c>
      <c r="CA248" s="7">
        <f>ROUND(32.25,2)</f>
        <v>32.25</v>
      </c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7">
        <f>ROUND(24,2)</f>
        <v>24</v>
      </c>
      <c r="CQ248" s="7">
        <f>ROUND(2518.82,2)</f>
        <v>2518.8200000000002</v>
      </c>
      <c r="CR248" s="6"/>
      <c r="CS248" s="6"/>
      <c r="CT248" s="6"/>
      <c r="CU248" s="6"/>
      <c r="CV248" s="7">
        <f>ROUND(53091.93,2)</f>
        <v>53091.93</v>
      </c>
      <c r="CW248" s="6"/>
      <c r="CX248" s="6"/>
      <c r="CY248" s="7">
        <f>ROUND(19049.76,2)</f>
        <v>19049.759999999998</v>
      </c>
      <c r="CZ248" s="6"/>
      <c r="DA248" s="6"/>
      <c r="DB248" s="6"/>
      <c r="DC248" s="6"/>
      <c r="DD248" s="7">
        <f>ROUND(416.539999999999,2)</f>
        <v>416.54</v>
      </c>
      <c r="DE248" s="6"/>
      <c r="DF248" s="6"/>
      <c r="DG248" s="7">
        <f>ROUND(39.95,2)</f>
        <v>39.950000000000003</v>
      </c>
      <c r="DH248" s="6"/>
      <c r="DI248" s="6"/>
      <c r="DJ248" s="6"/>
      <c r="DK248" s="6"/>
      <c r="DL248" s="6"/>
      <c r="DM248" s="6"/>
      <c r="DN248" s="7">
        <f>ROUND(192.54,2)</f>
        <v>192.54</v>
      </c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7">
        <f>ROUND(2190.08999999999,2)</f>
        <v>2190.09</v>
      </c>
      <c r="DZ248" s="6"/>
      <c r="EA248" s="7">
        <f>ROUND(687.79,2)</f>
        <v>687.79</v>
      </c>
      <c r="EB248" s="6"/>
      <c r="EC248" s="6"/>
      <c r="ED248" s="7">
        <f>ROUND(1555.68,2)</f>
        <v>1555.68</v>
      </c>
      <c r="EE248" s="6"/>
      <c r="EF248" s="7">
        <f>ROUND(696.91,2)</f>
        <v>696.91</v>
      </c>
      <c r="EG248" s="7">
        <f>ROUND(517.98,2)</f>
        <v>517.98</v>
      </c>
      <c r="EH248" s="7">
        <f>ROUND(528.8,2)</f>
        <v>528.79999999999995</v>
      </c>
      <c r="EI248" s="6"/>
      <c r="EJ248" s="6"/>
      <c r="EK248" s="7">
        <f>ROUND(1411.96,2)</f>
        <v>1411.96</v>
      </c>
      <c r="EL248" s="6"/>
      <c r="EM248" s="6"/>
      <c r="EN248" s="7">
        <f>ROUND(256.72,2)</f>
        <v>256.72000000000003</v>
      </c>
      <c r="EO248" s="6"/>
      <c r="EP248" s="6"/>
      <c r="EQ248" s="6"/>
      <c r="ER248" s="7">
        <f>ROUND(318,2)</f>
        <v>318</v>
      </c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7">
        <f>ROUND(1141.21999999999,2)</f>
        <v>1141.22</v>
      </c>
      <c r="FE248" s="7">
        <f>ROUND(72.88,2)</f>
        <v>72.88</v>
      </c>
      <c r="FF248" s="6"/>
      <c r="FG248" s="6"/>
      <c r="FH248" s="6"/>
      <c r="FI248" s="6"/>
      <c r="FJ248" s="7">
        <f>ROUND(275,2)</f>
        <v>275</v>
      </c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7">
        <f>ROUND(793.02,2)</f>
        <v>793.02</v>
      </c>
      <c r="FY248" s="7">
        <f>ROUND(83236.7699999999,2)</f>
        <v>83236.77</v>
      </c>
    </row>
    <row r="249" spans="1:181" x14ac:dyDescent="0.3">
      <c r="A249" s="4" t="s">
        <v>600</v>
      </c>
      <c r="B249" s="5" t="s">
        <v>1029</v>
      </c>
      <c r="C249" s="5" t="s">
        <v>181</v>
      </c>
      <c r="D249" s="5" t="s">
        <v>377</v>
      </c>
      <c r="E249" s="5" t="s">
        <v>0</v>
      </c>
      <c r="F249" s="5" t="s">
        <v>0</v>
      </c>
      <c r="G249" s="5" t="s">
        <v>183</v>
      </c>
      <c r="H249" s="9">
        <v>17.5</v>
      </c>
      <c r="I249" s="7">
        <f>ROUND(15322.38,2)</f>
        <v>15322.38</v>
      </c>
      <c r="J249" s="6"/>
      <c r="K249" s="6"/>
      <c r="L249" s="6"/>
      <c r="M249" s="6"/>
      <c r="N249" s="7">
        <f>ROUND(85.64,2)</f>
        <v>85.64</v>
      </c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7">
        <f>ROUND(10,2)</f>
        <v>10</v>
      </c>
      <c r="AV249" s="6"/>
      <c r="AW249" s="6"/>
      <c r="AX249" s="6"/>
      <c r="AY249" s="6"/>
      <c r="AZ249" s="6"/>
      <c r="BA249" s="6"/>
      <c r="BB249" s="6"/>
      <c r="BC249" s="6"/>
      <c r="BD249" s="7">
        <f>ROUND(468.46,2)</f>
        <v>468.46</v>
      </c>
      <c r="BE249" s="6"/>
      <c r="BF249" s="7">
        <f>ROUND(56.65,2)</f>
        <v>56.65</v>
      </c>
      <c r="BG249" s="6"/>
      <c r="BH249" s="6"/>
      <c r="BI249" s="7">
        <f>ROUND(10.75,2)</f>
        <v>10.75</v>
      </c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7">
        <f>ROUND(631.5,2)</f>
        <v>631.5</v>
      </c>
      <c r="CR249" s="6"/>
      <c r="CS249" s="6"/>
      <c r="CT249" s="6"/>
      <c r="CU249" s="6"/>
      <c r="CV249" s="7">
        <f>ROUND(2062.71,2)</f>
        <v>2062.71</v>
      </c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7">
        <f>ROUND(265.7,2)</f>
        <v>265.7</v>
      </c>
      <c r="EE249" s="6"/>
      <c r="EF249" s="6"/>
      <c r="EG249" s="6"/>
      <c r="EH249" s="6"/>
      <c r="EI249" s="6"/>
      <c r="EJ249" s="6"/>
      <c r="EK249" s="6"/>
      <c r="EL249" s="6"/>
      <c r="EM249" s="6"/>
      <c r="EN249" s="7">
        <f>ROUND(9026.03,2)</f>
        <v>9026.0300000000007</v>
      </c>
      <c r="EO249" s="6"/>
      <c r="EP249" s="7">
        <f>ROUND(2183.71,2)</f>
        <v>2183.71</v>
      </c>
      <c r="EQ249" s="6"/>
      <c r="ER249" s="6"/>
      <c r="ES249" s="6"/>
      <c r="ET249" s="7">
        <f>ROUND(284.23,2)</f>
        <v>284.23</v>
      </c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7">
        <f>ROUND(1500,2)</f>
        <v>1500</v>
      </c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7">
        <f>ROUND(15322.38,2)</f>
        <v>15322.38</v>
      </c>
    </row>
    <row r="250" spans="1:181" x14ac:dyDescent="0.3">
      <c r="A250" s="4" t="s">
        <v>604</v>
      </c>
      <c r="B250" s="5" t="s">
        <v>1029</v>
      </c>
      <c r="C250" s="5" t="s">
        <v>181</v>
      </c>
      <c r="D250" s="5" t="s">
        <v>377</v>
      </c>
      <c r="E250" s="5" t="s">
        <v>605</v>
      </c>
      <c r="F250" s="5" t="s">
        <v>0</v>
      </c>
      <c r="G250" s="5" t="s">
        <v>183</v>
      </c>
      <c r="H250" s="9">
        <v>29.22</v>
      </c>
      <c r="I250" s="7">
        <f>ROUND(15171.74,2)</f>
        <v>15171.74</v>
      </c>
      <c r="J250" s="6"/>
      <c r="K250" s="6"/>
      <c r="L250" s="6"/>
      <c r="M250" s="6"/>
      <c r="N250" s="7">
        <f>ROUND(88.91,2)</f>
        <v>88.91</v>
      </c>
      <c r="O250" s="6"/>
      <c r="P250" s="6"/>
      <c r="Q250" s="7">
        <f>ROUND(21.3,2)</f>
        <v>21.3</v>
      </c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7">
        <f>ROUND(10.5,2)</f>
        <v>10.5</v>
      </c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7">
        <f>ROUND(10,2)</f>
        <v>10</v>
      </c>
      <c r="AV250" s="6"/>
      <c r="AW250" s="6"/>
      <c r="AX250" s="6"/>
      <c r="AY250" s="6"/>
      <c r="AZ250" s="6"/>
      <c r="BA250" s="6"/>
      <c r="BB250" s="6"/>
      <c r="BC250" s="6"/>
      <c r="BD250" s="7">
        <f>ROUND(457.22,2)</f>
        <v>457.22</v>
      </c>
      <c r="BE250" s="6"/>
      <c r="BF250" s="7">
        <f>ROUND(34.22,2)</f>
        <v>34.22</v>
      </c>
      <c r="BG250" s="6"/>
      <c r="BH250" s="6"/>
      <c r="BI250" s="7">
        <f>ROUND(10.75,2)</f>
        <v>10.75</v>
      </c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7">
        <f>ROUND(0.17,2)</f>
        <v>0.17</v>
      </c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7">
        <f>ROUND(633.07,2)</f>
        <v>633.07000000000005</v>
      </c>
      <c r="CR250" s="6"/>
      <c r="CS250" s="6"/>
      <c r="CT250" s="6"/>
      <c r="CU250" s="6"/>
      <c r="CV250" s="7">
        <f>ROUND(2053.7,2)</f>
        <v>2053.6999999999998</v>
      </c>
      <c r="CW250" s="6"/>
      <c r="CX250" s="6"/>
      <c r="CY250" s="7">
        <f>ROUND(844.79,2)</f>
        <v>844.79</v>
      </c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7">
        <f>ROUND(280.36,2)</f>
        <v>280.36</v>
      </c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7">
        <f>ROUND(265.7,2)</f>
        <v>265.7</v>
      </c>
      <c r="EE250" s="6"/>
      <c r="EF250" s="6"/>
      <c r="EG250" s="6"/>
      <c r="EH250" s="6"/>
      <c r="EI250" s="6"/>
      <c r="EJ250" s="6"/>
      <c r="EK250" s="6"/>
      <c r="EL250" s="6"/>
      <c r="EM250" s="6"/>
      <c r="EN250" s="7">
        <f>ROUND(8855.01,2)</f>
        <v>8855.01</v>
      </c>
      <c r="EO250" s="6"/>
      <c r="EP250" s="7">
        <f>ROUND(1087.95,2)</f>
        <v>1087.95</v>
      </c>
      <c r="EQ250" s="6"/>
      <c r="ER250" s="6"/>
      <c r="ES250" s="6"/>
      <c r="ET250" s="7">
        <f>ROUND(284.23,2)</f>
        <v>284.23</v>
      </c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7">
        <f>ROUND(1500,2)</f>
        <v>1500</v>
      </c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7">
        <f>ROUND(15171.74,2)</f>
        <v>15171.74</v>
      </c>
    </row>
    <row r="251" spans="1:181" x14ac:dyDescent="0.3">
      <c r="A251" s="4" t="s">
        <v>606</v>
      </c>
      <c r="B251" s="5" t="s">
        <v>1029</v>
      </c>
      <c r="C251" s="5" t="s">
        <v>181</v>
      </c>
      <c r="D251" s="5" t="s">
        <v>579</v>
      </c>
      <c r="E251" s="5" t="s">
        <v>0</v>
      </c>
      <c r="F251" s="5" t="s">
        <v>0</v>
      </c>
      <c r="G251" s="5" t="s">
        <v>183</v>
      </c>
      <c r="H251" s="6">
        <v>33.380000000000003</v>
      </c>
      <c r="I251" s="7">
        <f>ROUND(77168.55,2)</f>
        <v>77168.55</v>
      </c>
      <c r="J251" s="6"/>
      <c r="K251" s="6"/>
      <c r="L251" s="6"/>
      <c r="M251" s="6"/>
      <c r="N251" s="7">
        <f>ROUND(846.959999999999,2)</f>
        <v>846.96</v>
      </c>
      <c r="O251" s="6"/>
      <c r="P251" s="6"/>
      <c r="Q251" s="7">
        <f>ROUND(57.92,2)</f>
        <v>57.92</v>
      </c>
      <c r="R251" s="6"/>
      <c r="S251" s="6"/>
      <c r="T251" s="6"/>
      <c r="U251" s="6"/>
      <c r="V251" s="7">
        <f>ROUND(26.42,2)</f>
        <v>26.42</v>
      </c>
      <c r="W251" s="7">
        <f>ROUND(9.07,2)</f>
        <v>9.07</v>
      </c>
      <c r="X251" s="7">
        <f>ROUND(0.25,2)</f>
        <v>0.25</v>
      </c>
      <c r="Y251" s="7">
        <f>ROUND(0.5,2)</f>
        <v>0.5</v>
      </c>
      <c r="Z251" s="7">
        <f>ROUND(0.43,2)</f>
        <v>0.43</v>
      </c>
      <c r="AA251" s="6"/>
      <c r="AB251" s="6"/>
      <c r="AC251" s="6"/>
      <c r="AD251" s="6"/>
      <c r="AE251" s="7">
        <f>ROUND(282.039999999999,2)</f>
        <v>282.04000000000002</v>
      </c>
      <c r="AF251" s="6"/>
      <c r="AG251" s="7">
        <f>ROUND(52.71,2)</f>
        <v>52.71</v>
      </c>
      <c r="AH251" s="6"/>
      <c r="AI251" s="6"/>
      <c r="AJ251" s="6"/>
      <c r="AK251" s="6"/>
      <c r="AL251" s="6"/>
      <c r="AM251" s="6"/>
      <c r="AN251" s="6"/>
      <c r="AO251" s="6"/>
      <c r="AP251" s="7">
        <f>ROUND(801.62,2)</f>
        <v>801.62</v>
      </c>
      <c r="AQ251" s="6"/>
      <c r="AR251" s="7">
        <f>ROUND(132.57,2)</f>
        <v>132.57</v>
      </c>
      <c r="AS251" s="6"/>
      <c r="AT251" s="6"/>
      <c r="AU251" s="7">
        <f>ROUND(64,2)</f>
        <v>64</v>
      </c>
      <c r="AV251" s="6"/>
      <c r="AW251" s="7">
        <f>ROUND(10,2)</f>
        <v>10</v>
      </c>
      <c r="AX251" s="7">
        <f>ROUND(8,2)</f>
        <v>8</v>
      </c>
      <c r="AY251" s="7">
        <f>ROUND(8,2)</f>
        <v>8</v>
      </c>
      <c r="AZ251" s="6"/>
      <c r="BA251" s="6"/>
      <c r="BB251" s="7">
        <f>ROUND(32,2)</f>
        <v>32</v>
      </c>
      <c r="BC251" s="6"/>
      <c r="BD251" s="7">
        <f>ROUND(8.67,2)</f>
        <v>8.67</v>
      </c>
      <c r="BE251" s="7">
        <f>ROUND(1.65,2)</f>
        <v>1.65</v>
      </c>
      <c r="BF251" s="6"/>
      <c r="BG251" s="6"/>
      <c r="BH251" s="6"/>
      <c r="BI251" s="6"/>
      <c r="BJ251" s="6"/>
      <c r="BK251" s="6"/>
      <c r="BL251" s="6"/>
      <c r="BM251" s="6"/>
      <c r="BN251" s="6"/>
      <c r="BO251" s="7">
        <f>ROUND(8.68,2)</f>
        <v>8.68</v>
      </c>
      <c r="BP251" s="7">
        <f>ROUND(5.07,2)</f>
        <v>5.07</v>
      </c>
      <c r="BQ251" s="7">
        <f>ROUND(21.42,2)</f>
        <v>21.42</v>
      </c>
      <c r="BR251" s="6"/>
      <c r="BS251" s="6"/>
      <c r="BT251" s="7">
        <f>ROUND(15.2,2)</f>
        <v>15.2</v>
      </c>
      <c r="BU251" s="6"/>
      <c r="BV251" s="6"/>
      <c r="BW251" s="7">
        <f>ROUND(8,2)</f>
        <v>8</v>
      </c>
      <c r="BX251" s="7">
        <f>ROUND(24,2)</f>
        <v>24</v>
      </c>
      <c r="BY251" s="6"/>
      <c r="BZ251" s="6"/>
      <c r="CA251" s="7">
        <f>ROUND(16,2)</f>
        <v>16</v>
      </c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7">
        <f>ROUND(2441.18,2)</f>
        <v>2441.1799999999998</v>
      </c>
      <c r="CR251" s="6"/>
      <c r="CS251" s="6"/>
      <c r="CT251" s="6"/>
      <c r="CU251" s="6"/>
      <c r="CV251" s="7">
        <f>ROUND(24531.1499999999,2)</f>
        <v>24531.15</v>
      </c>
      <c r="CW251" s="6"/>
      <c r="CX251" s="6"/>
      <c r="CY251" s="7">
        <f>ROUND(2465.48,2)</f>
        <v>2465.48</v>
      </c>
      <c r="CZ251" s="6"/>
      <c r="DA251" s="6"/>
      <c r="DB251" s="6"/>
      <c r="DC251" s="6"/>
      <c r="DD251" s="7">
        <f>ROUND(765.27,2)</f>
        <v>765.27</v>
      </c>
      <c r="DE251" s="7">
        <f>ROUND(381.83,2)</f>
        <v>381.83</v>
      </c>
      <c r="DF251" s="7">
        <f>ROUND(7.44,2)</f>
        <v>7.44</v>
      </c>
      <c r="DG251" s="7">
        <f>ROUND(20.46,2)</f>
        <v>20.46</v>
      </c>
      <c r="DH251" s="7">
        <f>ROUND(23.46,2)</f>
        <v>23.46</v>
      </c>
      <c r="DI251" s="6"/>
      <c r="DJ251" s="6"/>
      <c r="DK251" s="6"/>
      <c r="DL251" s="6"/>
      <c r="DM251" s="6"/>
      <c r="DN251" s="7">
        <f>ROUND(8268.94,2)</f>
        <v>8268.94</v>
      </c>
      <c r="DO251" s="6"/>
      <c r="DP251" s="7">
        <f>ROUND(2374.02999999999,2)</f>
        <v>2374.0300000000002</v>
      </c>
      <c r="DQ251" s="6"/>
      <c r="DR251" s="6"/>
      <c r="DS251" s="6"/>
      <c r="DT251" s="6"/>
      <c r="DU251" s="6"/>
      <c r="DV251" s="6"/>
      <c r="DW251" s="6"/>
      <c r="DX251" s="6"/>
      <c r="DY251" s="7">
        <f>ROUND(23455.21,2)</f>
        <v>23455.21</v>
      </c>
      <c r="DZ251" s="6"/>
      <c r="EA251" s="7">
        <f>ROUND(5870.42999999999,2)</f>
        <v>5870.43</v>
      </c>
      <c r="EB251" s="6"/>
      <c r="EC251" s="6"/>
      <c r="ED251" s="7">
        <f>ROUND(1874.78,2)</f>
        <v>1874.78</v>
      </c>
      <c r="EE251" s="6"/>
      <c r="EF251" s="7">
        <f>ROUND(297.5,2)</f>
        <v>297.5</v>
      </c>
      <c r="EG251" s="7">
        <f>ROUND(327.36,2)</f>
        <v>327.36</v>
      </c>
      <c r="EH251" s="7">
        <f>ROUND(238,2)</f>
        <v>238</v>
      </c>
      <c r="EI251" s="6"/>
      <c r="EJ251" s="6"/>
      <c r="EK251" s="7">
        <f>ROUND(892.72,2)</f>
        <v>892.72</v>
      </c>
      <c r="EL251" s="6"/>
      <c r="EM251" s="6"/>
      <c r="EN251" s="7">
        <f>ROUND(250.97,2)</f>
        <v>250.97</v>
      </c>
      <c r="EO251" s="7">
        <f>ROUND(47.65,2)</f>
        <v>47.65</v>
      </c>
      <c r="EP251" s="6"/>
      <c r="EQ251" s="6"/>
      <c r="ER251" s="6"/>
      <c r="ES251" s="6"/>
      <c r="ET251" s="6"/>
      <c r="EU251" s="6"/>
      <c r="EV251" s="7">
        <f>ROUND(125,2)</f>
        <v>125</v>
      </c>
      <c r="EW251" s="6"/>
      <c r="EX251" s="6"/>
      <c r="EY251" s="6"/>
      <c r="EZ251" s="6"/>
      <c r="FA251" s="6"/>
      <c r="FB251" s="7">
        <f>ROUND(236.79,2)</f>
        <v>236.79</v>
      </c>
      <c r="FC251" s="7">
        <f>ROUND(207.46,2)</f>
        <v>207.46</v>
      </c>
      <c r="FD251" s="7">
        <f>ROUND(606.62,2)</f>
        <v>606.62</v>
      </c>
      <c r="FE251" s="6"/>
      <c r="FF251" s="6"/>
      <c r="FG251" s="6"/>
      <c r="FH251" s="6"/>
      <c r="FI251" s="6"/>
      <c r="FJ251" s="7">
        <f>ROUND(900,2)</f>
        <v>900</v>
      </c>
      <c r="FK251" s="6"/>
      <c r="FL251" s="6"/>
      <c r="FM251" s="6"/>
      <c r="FN251" s="6"/>
      <c r="FO251" s="6"/>
      <c r="FP251" s="6"/>
      <c r="FQ251" s="6"/>
      <c r="FR251" s="6"/>
      <c r="FS251" s="6"/>
      <c r="FT251" s="7">
        <f t="shared" ref="FT251:FT269" si="19">ROUND(3000,2)</f>
        <v>3000</v>
      </c>
      <c r="FU251" s="6"/>
      <c r="FV251" s="6"/>
      <c r="FW251" s="6"/>
      <c r="FX251" s="6"/>
      <c r="FY251" s="7">
        <f>ROUND(77168.55,2)</f>
        <v>77168.55</v>
      </c>
    </row>
    <row r="252" spans="1:181" x14ac:dyDescent="0.3">
      <c r="A252" s="4" t="s">
        <v>615</v>
      </c>
      <c r="B252" s="5" t="s">
        <v>1029</v>
      </c>
      <c r="C252" s="5" t="s">
        <v>181</v>
      </c>
      <c r="D252" s="5" t="s">
        <v>547</v>
      </c>
      <c r="E252" s="5" t="s">
        <v>0</v>
      </c>
      <c r="F252" s="5" t="s">
        <v>0</v>
      </c>
      <c r="G252" s="5" t="s">
        <v>183</v>
      </c>
      <c r="H252" s="8">
        <v>33.880000000000003</v>
      </c>
      <c r="I252" s="7">
        <f>ROUND(92957.47,2)</f>
        <v>92957.47</v>
      </c>
      <c r="J252" s="6"/>
      <c r="K252" s="6"/>
      <c r="L252" s="6"/>
      <c r="M252" s="6"/>
      <c r="N252" s="7">
        <f>ROUND(1269.18,2)</f>
        <v>1269.18</v>
      </c>
      <c r="O252" s="6"/>
      <c r="P252" s="6"/>
      <c r="Q252" s="7">
        <f>ROUND(261.51,2)</f>
        <v>261.51</v>
      </c>
      <c r="R252" s="6"/>
      <c r="S252" s="6"/>
      <c r="T252" s="6"/>
      <c r="U252" s="6"/>
      <c r="V252" s="7">
        <f>ROUND(2.67,2)</f>
        <v>2.67</v>
      </c>
      <c r="W252" s="7">
        <f>ROUND(20.46,2)</f>
        <v>20.46</v>
      </c>
      <c r="X252" s="7">
        <f>ROUND(3.2,2)</f>
        <v>3.2</v>
      </c>
      <c r="Y252" s="7">
        <f>ROUND(1.88,2)</f>
        <v>1.88</v>
      </c>
      <c r="Z252" s="7">
        <f>ROUND(0.32,2)</f>
        <v>0.32</v>
      </c>
      <c r="AA252" s="6"/>
      <c r="AB252" s="6"/>
      <c r="AC252" s="6"/>
      <c r="AD252" s="6"/>
      <c r="AE252" s="7">
        <f>ROUND(82,2)</f>
        <v>82</v>
      </c>
      <c r="AF252" s="6"/>
      <c r="AG252" s="7">
        <f>ROUND(11.75,2)</f>
        <v>11.75</v>
      </c>
      <c r="AH252" s="6"/>
      <c r="AI252" s="6"/>
      <c r="AJ252" s="6"/>
      <c r="AK252" s="6"/>
      <c r="AL252" s="6"/>
      <c r="AM252" s="6"/>
      <c r="AN252" s="6"/>
      <c r="AO252" s="6"/>
      <c r="AP252" s="7">
        <f>ROUND(40,2)</f>
        <v>40</v>
      </c>
      <c r="AQ252" s="6"/>
      <c r="AR252" s="7">
        <f>ROUND(36.25,2)</f>
        <v>36.25</v>
      </c>
      <c r="AS252" s="6"/>
      <c r="AT252" s="6"/>
      <c r="AU252" s="7">
        <f>ROUND(70,2)</f>
        <v>70</v>
      </c>
      <c r="AV252" s="6"/>
      <c r="AW252" s="7">
        <f>ROUND(26.8,2)</f>
        <v>26.8</v>
      </c>
      <c r="AX252" s="7">
        <f>ROUND(5.2,2)</f>
        <v>5.2</v>
      </c>
      <c r="AY252" s="7">
        <f>ROUND(80,2)</f>
        <v>80</v>
      </c>
      <c r="AZ252" s="6"/>
      <c r="BA252" s="6"/>
      <c r="BB252" s="7">
        <f>ROUND(40,2)</f>
        <v>40</v>
      </c>
      <c r="BC252" s="6"/>
      <c r="BD252" s="7">
        <f>ROUND(8,2)</f>
        <v>8</v>
      </c>
      <c r="BE252" s="7">
        <f>ROUND(2.27,2)</f>
        <v>2.27</v>
      </c>
      <c r="BF252" s="6"/>
      <c r="BG252" s="6"/>
      <c r="BH252" s="6"/>
      <c r="BI252" s="6"/>
      <c r="BJ252" s="6"/>
      <c r="BK252" s="6"/>
      <c r="BL252" s="6"/>
      <c r="BM252" s="6"/>
      <c r="BN252" s="6"/>
      <c r="BO252" s="7">
        <f>ROUND(297.33,2)</f>
        <v>297.33</v>
      </c>
      <c r="BP252" s="7">
        <f>ROUND(22.67,2)</f>
        <v>22.67</v>
      </c>
      <c r="BQ252" s="7">
        <f>ROUND(216,2)</f>
        <v>216</v>
      </c>
      <c r="BR252" s="6"/>
      <c r="BS252" s="6"/>
      <c r="BT252" s="7">
        <f>ROUND(5.08,2)</f>
        <v>5.08</v>
      </c>
      <c r="BU252" s="6"/>
      <c r="BV252" s="6"/>
      <c r="BW252" s="6"/>
      <c r="BX252" s="6"/>
      <c r="BY252" s="6"/>
      <c r="BZ252" s="6"/>
      <c r="CA252" s="7">
        <f>ROUND(8,2)</f>
        <v>8</v>
      </c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7">
        <f>ROUND(48,2)</f>
        <v>48</v>
      </c>
      <c r="CQ252" s="7">
        <f>ROUND(2558.57,2)</f>
        <v>2558.5700000000002</v>
      </c>
      <c r="CR252" s="6"/>
      <c r="CS252" s="6"/>
      <c r="CT252" s="6"/>
      <c r="CU252" s="6"/>
      <c r="CV252" s="7">
        <f>ROUND(41385.6899999999,2)</f>
        <v>41385.69</v>
      </c>
      <c r="CW252" s="6"/>
      <c r="CX252" s="6"/>
      <c r="CY252" s="7">
        <f>ROUND(12850.68,2)</f>
        <v>12850.68</v>
      </c>
      <c r="CZ252" s="6"/>
      <c r="DA252" s="6"/>
      <c r="DB252" s="6"/>
      <c r="DC252" s="6"/>
      <c r="DD252" s="7">
        <f>ROUND(86.08,2)</f>
        <v>86.08</v>
      </c>
      <c r="DE252" s="7">
        <f>ROUND(1003.52,2)</f>
        <v>1003.52</v>
      </c>
      <c r="DF252" s="7">
        <f>ROUND(103.28,2)</f>
        <v>103.28</v>
      </c>
      <c r="DG252" s="7">
        <f>ROUND(91.77,2)</f>
        <v>91.77</v>
      </c>
      <c r="DH252" s="7">
        <f>ROUND(21.15,2)</f>
        <v>21.15</v>
      </c>
      <c r="DI252" s="6"/>
      <c r="DJ252" s="6"/>
      <c r="DK252" s="6"/>
      <c r="DL252" s="6"/>
      <c r="DM252" s="6"/>
      <c r="DN252" s="7">
        <f>ROUND(2631.38,2)</f>
        <v>2631.38</v>
      </c>
      <c r="DO252" s="6"/>
      <c r="DP252" s="7">
        <f>ROUND(570.99,2)</f>
        <v>570.99</v>
      </c>
      <c r="DQ252" s="6"/>
      <c r="DR252" s="6"/>
      <c r="DS252" s="6"/>
      <c r="DT252" s="6"/>
      <c r="DU252" s="6"/>
      <c r="DV252" s="6"/>
      <c r="DW252" s="6"/>
      <c r="DX252" s="6"/>
      <c r="DY252" s="7">
        <f>ROUND(1335.2,2)</f>
        <v>1335.2</v>
      </c>
      <c r="DZ252" s="6"/>
      <c r="EA252" s="7">
        <f>ROUND(1797.43999999999,2)</f>
        <v>1797.44</v>
      </c>
      <c r="EB252" s="6"/>
      <c r="EC252" s="6"/>
      <c r="ED252" s="7">
        <f>ROUND(2282.24,2)</f>
        <v>2282.2399999999998</v>
      </c>
      <c r="EE252" s="6"/>
      <c r="EF252" s="7">
        <f>ROUND(867.69,2)</f>
        <v>867.69</v>
      </c>
      <c r="EG252" s="7">
        <f>ROUND(250.3,2)</f>
        <v>250.3</v>
      </c>
      <c r="EH252" s="7">
        <f>ROUND(2605.6,2)</f>
        <v>2605.6</v>
      </c>
      <c r="EI252" s="6"/>
      <c r="EJ252" s="6"/>
      <c r="EK252" s="7">
        <f>ROUND(1283.6,2)</f>
        <v>1283.5999999999999</v>
      </c>
      <c r="EL252" s="6"/>
      <c r="EM252" s="6"/>
      <c r="EN252" s="7">
        <f>ROUND(256.72,2)</f>
        <v>256.72000000000003</v>
      </c>
      <c r="EO252" s="7">
        <f>ROUND(72.84,2)</f>
        <v>72.84</v>
      </c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7">
        <f>ROUND(9564.36,2)</f>
        <v>9564.36</v>
      </c>
      <c r="FC252" s="7">
        <f>ROUND(1091.22,2)</f>
        <v>1091.22</v>
      </c>
      <c r="FD252" s="7">
        <f>ROUND(7138.8,2)</f>
        <v>7138.8</v>
      </c>
      <c r="FE252" s="6"/>
      <c r="FF252" s="6"/>
      <c r="FG252" s="6"/>
      <c r="FH252" s="6"/>
      <c r="FI252" s="6"/>
      <c r="FJ252" s="7">
        <f>ROUND(1075,2)</f>
        <v>1075</v>
      </c>
      <c r="FK252" s="6"/>
      <c r="FL252" s="6"/>
      <c r="FM252" s="6"/>
      <c r="FN252" s="6"/>
      <c r="FO252" s="6"/>
      <c r="FP252" s="6"/>
      <c r="FQ252" s="6"/>
      <c r="FR252" s="6"/>
      <c r="FS252" s="6"/>
      <c r="FT252" s="7">
        <f t="shared" si="19"/>
        <v>3000</v>
      </c>
      <c r="FU252" s="6"/>
      <c r="FV252" s="6"/>
      <c r="FW252" s="6"/>
      <c r="FX252" s="7">
        <f>ROUND(1591.92,2)</f>
        <v>1591.92</v>
      </c>
      <c r="FY252" s="7">
        <f>ROUND(92957.47,2)</f>
        <v>92957.47</v>
      </c>
    </row>
    <row r="253" spans="1:181" x14ac:dyDescent="0.3">
      <c r="A253" s="4" t="s">
        <v>616</v>
      </c>
      <c r="B253" s="5" t="s">
        <v>1029</v>
      </c>
      <c r="C253" s="5" t="s">
        <v>181</v>
      </c>
      <c r="D253" s="5" t="s">
        <v>303</v>
      </c>
      <c r="E253" s="5" t="s">
        <v>0</v>
      </c>
      <c r="F253" s="5" t="s">
        <v>0</v>
      </c>
      <c r="G253" s="5" t="s">
        <v>183</v>
      </c>
      <c r="H253" s="6">
        <v>33.380000000000003</v>
      </c>
      <c r="I253" s="7">
        <f>ROUND(76351.4,2)</f>
        <v>76351.399999999994</v>
      </c>
      <c r="J253" s="6"/>
      <c r="K253" s="6"/>
      <c r="L253" s="6"/>
      <c r="M253" s="6"/>
      <c r="N253" s="7">
        <f>ROUND(782.139999999999,2)</f>
        <v>782.14</v>
      </c>
      <c r="O253" s="6"/>
      <c r="P253" s="6"/>
      <c r="Q253" s="7">
        <f>ROUND(146.54,2)</f>
        <v>146.54</v>
      </c>
      <c r="R253" s="6"/>
      <c r="S253" s="6"/>
      <c r="T253" s="6"/>
      <c r="U253" s="6"/>
      <c r="V253" s="7">
        <f>ROUND(22.6,2)</f>
        <v>22.6</v>
      </c>
      <c r="W253" s="7">
        <f>ROUND(14.1499999999999,2)</f>
        <v>14.15</v>
      </c>
      <c r="X253" s="7">
        <f>ROUND(0.42,2)</f>
        <v>0.42</v>
      </c>
      <c r="Y253" s="6"/>
      <c r="Z253" s="6"/>
      <c r="AA253" s="6"/>
      <c r="AB253" s="6"/>
      <c r="AC253" s="6"/>
      <c r="AD253" s="6"/>
      <c r="AE253" s="7">
        <f>ROUND(288.669999999999,2)</f>
        <v>288.67</v>
      </c>
      <c r="AF253" s="6"/>
      <c r="AG253" s="7">
        <f>ROUND(36.7099999999999,2)</f>
        <v>36.71</v>
      </c>
      <c r="AH253" s="6"/>
      <c r="AI253" s="6"/>
      <c r="AJ253" s="6"/>
      <c r="AK253" s="6"/>
      <c r="AL253" s="6"/>
      <c r="AM253" s="6"/>
      <c r="AN253" s="6"/>
      <c r="AO253" s="6"/>
      <c r="AP253" s="7">
        <f>ROUND(607.35,2)</f>
        <v>607.35</v>
      </c>
      <c r="AQ253" s="6"/>
      <c r="AR253" s="7">
        <f>ROUND(113.28,2)</f>
        <v>113.28</v>
      </c>
      <c r="AS253" s="6"/>
      <c r="AT253" s="6"/>
      <c r="AU253" s="7">
        <f>ROUND(76,2)</f>
        <v>76</v>
      </c>
      <c r="AV253" s="6"/>
      <c r="AW253" s="7">
        <f>ROUND(40,2)</f>
        <v>40</v>
      </c>
      <c r="AX253" s="6"/>
      <c r="AY253" s="7">
        <f>ROUND(10,2)</f>
        <v>10</v>
      </c>
      <c r="AZ253" s="6"/>
      <c r="BA253" s="6"/>
      <c r="BB253" s="7">
        <f>ROUND(32,2)</f>
        <v>32</v>
      </c>
      <c r="BC253" s="6"/>
      <c r="BD253" s="7">
        <f>ROUND(10,2)</f>
        <v>10</v>
      </c>
      <c r="BE253" s="7">
        <f>ROUND(3.63,2)</f>
        <v>3.63</v>
      </c>
      <c r="BF253" s="6"/>
      <c r="BG253" s="6"/>
      <c r="BH253" s="6"/>
      <c r="BI253" s="6"/>
      <c r="BJ253" s="6"/>
      <c r="BK253" s="6"/>
      <c r="BL253" s="6"/>
      <c r="BM253" s="6"/>
      <c r="BN253" s="6"/>
      <c r="BO253" s="7">
        <f>ROUND(43.5,2)</f>
        <v>43.5</v>
      </c>
      <c r="BP253" s="6"/>
      <c r="BQ253" s="7">
        <f>ROUND(8,2)</f>
        <v>8</v>
      </c>
      <c r="BR253" s="6"/>
      <c r="BS253" s="7">
        <f>ROUND(120,2)</f>
        <v>120</v>
      </c>
      <c r="BT253" s="7">
        <f>ROUND(21.41,2)</f>
        <v>21.41</v>
      </c>
      <c r="BU253" s="6"/>
      <c r="BV253" s="6"/>
      <c r="BW253" s="6"/>
      <c r="BX253" s="7">
        <f>ROUND(92,2)</f>
        <v>92</v>
      </c>
      <c r="BY253" s="6"/>
      <c r="BZ253" s="6"/>
      <c r="CA253" s="7">
        <f>ROUND(40.8799999999999,2)</f>
        <v>40.880000000000003</v>
      </c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7">
        <f>ROUND(2509.28,2)</f>
        <v>2509.2800000000002</v>
      </c>
      <c r="CR253" s="6"/>
      <c r="CS253" s="6"/>
      <c r="CT253" s="6"/>
      <c r="CU253" s="6"/>
      <c r="CV253" s="7">
        <f>ROUND(24002.5899999999,2)</f>
        <v>24002.59</v>
      </c>
      <c r="CW253" s="6"/>
      <c r="CX253" s="6"/>
      <c r="CY253" s="7">
        <f>ROUND(6631.29,2)</f>
        <v>6631.29</v>
      </c>
      <c r="CZ253" s="6"/>
      <c r="DA253" s="6"/>
      <c r="DB253" s="6"/>
      <c r="DC253" s="6"/>
      <c r="DD253" s="7">
        <f>ROUND(716.25,2)</f>
        <v>716.25</v>
      </c>
      <c r="DE253" s="7">
        <f>ROUND(658.81,2)</f>
        <v>658.81</v>
      </c>
      <c r="DF253" s="7">
        <f>ROUND(12.19,2)</f>
        <v>12.19</v>
      </c>
      <c r="DG253" s="6"/>
      <c r="DH253" s="6"/>
      <c r="DI253" s="6"/>
      <c r="DJ253" s="6"/>
      <c r="DK253" s="6"/>
      <c r="DL253" s="6"/>
      <c r="DM253" s="6"/>
      <c r="DN253" s="7">
        <f>ROUND(8852.38,2)</f>
        <v>8852.3799999999992</v>
      </c>
      <c r="DO253" s="6"/>
      <c r="DP253" s="7">
        <f>ROUND(1681.08,2)</f>
        <v>1681.08</v>
      </c>
      <c r="DQ253" s="6"/>
      <c r="DR253" s="6"/>
      <c r="DS253" s="6"/>
      <c r="DT253" s="6"/>
      <c r="DU253" s="6"/>
      <c r="DV253" s="6"/>
      <c r="DW253" s="6"/>
      <c r="DX253" s="6"/>
      <c r="DY253" s="7">
        <f>ROUND(18527.0599999999,2)</f>
        <v>18527.060000000001</v>
      </c>
      <c r="DZ253" s="6"/>
      <c r="EA253" s="7">
        <f>ROUND(5134.5,2)</f>
        <v>5134.5</v>
      </c>
      <c r="EB253" s="6"/>
      <c r="EC253" s="6"/>
      <c r="ED253" s="7">
        <f>ROUND(2325.7,2)</f>
        <v>2325.6999999999998</v>
      </c>
      <c r="EE253" s="6"/>
      <c r="EF253" s="7">
        <f>ROUND(1246.9,2)</f>
        <v>1246.9000000000001</v>
      </c>
      <c r="EG253" s="6"/>
      <c r="EH253" s="7">
        <f>ROUND(314,2)</f>
        <v>314</v>
      </c>
      <c r="EI253" s="6"/>
      <c r="EJ253" s="6"/>
      <c r="EK253" s="7">
        <f>ROUND(924.16,2)</f>
        <v>924.16</v>
      </c>
      <c r="EL253" s="6"/>
      <c r="EM253" s="6"/>
      <c r="EN253" s="7">
        <f>ROUND(306.719999999999,2)</f>
        <v>306.72000000000003</v>
      </c>
      <c r="EO253" s="7">
        <f>ROUND(158.07,2)</f>
        <v>158.07</v>
      </c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7">
        <f>ROUND(1353.65999999999,2)</f>
        <v>1353.66</v>
      </c>
      <c r="FC253" s="6"/>
      <c r="FD253" s="7">
        <f>ROUND(231.04,2)</f>
        <v>231.04</v>
      </c>
      <c r="FE253" s="6"/>
      <c r="FF253" s="6"/>
      <c r="FG253" s="6"/>
      <c r="FH253" s="6"/>
      <c r="FI253" s="6"/>
      <c r="FJ253" s="7">
        <f>ROUND(275,2)</f>
        <v>275</v>
      </c>
      <c r="FK253" s="6"/>
      <c r="FL253" s="6"/>
      <c r="FM253" s="6"/>
      <c r="FN253" s="6"/>
      <c r="FO253" s="6"/>
      <c r="FP253" s="6"/>
      <c r="FQ253" s="6"/>
      <c r="FR253" s="6"/>
      <c r="FS253" s="6"/>
      <c r="FT253" s="7">
        <f t="shared" si="19"/>
        <v>3000</v>
      </c>
      <c r="FU253" s="6"/>
      <c r="FV253" s="6"/>
      <c r="FW253" s="6"/>
      <c r="FX253" s="6"/>
      <c r="FY253" s="7">
        <f>ROUND(76351.4,2)</f>
        <v>76351.399999999994</v>
      </c>
    </row>
    <row r="254" spans="1:181" x14ac:dyDescent="0.3">
      <c r="A254" s="4" t="s">
        <v>617</v>
      </c>
      <c r="B254" s="5" t="s">
        <v>1029</v>
      </c>
      <c r="C254" s="5" t="s">
        <v>181</v>
      </c>
      <c r="D254" s="5" t="s">
        <v>354</v>
      </c>
      <c r="E254" s="5" t="s">
        <v>0</v>
      </c>
      <c r="F254" s="5" t="s">
        <v>0</v>
      </c>
      <c r="G254" s="5" t="s">
        <v>183</v>
      </c>
      <c r="H254" s="6">
        <v>33.380000000000003</v>
      </c>
      <c r="I254" s="7">
        <f>ROUND(49227.49,2)</f>
        <v>49227.49</v>
      </c>
      <c r="J254" s="6"/>
      <c r="K254" s="6"/>
      <c r="L254" s="6"/>
      <c r="M254" s="6"/>
      <c r="N254" s="7">
        <f>ROUND(926.509999999999,2)</f>
        <v>926.51</v>
      </c>
      <c r="O254" s="6"/>
      <c r="P254" s="6"/>
      <c r="Q254" s="7">
        <f>ROUND(25.41,2)</f>
        <v>25.41</v>
      </c>
      <c r="R254" s="6"/>
      <c r="S254" s="6"/>
      <c r="T254" s="6"/>
      <c r="U254" s="6"/>
      <c r="V254" s="7">
        <f>ROUND(35.91,2)</f>
        <v>35.909999999999997</v>
      </c>
      <c r="W254" s="6"/>
      <c r="X254" s="6"/>
      <c r="Y254" s="6"/>
      <c r="Z254" s="6"/>
      <c r="AA254" s="6"/>
      <c r="AB254" s="6"/>
      <c r="AC254" s="6"/>
      <c r="AD254" s="6"/>
      <c r="AE254" s="7">
        <f>ROUND(214.42,2)</f>
        <v>214.42</v>
      </c>
      <c r="AF254" s="6"/>
      <c r="AG254" s="7">
        <f>ROUND(21.16,2)</f>
        <v>21.16</v>
      </c>
      <c r="AH254" s="6"/>
      <c r="AI254" s="6"/>
      <c r="AJ254" s="6"/>
      <c r="AK254" s="6"/>
      <c r="AL254" s="6"/>
      <c r="AM254" s="6"/>
      <c r="AN254" s="6"/>
      <c r="AO254" s="6"/>
      <c r="AP254" s="7">
        <f>ROUND(171.299999999999,2)</f>
        <v>171.3</v>
      </c>
      <c r="AQ254" s="6"/>
      <c r="AR254" s="7">
        <f>ROUND(68.44,2)</f>
        <v>68.44</v>
      </c>
      <c r="AS254" s="6"/>
      <c r="AT254" s="6"/>
      <c r="AU254" s="7">
        <f>ROUND(18,2)</f>
        <v>18</v>
      </c>
      <c r="AV254" s="6"/>
      <c r="AW254" s="7">
        <f>ROUND(5,2)</f>
        <v>5</v>
      </c>
      <c r="AX254" s="6"/>
      <c r="AY254" s="6"/>
      <c r="AZ254" s="6"/>
      <c r="BA254" s="6"/>
      <c r="BB254" s="7">
        <f>ROUND(13,2)</f>
        <v>13</v>
      </c>
      <c r="BC254" s="6"/>
      <c r="BD254" s="7">
        <f t="shared" ref="BD254:BD262" si="20">ROUND(8,2)</f>
        <v>8</v>
      </c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7">
        <f>ROUND(18.13,2)</f>
        <v>18.13</v>
      </c>
      <c r="BR254" s="7">
        <f>ROUND(8.62,2)</f>
        <v>8.6199999999999992</v>
      </c>
      <c r="BS254" s="7">
        <f>ROUND(229,2)</f>
        <v>229</v>
      </c>
      <c r="BT254" s="7">
        <f>ROUND(4.66,2)</f>
        <v>4.66</v>
      </c>
      <c r="BU254" s="6"/>
      <c r="BV254" s="6"/>
      <c r="BW254" s="7">
        <f>ROUND(31,2)</f>
        <v>31</v>
      </c>
      <c r="BX254" s="6"/>
      <c r="BY254" s="7">
        <f>ROUND(8,2)</f>
        <v>8</v>
      </c>
      <c r="BZ254" s="7">
        <f>ROUND(50,2)</f>
        <v>50</v>
      </c>
      <c r="CA254" s="7">
        <f>ROUND(30,2)</f>
        <v>30</v>
      </c>
      <c r="CB254" s="6"/>
      <c r="CC254" s="7">
        <f>ROUND(40,2)</f>
        <v>40</v>
      </c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7">
        <f>ROUND(1926.55999999999,2)</f>
        <v>1926.56</v>
      </c>
      <c r="CR254" s="6"/>
      <c r="CS254" s="6"/>
      <c r="CT254" s="6"/>
      <c r="CU254" s="6"/>
      <c r="CV254" s="7">
        <f>ROUND(26239.09,2)</f>
        <v>26239.09</v>
      </c>
      <c r="CW254" s="6"/>
      <c r="CX254" s="6"/>
      <c r="CY254" s="7">
        <f>ROUND(1133.77,2)</f>
        <v>1133.77</v>
      </c>
      <c r="CZ254" s="6"/>
      <c r="DA254" s="6"/>
      <c r="DB254" s="6"/>
      <c r="DC254" s="6"/>
      <c r="DD254" s="7">
        <f>ROUND(1072.37999999999,2)</f>
        <v>1072.3800000000001</v>
      </c>
      <c r="DE254" s="6"/>
      <c r="DF254" s="6"/>
      <c r="DG254" s="6"/>
      <c r="DH254" s="6"/>
      <c r="DI254" s="6"/>
      <c r="DJ254" s="6"/>
      <c r="DK254" s="6"/>
      <c r="DL254" s="6"/>
      <c r="DM254" s="6"/>
      <c r="DN254" s="7">
        <f>ROUND(6065.89999999999,2)</f>
        <v>6065.9</v>
      </c>
      <c r="DO254" s="6"/>
      <c r="DP254" s="7">
        <f>ROUND(944.27,2)</f>
        <v>944.27</v>
      </c>
      <c r="DQ254" s="6"/>
      <c r="DR254" s="6"/>
      <c r="DS254" s="6"/>
      <c r="DT254" s="6"/>
      <c r="DU254" s="6"/>
      <c r="DV254" s="6"/>
      <c r="DW254" s="6"/>
      <c r="DX254" s="6"/>
      <c r="DY254" s="7">
        <f>ROUND(5068.02,2)</f>
        <v>5068.0200000000004</v>
      </c>
      <c r="DZ254" s="6"/>
      <c r="EA254" s="7">
        <f>ROUND(3065.18,2)</f>
        <v>3065.18</v>
      </c>
      <c r="EB254" s="6"/>
      <c r="EC254" s="6"/>
      <c r="ED254" s="7">
        <f>ROUND(510.8,2)</f>
        <v>510.8</v>
      </c>
      <c r="EE254" s="6"/>
      <c r="EF254" s="7">
        <f>ROUND(136.4,2)</f>
        <v>136.4</v>
      </c>
      <c r="EG254" s="6"/>
      <c r="EH254" s="6"/>
      <c r="EI254" s="6"/>
      <c r="EJ254" s="6"/>
      <c r="EK254" s="7">
        <f>ROUND(374.4,2)</f>
        <v>374.4</v>
      </c>
      <c r="EL254" s="6"/>
      <c r="EM254" s="6"/>
      <c r="EN254" s="7">
        <f>ROUND(218.24,2)</f>
        <v>218.24</v>
      </c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7">
        <f>ROUND(539.369999999999,2)</f>
        <v>539.37</v>
      </c>
      <c r="FE254" s="7">
        <f>ROUND(384.67,2)</f>
        <v>384.67</v>
      </c>
      <c r="FF254" s="6"/>
      <c r="FG254" s="6"/>
      <c r="FH254" s="6"/>
      <c r="FI254" s="6"/>
      <c r="FJ254" s="7">
        <f>ROUND(475,2)</f>
        <v>475</v>
      </c>
      <c r="FK254" s="6"/>
      <c r="FL254" s="6"/>
      <c r="FM254" s="6"/>
      <c r="FN254" s="6"/>
      <c r="FO254" s="6"/>
      <c r="FP254" s="6"/>
      <c r="FQ254" s="6"/>
      <c r="FR254" s="6"/>
      <c r="FS254" s="6"/>
      <c r="FT254" s="7">
        <f t="shared" si="19"/>
        <v>3000</v>
      </c>
      <c r="FU254" s="6"/>
      <c r="FV254" s="6"/>
      <c r="FW254" s="6"/>
      <c r="FX254" s="6"/>
      <c r="FY254" s="7">
        <f>ROUND(49227.49,2)</f>
        <v>49227.49</v>
      </c>
    </row>
    <row r="255" spans="1:181" x14ac:dyDescent="0.3">
      <c r="A255" s="4" t="s">
        <v>618</v>
      </c>
      <c r="B255" s="5" t="s">
        <v>1029</v>
      </c>
      <c r="C255" s="5" t="s">
        <v>181</v>
      </c>
      <c r="D255" s="5" t="s">
        <v>437</v>
      </c>
      <c r="E255" s="5" t="s">
        <v>0</v>
      </c>
      <c r="F255" s="5" t="s">
        <v>0</v>
      </c>
      <c r="G255" s="5" t="s">
        <v>183</v>
      </c>
      <c r="H255" s="8">
        <v>33.880000000000003</v>
      </c>
      <c r="I255" s="7">
        <f>ROUND(96312.12,2)</f>
        <v>96312.12</v>
      </c>
      <c r="J255" s="6"/>
      <c r="K255" s="6"/>
      <c r="L255" s="6"/>
      <c r="M255" s="6"/>
      <c r="N255" s="7">
        <f>ROUND(1372.42999999999,2)</f>
        <v>1372.43</v>
      </c>
      <c r="O255" s="6"/>
      <c r="P255" s="6"/>
      <c r="Q255" s="7">
        <f>ROUND(246.89,2)</f>
        <v>246.89</v>
      </c>
      <c r="R255" s="6"/>
      <c r="S255" s="6"/>
      <c r="T255" s="6"/>
      <c r="U255" s="6"/>
      <c r="V255" s="7">
        <f>ROUND(4.67,2)</f>
        <v>4.67</v>
      </c>
      <c r="W255" s="7">
        <f>ROUND(25.5099999999999,2)</f>
        <v>25.51</v>
      </c>
      <c r="X255" s="7">
        <f>ROUND(0.18,2)</f>
        <v>0.18</v>
      </c>
      <c r="Y255" s="6"/>
      <c r="Z255" s="7">
        <f>ROUND(0.17,2)</f>
        <v>0.17</v>
      </c>
      <c r="AA255" s="6"/>
      <c r="AB255" s="6"/>
      <c r="AC255" s="6"/>
      <c r="AD255" s="6"/>
      <c r="AE255" s="7">
        <f>ROUND(409.1,2)</f>
        <v>409.1</v>
      </c>
      <c r="AF255" s="6"/>
      <c r="AG255" s="7">
        <f>ROUND(121.22,2)</f>
        <v>121.22</v>
      </c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7">
        <f>ROUND(22.92,2)</f>
        <v>22.92</v>
      </c>
      <c r="AS255" s="6"/>
      <c r="AT255" s="6"/>
      <c r="AU255" s="7">
        <f>ROUND(68,2)</f>
        <v>68</v>
      </c>
      <c r="AV255" s="6"/>
      <c r="AW255" s="7">
        <f>ROUND(40,2)</f>
        <v>40</v>
      </c>
      <c r="AX255" s="6"/>
      <c r="AY255" s="7">
        <f>ROUND(155.91,2)</f>
        <v>155.91</v>
      </c>
      <c r="AZ255" s="7">
        <f>ROUND(44.09,2)</f>
        <v>44.09</v>
      </c>
      <c r="BA255" s="6"/>
      <c r="BB255" s="7">
        <f>ROUND(40,2)</f>
        <v>40</v>
      </c>
      <c r="BC255" s="6"/>
      <c r="BD255" s="7">
        <f t="shared" si="20"/>
        <v>8</v>
      </c>
      <c r="BE255" s="6"/>
      <c r="BF255" s="6"/>
      <c r="BG255" s="7">
        <f>ROUND(52,2)</f>
        <v>52</v>
      </c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7">
        <f>ROUND(47.75,2)</f>
        <v>47.75</v>
      </c>
      <c r="BT255" s="7">
        <f>ROUND(7.42,2)</f>
        <v>7.42</v>
      </c>
      <c r="BU255" s="6"/>
      <c r="BV255" s="6"/>
      <c r="BW255" s="6"/>
      <c r="BX255" s="6"/>
      <c r="BY255" s="6"/>
      <c r="BZ255" s="6"/>
      <c r="CA255" s="7">
        <f>ROUND(19.25,2)</f>
        <v>19.25</v>
      </c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7">
        <f>ROUND(2685.51,2)</f>
        <v>2685.51</v>
      </c>
      <c r="CR255" s="6"/>
      <c r="CS255" s="6"/>
      <c r="CT255" s="6"/>
      <c r="CU255" s="6"/>
      <c r="CV255" s="7">
        <f>ROUND(44895.6499999999,2)</f>
        <v>44895.65</v>
      </c>
      <c r="CW255" s="6"/>
      <c r="CX255" s="6"/>
      <c r="CY255" s="7">
        <f>ROUND(12147.1799999999,2)</f>
        <v>12147.18</v>
      </c>
      <c r="CZ255" s="6"/>
      <c r="DA255" s="6"/>
      <c r="DB255" s="6"/>
      <c r="DC255" s="6"/>
      <c r="DD255" s="7">
        <f>ROUND(155.04,2)</f>
        <v>155.04</v>
      </c>
      <c r="DE255" s="7">
        <f>ROUND(1262.09,2)</f>
        <v>1262.0899999999999</v>
      </c>
      <c r="DF255" s="7">
        <f>ROUND(5.88,2)</f>
        <v>5.88</v>
      </c>
      <c r="DG255" s="6"/>
      <c r="DH255" s="7">
        <f>ROUND(11.24,2)</f>
        <v>11.24</v>
      </c>
      <c r="DI255" s="6"/>
      <c r="DJ255" s="6"/>
      <c r="DK255" s="6"/>
      <c r="DL255" s="6"/>
      <c r="DM255" s="6"/>
      <c r="DN255" s="7">
        <f>ROUND(13128.02,2)</f>
        <v>13128.02</v>
      </c>
      <c r="DO255" s="6"/>
      <c r="DP255" s="7">
        <f>ROUND(5836.06,2)</f>
        <v>5836.06</v>
      </c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7">
        <f>ROUND(1105.95,2)</f>
        <v>1105.95</v>
      </c>
      <c r="EB255" s="6"/>
      <c r="EC255" s="6"/>
      <c r="ED255" s="7">
        <f>ROUND(2220.76,2)</f>
        <v>2220.7600000000002</v>
      </c>
      <c r="EE255" s="6"/>
      <c r="EF255" s="7">
        <f>ROUND(1314.32,2)</f>
        <v>1314.32</v>
      </c>
      <c r="EG255" s="6"/>
      <c r="EH255" s="7">
        <f>ROUND(5088.52,2)</f>
        <v>5088.5200000000004</v>
      </c>
      <c r="EI255" s="7">
        <f>ROUND(2132.49,2)</f>
        <v>2132.4899999999998</v>
      </c>
      <c r="EJ255" s="6"/>
      <c r="EK255" s="7">
        <f>ROUND(1283.6,2)</f>
        <v>1283.5999999999999</v>
      </c>
      <c r="EL255" s="6"/>
      <c r="EM255" s="6"/>
      <c r="EN255" s="7">
        <f>ROUND(256.72,2)</f>
        <v>256.72000000000003</v>
      </c>
      <c r="EO255" s="6"/>
      <c r="EP255" s="6"/>
      <c r="EQ255" s="7">
        <f>ROUND(1718.6,2)</f>
        <v>1718.6</v>
      </c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7">
        <f>ROUND(750,2)</f>
        <v>750</v>
      </c>
      <c r="FK255" s="6"/>
      <c r="FL255" s="6"/>
      <c r="FM255" s="6"/>
      <c r="FN255" s="6"/>
      <c r="FO255" s="6"/>
      <c r="FP255" s="6"/>
      <c r="FQ255" s="6"/>
      <c r="FR255" s="6"/>
      <c r="FS255" s="6"/>
      <c r="FT255" s="7">
        <f t="shared" si="19"/>
        <v>3000</v>
      </c>
      <c r="FU255" s="6"/>
      <c r="FV255" s="6"/>
      <c r="FW255" s="6"/>
      <c r="FX255" s="6"/>
      <c r="FY255" s="7">
        <f>ROUND(96312.12,2)</f>
        <v>96312.12</v>
      </c>
    </row>
    <row r="256" spans="1:181" x14ac:dyDescent="0.3">
      <c r="A256" s="4" t="s">
        <v>619</v>
      </c>
      <c r="B256" s="5" t="s">
        <v>1029</v>
      </c>
      <c r="C256" s="5" t="s">
        <v>181</v>
      </c>
      <c r="D256" s="5" t="s">
        <v>537</v>
      </c>
      <c r="E256" s="5" t="s">
        <v>0</v>
      </c>
      <c r="F256" s="5" t="s">
        <v>0</v>
      </c>
      <c r="G256" s="5" t="s">
        <v>183</v>
      </c>
      <c r="H256" s="8">
        <v>33.380000000000003</v>
      </c>
      <c r="I256" s="7">
        <f>ROUND(83797.1899999999,2)</f>
        <v>83797.19</v>
      </c>
      <c r="J256" s="6"/>
      <c r="K256" s="6"/>
      <c r="L256" s="6"/>
      <c r="M256" s="6"/>
      <c r="N256" s="7">
        <f>ROUND(1470.77999999999,2)</f>
        <v>1470.78</v>
      </c>
      <c r="O256" s="6"/>
      <c r="P256" s="6"/>
      <c r="Q256" s="7">
        <f>ROUND(134.65,2)</f>
        <v>134.65</v>
      </c>
      <c r="R256" s="6"/>
      <c r="S256" s="6"/>
      <c r="T256" s="6"/>
      <c r="U256" s="6"/>
      <c r="V256" s="7">
        <f>ROUND(2.57,2)</f>
        <v>2.57</v>
      </c>
      <c r="W256" s="7">
        <f>ROUND(11.87,2)</f>
        <v>11.87</v>
      </c>
      <c r="X256" s="6"/>
      <c r="Y256" s="6"/>
      <c r="Z256" s="6"/>
      <c r="AA256" s="6"/>
      <c r="AB256" s="6"/>
      <c r="AC256" s="6"/>
      <c r="AD256" s="6"/>
      <c r="AE256" s="7">
        <f>ROUND(80.58,2)</f>
        <v>80.58</v>
      </c>
      <c r="AF256" s="6"/>
      <c r="AG256" s="7">
        <f>ROUND(5.33,2)</f>
        <v>5.33</v>
      </c>
      <c r="AH256" s="6"/>
      <c r="AI256" s="6"/>
      <c r="AJ256" s="6"/>
      <c r="AK256" s="6"/>
      <c r="AL256" s="6"/>
      <c r="AM256" s="6"/>
      <c r="AN256" s="6"/>
      <c r="AO256" s="6"/>
      <c r="AP256" s="7">
        <f>ROUND(300.31,2)</f>
        <v>300.31</v>
      </c>
      <c r="AQ256" s="6"/>
      <c r="AR256" s="7">
        <f>ROUND(18.91,2)</f>
        <v>18.91</v>
      </c>
      <c r="AS256" s="6"/>
      <c r="AT256" s="6"/>
      <c r="AU256" s="7">
        <f>ROUND(68,2)</f>
        <v>68</v>
      </c>
      <c r="AV256" s="7">
        <f>ROUND(8,2)</f>
        <v>8</v>
      </c>
      <c r="AW256" s="7">
        <f>ROUND(30.7,2)</f>
        <v>30.7</v>
      </c>
      <c r="AX256" s="7">
        <f>ROUND(3.3,2)</f>
        <v>3.3</v>
      </c>
      <c r="AY256" s="7">
        <f>ROUND(126.06,2)</f>
        <v>126.06</v>
      </c>
      <c r="AZ256" s="7">
        <f>ROUND(5.93999999999999,2)</f>
        <v>5.94</v>
      </c>
      <c r="BA256" s="6"/>
      <c r="BB256" s="6"/>
      <c r="BC256" s="6"/>
      <c r="BD256" s="7">
        <f t="shared" si="20"/>
        <v>8</v>
      </c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7">
        <f>ROUND(25,2)</f>
        <v>25</v>
      </c>
      <c r="BP256" s="7">
        <f>ROUND(0.5,2)</f>
        <v>0.5</v>
      </c>
      <c r="BQ256" s="7">
        <f>ROUND(20,2)</f>
        <v>20</v>
      </c>
      <c r="BR256" s="6"/>
      <c r="BS256" s="6"/>
      <c r="BT256" s="7">
        <f>ROUND(0.22,2)</f>
        <v>0.22</v>
      </c>
      <c r="BU256" s="6"/>
      <c r="BV256" s="6"/>
      <c r="BW256" s="6"/>
      <c r="BX256" s="6"/>
      <c r="BY256" s="6"/>
      <c r="BZ256" s="6"/>
      <c r="CA256" s="7">
        <f>ROUND(6.08,2)</f>
        <v>6.08</v>
      </c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7">
        <f>ROUND(2326.8,2)</f>
        <v>2326.8000000000002</v>
      </c>
      <c r="CR256" s="6"/>
      <c r="CS256" s="6"/>
      <c r="CT256" s="6"/>
      <c r="CU256" s="6"/>
      <c r="CV256" s="7">
        <f>ROUND(48068.7599999999,2)</f>
        <v>48068.76</v>
      </c>
      <c r="CW256" s="6"/>
      <c r="CX256" s="6"/>
      <c r="CY256" s="7">
        <f>ROUND(6566.09999999999,2)</f>
        <v>6566.1</v>
      </c>
      <c r="CZ256" s="6"/>
      <c r="DA256" s="6"/>
      <c r="DB256" s="6"/>
      <c r="DC256" s="6"/>
      <c r="DD256" s="7">
        <f>ROUND(82.47,2)</f>
        <v>82.47</v>
      </c>
      <c r="DE256" s="7">
        <f>ROUND(580.72,2)</f>
        <v>580.72</v>
      </c>
      <c r="DF256" s="6"/>
      <c r="DG256" s="6"/>
      <c r="DH256" s="6"/>
      <c r="DI256" s="6"/>
      <c r="DJ256" s="6"/>
      <c r="DK256" s="6"/>
      <c r="DL256" s="6"/>
      <c r="DM256" s="6"/>
      <c r="DN256" s="7">
        <f>ROUND(2626.71,2)</f>
        <v>2626.71</v>
      </c>
      <c r="DO256" s="6"/>
      <c r="DP256" s="7">
        <f>ROUND(258.79,2)</f>
        <v>258.79000000000002</v>
      </c>
      <c r="DQ256" s="6"/>
      <c r="DR256" s="6"/>
      <c r="DS256" s="6"/>
      <c r="DT256" s="6"/>
      <c r="DU256" s="6"/>
      <c r="DV256" s="6"/>
      <c r="DW256" s="6"/>
      <c r="DX256" s="6"/>
      <c r="DY256" s="7">
        <f>ROUND(9741.63,2)</f>
        <v>9741.6299999999992</v>
      </c>
      <c r="DZ256" s="6"/>
      <c r="EA256" s="7">
        <f>ROUND(910.24,2)</f>
        <v>910.24</v>
      </c>
      <c r="EB256" s="6"/>
      <c r="EC256" s="6"/>
      <c r="ED256" s="7">
        <f>ROUND(2210.38,2)</f>
        <v>2210.38</v>
      </c>
      <c r="EE256" s="7">
        <f>ROUND(396.64,2)</f>
        <v>396.64</v>
      </c>
      <c r="EF256" s="7">
        <f>ROUND(985.16,2)</f>
        <v>985.16</v>
      </c>
      <c r="EG256" s="7">
        <f>ROUND(158.85,2)</f>
        <v>158.85</v>
      </c>
      <c r="EH256" s="7">
        <f>ROUND(4149.01,2)</f>
        <v>4149.01</v>
      </c>
      <c r="EI256" s="7">
        <f>ROUND(294.47,2)</f>
        <v>294.47000000000003</v>
      </c>
      <c r="EJ256" s="6"/>
      <c r="EK256" s="6"/>
      <c r="EL256" s="6"/>
      <c r="EM256" s="6"/>
      <c r="EN256" s="7">
        <f>ROUND(256.72,2)</f>
        <v>256.72000000000003</v>
      </c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7">
        <f>ROUND(821.45,2)</f>
        <v>821.45</v>
      </c>
      <c r="FC256" s="7">
        <f>ROUND(24.79,2)</f>
        <v>24.79</v>
      </c>
      <c r="FD256" s="7">
        <f>ROUND(664.3,2)</f>
        <v>664.3</v>
      </c>
      <c r="FE256" s="6"/>
      <c r="FF256" s="6"/>
      <c r="FG256" s="6"/>
      <c r="FH256" s="6"/>
      <c r="FI256" s="6"/>
      <c r="FJ256" s="7">
        <f>ROUND(2000,2)</f>
        <v>2000</v>
      </c>
      <c r="FK256" s="6"/>
      <c r="FL256" s="6"/>
      <c r="FM256" s="6"/>
      <c r="FN256" s="6"/>
      <c r="FO256" s="6"/>
      <c r="FP256" s="6"/>
      <c r="FQ256" s="6"/>
      <c r="FR256" s="6"/>
      <c r="FS256" s="6"/>
      <c r="FT256" s="7">
        <f t="shared" si="19"/>
        <v>3000</v>
      </c>
      <c r="FU256" s="6"/>
      <c r="FV256" s="6"/>
      <c r="FW256" s="6"/>
      <c r="FX256" s="6"/>
      <c r="FY256" s="7">
        <f>ROUND(83797.1899999999,2)</f>
        <v>83797.19</v>
      </c>
    </row>
    <row r="257" spans="1:181" x14ac:dyDescent="0.3">
      <c r="A257" s="4" t="s">
        <v>626</v>
      </c>
      <c r="B257" s="5" t="s">
        <v>1029</v>
      </c>
      <c r="C257" s="5" t="s">
        <v>181</v>
      </c>
      <c r="D257" s="5" t="s">
        <v>627</v>
      </c>
      <c r="E257" s="5" t="s">
        <v>0</v>
      </c>
      <c r="F257" s="5" t="s">
        <v>0</v>
      </c>
      <c r="G257" s="5" t="s">
        <v>183</v>
      </c>
      <c r="H257" s="8">
        <v>33.880000000000003</v>
      </c>
      <c r="I257" s="7">
        <f>ROUND(85465.19,2)</f>
        <v>85465.19</v>
      </c>
      <c r="J257" s="6"/>
      <c r="K257" s="6"/>
      <c r="L257" s="6"/>
      <c r="M257" s="6"/>
      <c r="N257" s="7">
        <f>ROUND(1708.36,2)</f>
        <v>1708.36</v>
      </c>
      <c r="O257" s="6"/>
      <c r="P257" s="6"/>
      <c r="Q257" s="7">
        <f>ROUND(180.879999999999,2)</f>
        <v>180.88</v>
      </c>
      <c r="R257" s="6"/>
      <c r="S257" s="6"/>
      <c r="T257" s="6"/>
      <c r="U257" s="6"/>
      <c r="V257" s="7">
        <f>ROUND(24.25,2)</f>
        <v>24.25</v>
      </c>
      <c r="W257" s="7">
        <f>ROUND(27.73,2)</f>
        <v>27.73</v>
      </c>
      <c r="X257" s="7">
        <f>ROUND(5.32,2)</f>
        <v>5.32</v>
      </c>
      <c r="Y257" s="7">
        <f>ROUND(0.07,2)</f>
        <v>7.0000000000000007E-2</v>
      </c>
      <c r="Z257" s="6"/>
      <c r="AA257" s="7">
        <f>ROUND(0.83,2)</f>
        <v>0.83</v>
      </c>
      <c r="AB257" s="6"/>
      <c r="AC257" s="6"/>
      <c r="AD257" s="6"/>
      <c r="AE257" s="7">
        <f>ROUND(10,2)</f>
        <v>10</v>
      </c>
      <c r="AF257" s="6"/>
      <c r="AG257" s="7">
        <f>ROUND(4,2)</f>
        <v>4</v>
      </c>
      <c r="AH257" s="6"/>
      <c r="AI257" s="6"/>
      <c r="AJ257" s="6"/>
      <c r="AK257" s="6"/>
      <c r="AL257" s="6"/>
      <c r="AM257" s="6"/>
      <c r="AN257" s="6"/>
      <c r="AO257" s="6"/>
      <c r="AP257" s="7">
        <f>ROUND(72.82,2)</f>
        <v>72.819999999999993</v>
      </c>
      <c r="AQ257" s="6"/>
      <c r="AR257" s="7">
        <f>ROUND(64.02,2)</f>
        <v>64.02</v>
      </c>
      <c r="AS257" s="6"/>
      <c r="AT257" s="6"/>
      <c r="AU257" s="7">
        <f>ROUND(70,2)</f>
        <v>70</v>
      </c>
      <c r="AV257" s="6"/>
      <c r="AW257" s="7">
        <f>ROUND(31.33,2)</f>
        <v>31.33</v>
      </c>
      <c r="AX257" s="7">
        <f>ROUND(0.67,2)</f>
        <v>0.67</v>
      </c>
      <c r="AY257" s="7">
        <f>ROUND(80,2)</f>
        <v>80</v>
      </c>
      <c r="AZ257" s="6"/>
      <c r="BA257" s="6"/>
      <c r="BB257" s="7">
        <f>ROUND(32,2)</f>
        <v>32</v>
      </c>
      <c r="BC257" s="6"/>
      <c r="BD257" s="7">
        <f t="shared" si="20"/>
        <v>8</v>
      </c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7">
        <f>ROUND(24,2)</f>
        <v>24</v>
      </c>
      <c r="BT257" s="7">
        <f>ROUND(2.69,2)</f>
        <v>2.69</v>
      </c>
      <c r="BU257" s="7">
        <f>ROUND(55.16,2)</f>
        <v>55.16</v>
      </c>
      <c r="BV257" s="7">
        <f>ROUND(8,2)</f>
        <v>8</v>
      </c>
      <c r="BW257" s="6"/>
      <c r="BX257" s="7">
        <f>ROUND(24,2)</f>
        <v>24</v>
      </c>
      <c r="BY257" s="7">
        <f>ROUND(8,2)</f>
        <v>8</v>
      </c>
      <c r="BZ257" s="6"/>
      <c r="CA257" s="7">
        <f>ROUND(29.33,2)</f>
        <v>29.33</v>
      </c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7">
        <f>ROUND(2471.45999999999,2)</f>
        <v>2471.46</v>
      </c>
      <c r="CR257" s="6"/>
      <c r="CS257" s="6"/>
      <c r="CT257" s="6"/>
      <c r="CU257" s="6"/>
      <c r="CV257" s="7">
        <f>ROUND(55563.56,2)</f>
        <v>55563.56</v>
      </c>
      <c r="CW257" s="6"/>
      <c r="CX257" s="6"/>
      <c r="CY257" s="7">
        <f>ROUND(8885.26,2)</f>
        <v>8885.26</v>
      </c>
      <c r="CZ257" s="6"/>
      <c r="DA257" s="6"/>
      <c r="DB257" s="6"/>
      <c r="DC257" s="6"/>
      <c r="DD257" s="7">
        <f>ROUND(795.79,2)</f>
        <v>795.79</v>
      </c>
      <c r="DE257" s="7">
        <f>ROUND(1352.7,2)</f>
        <v>1352.7</v>
      </c>
      <c r="DF257" s="7">
        <f>ROUND(170.74,2)</f>
        <v>170.74</v>
      </c>
      <c r="DG257" s="7">
        <f>ROUND(3.37,2)</f>
        <v>3.37</v>
      </c>
      <c r="DH257" s="6"/>
      <c r="DI257" s="6"/>
      <c r="DJ257" s="7">
        <f>ROUND(26.63,2)</f>
        <v>26.63</v>
      </c>
      <c r="DK257" s="6"/>
      <c r="DL257" s="6"/>
      <c r="DM257" s="6"/>
      <c r="DN257" s="7">
        <f>ROUND(337.1,2)</f>
        <v>337.1</v>
      </c>
      <c r="DO257" s="6"/>
      <c r="DP257" s="7">
        <f>ROUND(192.54,2)</f>
        <v>192.54</v>
      </c>
      <c r="DQ257" s="6"/>
      <c r="DR257" s="6"/>
      <c r="DS257" s="6"/>
      <c r="DT257" s="6"/>
      <c r="DU257" s="6"/>
      <c r="DV257" s="6"/>
      <c r="DW257" s="6"/>
      <c r="DX257" s="6"/>
      <c r="DY257" s="7">
        <f>ROUND(2438.5,2)</f>
        <v>2438.5</v>
      </c>
      <c r="DZ257" s="6"/>
      <c r="EA257" s="7">
        <f>ROUND(3137.27999999999,2)</f>
        <v>3137.28</v>
      </c>
      <c r="EB257" s="6"/>
      <c r="EC257" s="6"/>
      <c r="ED257" s="7">
        <f>ROUND(2285.54,2)</f>
        <v>2285.54</v>
      </c>
      <c r="EE257" s="6"/>
      <c r="EF257" s="7">
        <f>ROUND(1020.74,2)</f>
        <v>1020.74</v>
      </c>
      <c r="EG257" s="7">
        <f>ROUND(32.25,2)</f>
        <v>32.25</v>
      </c>
      <c r="EH257" s="7">
        <f>ROUND(2644,2)</f>
        <v>2644</v>
      </c>
      <c r="EI257" s="6"/>
      <c r="EJ257" s="6"/>
      <c r="EK257" s="7">
        <f>ROUND(1026.88,2)</f>
        <v>1026.8800000000001</v>
      </c>
      <c r="EL257" s="6"/>
      <c r="EM257" s="6"/>
      <c r="EN257" s="7">
        <f>ROUND(256.72,2)</f>
        <v>256.72000000000003</v>
      </c>
      <c r="EO257" s="6"/>
      <c r="EP257" s="6"/>
      <c r="EQ257" s="6"/>
      <c r="ER257" s="7">
        <f>ROUND(324.55,2)</f>
        <v>324.55</v>
      </c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7">
        <f>ROUND(1521.04,2)</f>
        <v>1521.04</v>
      </c>
      <c r="FG257" s="6"/>
      <c r="FH257" s="6"/>
      <c r="FI257" s="6"/>
      <c r="FJ257" s="7">
        <f>ROUND(450,2)</f>
        <v>450</v>
      </c>
      <c r="FK257" s="6"/>
      <c r="FL257" s="6"/>
      <c r="FM257" s="6"/>
      <c r="FN257" s="6"/>
      <c r="FO257" s="6"/>
      <c r="FP257" s="6"/>
      <c r="FQ257" s="6"/>
      <c r="FR257" s="6"/>
      <c r="FS257" s="6"/>
      <c r="FT257" s="7">
        <f t="shared" si="19"/>
        <v>3000</v>
      </c>
      <c r="FU257" s="6"/>
      <c r="FV257" s="6"/>
      <c r="FW257" s="6"/>
      <c r="FX257" s="6"/>
      <c r="FY257" s="7">
        <f>ROUND(85465.19,2)</f>
        <v>85465.19</v>
      </c>
    </row>
    <row r="258" spans="1:181" x14ac:dyDescent="0.3">
      <c r="A258" s="4" t="s">
        <v>628</v>
      </c>
      <c r="B258" s="5" t="s">
        <v>1029</v>
      </c>
      <c r="C258" s="5" t="s">
        <v>181</v>
      </c>
      <c r="D258" s="5" t="s">
        <v>415</v>
      </c>
      <c r="E258" s="5" t="s">
        <v>0</v>
      </c>
      <c r="F258" s="5" t="s">
        <v>0</v>
      </c>
      <c r="G258" s="5" t="s">
        <v>183</v>
      </c>
      <c r="H258" s="8">
        <v>33.380000000000003</v>
      </c>
      <c r="I258" s="7">
        <f>ROUND(86419.7399999999,2)</f>
        <v>86419.74</v>
      </c>
      <c r="J258" s="6"/>
      <c r="K258" s="6"/>
      <c r="L258" s="6"/>
      <c r="M258" s="6"/>
      <c r="N258" s="7">
        <f>ROUND(1673.21,2)</f>
        <v>1673.21</v>
      </c>
      <c r="O258" s="6"/>
      <c r="P258" s="6"/>
      <c r="Q258" s="7">
        <f>ROUND(209.13,2)</f>
        <v>209.13</v>
      </c>
      <c r="R258" s="6"/>
      <c r="S258" s="6"/>
      <c r="T258" s="6"/>
      <c r="U258" s="6"/>
      <c r="V258" s="7">
        <f>ROUND(12.17,2)</f>
        <v>12.17</v>
      </c>
      <c r="W258" s="7">
        <f>ROUND(4.38,2)</f>
        <v>4.38</v>
      </c>
      <c r="X258" s="7">
        <f>ROUND(1.38,2)</f>
        <v>1.38</v>
      </c>
      <c r="Y258" s="6"/>
      <c r="Z258" s="6"/>
      <c r="AA258" s="6"/>
      <c r="AB258" s="6"/>
      <c r="AC258" s="6"/>
      <c r="AD258" s="6"/>
      <c r="AE258" s="7">
        <f>ROUND(100.49,2)</f>
        <v>100.49</v>
      </c>
      <c r="AF258" s="6"/>
      <c r="AG258" s="7">
        <f>ROUND(7.33,2)</f>
        <v>7.33</v>
      </c>
      <c r="AH258" s="6"/>
      <c r="AI258" s="6"/>
      <c r="AJ258" s="6"/>
      <c r="AK258" s="6"/>
      <c r="AL258" s="6"/>
      <c r="AM258" s="6"/>
      <c r="AN258" s="6"/>
      <c r="AO258" s="6"/>
      <c r="AP258" s="7">
        <f>ROUND(212.2,2)</f>
        <v>212.2</v>
      </c>
      <c r="AQ258" s="6"/>
      <c r="AR258" s="7">
        <f>ROUND(10.26,2)</f>
        <v>10.26</v>
      </c>
      <c r="AS258" s="6"/>
      <c r="AT258" s="6"/>
      <c r="AU258" s="7">
        <f>ROUND(70,2)</f>
        <v>70</v>
      </c>
      <c r="AV258" s="6"/>
      <c r="AW258" s="7">
        <f>ROUND(11.8399999999999,2)</f>
        <v>11.84</v>
      </c>
      <c r="AX258" s="7">
        <f>ROUND(20.16,2)</f>
        <v>20.16</v>
      </c>
      <c r="AY258" s="7">
        <f>ROUND(30,2)</f>
        <v>30</v>
      </c>
      <c r="AZ258" s="6"/>
      <c r="BA258" s="6"/>
      <c r="BB258" s="7">
        <f>ROUND(16,2)</f>
        <v>16</v>
      </c>
      <c r="BC258" s="6"/>
      <c r="BD258" s="7">
        <f t="shared" si="20"/>
        <v>8</v>
      </c>
      <c r="BE258" s="7">
        <f>ROUND(0.92,2)</f>
        <v>0.92</v>
      </c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7">
        <f>ROUND(0.36,2)</f>
        <v>0.36</v>
      </c>
      <c r="BU258" s="6"/>
      <c r="BV258" s="6"/>
      <c r="BW258" s="6"/>
      <c r="BX258" s="6"/>
      <c r="BY258" s="7">
        <f>ROUND(16,2)</f>
        <v>16</v>
      </c>
      <c r="BZ258" s="6"/>
      <c r="CA258" s="7">
        <f>ROUND(8,2)</f>
        <v>8</v>
      </c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7">
        <f>ROUND(2411.82999999999,2)</f>
        <v>2411.83</v>
      </c>
      <c r="CR258" s="6"/>
      <c r="CS258" s="6"/>
      <c r="CT258" s="6"/>
      <c r="CU258" s="6"/>
      <c r="CV258" s="7">
        <f>ROUND(54850.34,2)</f>
        <v>54850.34</v>
      </c>
      <c r="CW258" s="6"/>
      <c r="CX258" s="6"/>
      <c r="CY258" s="7">
        <f>ROUND(10308.1,2)</f>
        <v>10308.1</v>
      </c>
      <c r="CZ258" s="6"/>
      <c r="DA258" s="6"/>
      <c r="DB258" s="6"/>
      <c r="DC258" s="6"/>
      <c r="DD258" s="7">
        <f>ROUND(390.54,2)</f>
        <v>390.54</v>
      </c>
      <c r="DE258" s="7">
        <f>ROUND(210.83,2)</f>
        <v>210.83</v>
      </c>
      <c r="DF258" s="7">
        <f>ROUND(44.28,2)</f>
        <v>44.28</v>
      </c>
      <c r="DG258" s="6"/>
      <c r="DH258" s="6"/>
      <c r="DI258" s="6"/>
      <c r="DJ258" s="6"/>
      <c r="DK258" s="6"/>
      <c r="DL258" s="6"/>
      <c r="DM258" s="6"/>
      <c r="DN258" s="7">
        <f>ROUND(3229.53,2)</f>
        <v>3229.53</v>
      </c>
      <c r="DO258" s="6"/>
      <c r="DP258" s="7">
        <f>ROUND(353.679999999999,2)</f>
        <v>353.68</v>
      </c>
      <c r="DQ258" s="6"/>
      <c r="DR258" s="6"/>
      <c r="DS258" s="6"/>
      <c r="DT258" s="6"/>
      <c r="DU258" s="6"/>
      <c r="DV258" s="6"/>
      <c r="DW258" s="6"/>
      <c r="DX258" s="6"/>
      <c r="DY258" s="7">
        <f>ROUND(6851.74,2)</f>
        <v>6851.74</v>
      </c>
      <c r="DZ258" s="6"/>
      <c r="EA258" s="7">
        <f>ROUND(495.88,2)</f>
        <v>495.88</v>
      </c>
      <c r="EB258" s="6"/>
      <c r="EC258" s="6"/>
      <c r="ED258" s="7">
        <f>ROUND(2281.58,2)</f>
        <v>2281.58</v>
      </c>
      <c r="EE258" s="6"/>
      <c r="EF258" s="7">
        <f>ROUND(383.62,2)</f>
        <v>383.62</v>
      </c>
      <c r="EG258" s="7">
        <f>ROUND(999.42,2)</f>
        <v>999.42</v>
      </c>
      <c r="EH258" s="7">
        <f>ROUND(962.699999999999,2)</f>
        <v>962.7</v>
      </c>
      <c r="EI258" s="6"/>
      <c r="EJ258" s="6"/>
      <c r="EK258" s="7">
        <f>ROUND(521.12,2)</f>
        <v>521.12</v>
      </c>
      <c r="EL258" s="6"/>
      <c r="EM258" s="6"/>
      <c r="EN258" s="7">
        <f>ROUND(256.72,2)</f>
        <v>256.72000000000003</v>
      </c>
      <c r="EO258" s="7">
        <f>ROUND(29.66,2)</f>
        <v>29.66</v>
      </c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7">
        <f>ROUND(1250,2)</f>
        <v>1250</v>
      </c>
      <c r="FK258" s="6"/>
      <c r="FL258" s="6"/>
      <c r="FM258" s="6"/>
      <c r="FN258" s="6"/>
      <c r="FO258" s="6"/>
      <c r="FP258" s="6"/>
      <c r="FQ258" s="6"/>
      <c r="FR258" s="6"/>
      <c r="FS258" s="6"/>
      <c r="FT258" s="7">
        <f t="shared" si="19"/>
        <v>3000</v>
      </c>
      <c r="FU258" s="6"/>
      <c r="FV258" s="6"/>
      <c r="FW258" s="6"/>
      <c r="FX258" s="6"/>
      <c r="FY258" s="7">
        <f>ROUND(86419.7399999999,2)</f>
        <v>86419.74</v>
      </c>
    </row>
    <row r="259" spans="1:181" x14ac:dyDescent="0.3">
      <c r="A259" s="4" t="s">
        <v>630</v>
      </c>
      <c r="B259" s="5" t="s">
        <v>1029</v>
      </c>
      <c r="C259" s="5" t="s">
        <v>181</v>
      </c>
      <c r="D259" s="5" t="s">
        <v>194</v>
      </c>
      <c r="E259" s="5" t="s">
        <v>0</v>
      </c>
      <c r="F259" s="5" t="s">
        <v>0</v>
      </c>
      <c r="G259" s="5" t="s">
        <v>183</v>
      </c>
      <c r="H259" s="8">
        <v>33.380000000000003</v>
      </c>
      <c r="I259" s="7">
        <f>ROUND(75522.5399999999,2)</f>
        <v>75522.539999999994</v>
      </c>
      <c r="J259" s="6"/>
      <c r="K259" s="6"/>
      <c r="L259" s="6"/>
      <c r="M259" s="6"/>
      <c r="N259" s="7">
        <f>ROUND(1849.79999999999,2)</f>
        <v>1849.8</v>
      </c>
      <c r="O259" s="6"/>
      <c r="P259" s="6"/>
      <c r="Q259" s="7">
        <f>ROUND(103.44,2)</f>
        <v>103.44</v>
      </c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7">
        <f>ROUND(68,2)</f>
        <v>68</v>
      </c>
      <c r="AV259" s="6"/>
      <c r="AW259" s="7">
        <f>ROUND(32,2)</f>
        <v>32</v>
      </c>
      <c r="AX259" s="6"/>
      <c r="AY259" s="7">
        <f>ROUND(57.98,2)</f>
        <v>57.98</v>
      </c>
      <c r="AZ259" s="7">
        <f>ROUND(6.02,2)</f>
        <v>6.02</v>
      </c>
      <c r="BA259" s="6"/>
      <c r="BB259" s="6"/>
      <c r="BC259" s="6"/>
      <c r="BD259" s="7">
        <f t="shared" si="20"/>
        <v>8</v>
      </c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7">
        <f>ROUND(8,2)</f>
        <v>8</v>
      </c>
      <c r="BT259" s="7">
        <f>ROUND(3.17,2)</f>
        <v>3.17</v>
      </c>
      <c r="BU259" s="6"/>
      <c r="BV259" s="6"/>
      <c r="BW259" s="6"/>
      <c r="BX259" s="6"/>
      <c r="BY259" s="7">
        <f>ROUND(40,2)</f>
        <v>40</v>
      </c>
      <c r="BZ259" s="6"/>
      <c r="CA259" s="7">
        <f>ROUND(80,2)</f>
        <v>80</v>
      </c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7">
        <f>ROUND(16,2)</f>
        <v>16</v>
      </c>
      <c r="CQ259" s="7">
        <f>ROUND(2272.40999999999,2)</f>
        <v>2272.41</v>
      </c>
      <c r="CR259" s="6"/>
      <c r="CS259" s="6"/>
      <c r="CT259" s="6"/>
      <c r="CU259" s="6"/>
      <c r="CV259" s="7">
        <f>ROUND(60532.65,2)</f>
        <v>60532.65</v>
      </c>
      <c r="CW259" s="6"/>
      <c r="CX259" s="6"/>
      <c r="CY259" s="7">
        <f>ROUND(5066.54,2)</f>
        <v>5066.54</v>
      </c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7">
        <f>ROUND(2215.48,2)</f>
        <v>2215.48</v>
      </c>
      <c r="EE259" s="6"/>
      <c r="EF259" s="7">
        <f>ROUND(1057.6,2)</f>
        <v>1057.5999999999999</v>
      </c>
      <c r="EG259" s="6"/>
      <c r="EH259" s="7">
        <f>ROUND(1892.42,2)</f>
        <v>1892.42</v>
      </c>
      <c r="EI259" s="7">
        <f>ROUND(292.05,2)</f>
        <v>292.05</v>
      </c>
      <c r="EJ259" s="6"/>
      <c r="EK259" s="6"/>
      <c r="EL259" s="6"/>
      <c r="EM259" s="6"/>
      <c r="EN259" s="7">
        <f>ROUND(256.72,2)</f>
        <v>256.72000000000003</v>
      </c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7">
        <f>ROUND(675,2)</f>
        <v>675</v>
      </c>
      <c r="FK259" s="6"/>
      <c r="FL259" s="6"/>
      <c r="FM259" s="6"/>
      <c r="FN259" s="6"/>
      <c r="FO259" s="6"/>
      <c r="FP259" s="6"/>
      <c r="FQ259" s="6"/>
      <c r="FR259" s="6"/>
      <c r="FS259" s="6"/>
      <c r="FT259" s="7">
        <f t="shared" si="19"/>
        <v>3000</v>
      </c>
      <c r="FU259" s="6"/>
      <c r="FV259" s="6"/>
      <c r="FW259" s="6"/>
      <c r="FX259" s="7">
        <f>ROUND(534.08,2)</f>
        <v>534.08000000000004</v>
      </c>
      <c r="FY259" s="7">
        <f>ROUND(75522.5399999999,2)</f>
        <v>75522.539999999994</v>
      </c>
    </row>
    <row r="260" spans="1:181" x14ac:dyDescent="0.3">
      <c r="A260" s="4" t="s">
        <v>634</v>
      </c>
      <c r="B260" s="5" t="s">
        <v>1029</v>
      </c>
      <c r="C260" s="5" t="s">
        <v>181</v>
      </c>
      <c r="D260" s="5" t="s">
        <v>390</v>
      </c>
      <c r="E260" s="5" t="s">
        <v>0</v>
      </c>
      <c r="F260" s="5" t="s">
        <v>0</v>
      </c>
      <c r="G260" s="5" t="s">
        <v>183</v>
      </c>
      <c r="H260" s="9">
        <v>33.380000000000003</v>
      </c>
      <c r="I260" s="7">
        <f>ROUND(80727.5799999999,2)</f>
        <v>80727.58</v>
      </c>
      <c r="J260" s="6"/>
      <c r="K260" s="6"/>
      <c r="L260" s="6"/>
      <c r="M260" s="6"/>
      <c r="N260" s="7">
        <f>ROUND(915.689999999999,2)</f>
        <v>915.69</v>
      </c>
      <c r="O260" s="6"/>
      <c r="P260" s="6"/>
      <c r="Q260" s="7">
        <f>ROUND(114.1,2)</f>
        <v>114.1</v>
      </c>
      <c r="R260" s="6"/>
      <c r="S260" s="6"/>
      <c r="T260" s="6"/>
      <c r="U260" s="6"/>
      <c r="V260" s="7">
        <f>ROUND(47.25,2)</f>
        <v>47.25</v>
      </c>
      <c r="W260" s="7">
        <f>ROUND(0.97,2)</f>
        <v>0.97</v>
      </c>
      <c r="X260" s="6"/>
      <c r="Y260" s="6"/>
      <c r="Z260" s="6"/>
      <c r="AA260" s="6"/>
      <c r="AB260" s="6"/>
      <c r="AC260" s="6"/>
      <c r="AD260" s="6"/>
      <c r="AE260" s="7">
        <f>ROUND(310.76,2)</f>
        <v>310.76</v>
      </c>
      <c r="AF260" s="6"/>
      <c r="AG260" s="7">
        <f>ROUND(49.1099999999999,2)</f>
        <v>49.11</v>
      </c>
      <c r="AH260" s="6"/>
      <c r="AI260" s="6"/>
      <c r="AJ260" s="6"/>
      <c r="AK260" s="6"/>
      <c r="AL260" s="6"/>
      <c r="AM260" s="6"/>
      <c r="AN260" s="6"/>
      <c r="AO260" s="6"/>
      <c r="AP260" s="7">
        <f>ROUND(606.36,2)</f>
        <v>606.36</v>
      </c>
      <c r="AQ260" s="6"/>
      <c r="AR260" s="7">
        <f>ROUND(51.94,2)</f>
        <v>51.94</v>
      </c>
      <c r="AS260" s="6"/>
      <c r="AT260" s="6"/>
      <c r="AU260" s="7">
        <f>ROUND(72,2)</f>
        <v>72</v>
      </c>
      <c r="AV260" s="7">
        <f>ROUND(0.23,2)</f>
        <v>0.23</v>
      </c>
      <c r="AW260" s="7">
        <f>ROUND(43.7699999999999,2)</f>
        <v>43.77</v>
      </c>
      <c r="AX260" s="6"/>
      <c r="AY260" s="7">
        <f>ROUND(44,2)</f>
        <v>44</v>
      </c>
      <c r="AZ260" s="6"/>
      <c r="BA260" s="6"/>
      <c r="BB260" s="7">
        <f>ROUND(16,2)</f>
        <v>16</v>
      </c>
      <c r="BC260" s="6"/>
      <c r="BD260" s="7">
        <f t="shared" si="20"/>
        <v>8</v>
      </c>
      <c r="BE260" s="7">
        <f>ROUND(1.07,2)</f>
        <v>1.07</v>
      </c>
      <c r="BF260" s="6"/>
      <c r="BG260" s="6"/>
      <c r="BH260" s="6"/>
      <c r="BI260" s="6"/>
      <c r="BJ260" s="6"/>
      <c r="BK260" s="6"/>
      <c r="BL260" s="6"/>
      <c r="BM260" s="6"/>
      <c r="BN260" s="6"/>
      <c r="BO260" s="7">
        <f>ROUND(10.72,2)</f>
        <v>10.72</v>
      </c>
      <c r="BP260" s="6"/>
      <c r="BQ260" s="7">
        <f>ROUND(16,2)</f>
        <v>16</v>
      </c>
      <c r="BR260" s="6"/>
      <c r="BS260" s="6"/>
      <c r="BT260" s="7">
        <f>ROUND(4.57,2)</f>
        <v>4.57</v>
      </c>
      <c r="BU260" s="6"/>
      <c r="BV260" s="6"/>
      <c r="BW260" s="6"/>
      <c r="BX260" s="6"/>
      <c r="BY260" s="7">
        <f>ROUND(26,2)</f>
        <v>26</v>
      </c>
      <c r="BZ260" s="6"/>
      <c r="CA260" s="7">
        <f>ROUND(18,2)</f>
        <v>18</v>
      </c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7">
        <f>ROUND(2356.54,2)</f>
        <v>2356.54</v>
      </c>
      <c r="CR260" s="6"/>
      <c r="CS260" s="6"/>
      <c r="CT260" s="6"/>
      <c r="CU260" s="6"/>
      <c r="CV260" s="7">
        <f>ROUND(29054.9799999999,2)</f>
        <v>29054.98</v>
      </c>
      <c r="CW260" s="6"/>
      <c r="CX260" s="6"/>
      <c r="CY260" s="7">
        <f>ROUND(5523.34999999999,2)</f>
        <v>5523.35</v>
      </c>
      <c r="CZ260" s="6"/>
      <c r="DA260" s="6"/>
      <c r="DB260" s="6"/>
      <c r="DC260" s="6"/>
      <c r="DD260" s="7">
        <f>ROUND(1470.85,2)</f>
        <v>1470.85</v>
      </c>
      <c r="DE260" s="7">
        <f>ROUND(44.36,2)</f>
        <v>44.36</v>
      </c>
      <c r="DF260" s="6"/>
      <c r="DG260" s="6"/>
      <c r="DH260" s="6"/>
      <c r="DI260" s="6"/>
      <c r="DJ260" s="6"/>
      <c r="DK260" s="6"/>
      <c r="DL260" s="6"/>
      <c r="DM260" s="6"/>
      <c r="DN260" s="7">
        <f>ROUND(9950.13,2)</f>
        <v>9950.1299999999992</v>
      </c>
      <c r="DO260" s="6"/>
      <c r="DP260" s="7">
        <f>ROUND(2342.93,2)</f>
        <v>2342.9299999999998</v>
      </c>
      <c r="DQ260" s="6"/>
      <c r="DR260" s="6"/>
      <c r="DS260" s="6"/>
      <c r="DT260" s="6"/>
      <c r="DU260" s="6"/>
      <c r="DV260" s="6"/>
      <c r="DW260" s="6"/>
      <c r="DX260" s="6"/>
      <c r="DY260" s="7">
        <f>ROUND(19200.8099999999,2)</f>
        <v>19200.810000000001</v>
      </c>
      <c r="DZ260" s="6"/>
      <c r="EA260" s="7">
        <f>ROUND(2400.41,2)</f>
        <v>2400.41</v>
      </c>
      <c r="EB260" s="6"/>
      <c r="EC260" s="6"/>
      <c r="ED260" s="7">
        <f>ROUND(2236.26,2)</f>
        <v>2236.2600000000002</v>
      </c>
      <c r="EE260" s="7">
        <f>ROUND(7.01,2)</f>
        <v>7.01</v>
      </c>
      <c r="EF260" s="7">
        <f>ROUND(1383.92999999999,2)</f>
        <v>1383.93</v>
      </c>
      <c r="EG260" s="6"/>
      <c r="EH260" s="7">
        <f>ROUND(1373.44,2)</f>
        <v>1373.44</v>
      </c>
      <c r="EI260" s="6"/>
      <c r="EJ260" s="6"/>
      <c r="EK260" s="7">
        <f>ROUND(487.84,2)</f>
        <v>487.84</v>
      </c>
      <c r="EL260" s="6"/>
      <c r="EM260" s="6"/>
      <c r="EN260" s="7">
        <f>ROUND(243.92,2)</f>
        <v>243.92</v>
      </c>
      <c r="EO260" s="7">
        <f>ROUND(32.62,2)</f>
        <v>32.619999999999997</v>
      </c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7">
        <f>ROUND(354.3,2)</f>
        <v>354.3</v>
      </c>
      <c r="FC260" s="6"/>
      <c r="FD260" s="7">
        <f>ROUND(495.439999999999,2)</f>
        <v>495.44</v>
      </c>
      <c r="FE260" s="6"/>
      <c r="FF260" s="6"/>
      <c r="FG260" s="6"/>
      <c r="FH260" s="6"/>
      <c r="FI260" s="6"/>
      <c r="FJ260" s="7">
        <f>ROUND(1125,2)</f>
        <v>1125</v>
      </c>
      <c r="FK260" s="6"/>
      <c r="FL260" s="6"/>
      <c r="FM260" s="6"/>
      <c r="FN260" s="6"/>
      <c r="FO260" s="6"/>
      <c r="FP260" s="6"/>
      <c r="FQ260" s="6"/>
      <c r="FR260" s="6"/>
      <c r="FS260" s="6"/>
      <c r="FT260" s="7">
        <f t="shared" si="19"/>
        <v>3000</v>
      </c>
      <c r="FU260" s="6"/>
      <c r="FV260" s="6"/>
      <c r="FW260" s="6"/>
      <c r="FX260" s="6"/>
      <c r="FY260" s="7">
        <f>ROUND(80727.5799999999,2)</f>
        <v>80727.58</v>
      </c>
    </row>
    <row r="261" spans="1:181" x14ac:dyDescent="0.3">
      <c r="A261" s="4" t="s">
        <v>635</v>
      </c>
      <c r="B261" s="5" t="s">
        <v>1029</v>
      </c>
      <c r="C261" s="5" t="s">
        <v>181</v>
      </c>
      <c r="D261" s="5" t="s">
        <v>303</v>
      </c>
      <c r="E261" s="5" t="s">
        <v>0</v>
      </c>
      <c r="F261" s="5" t="s">
        <v>0</v>
      </c>
      <c r="G261" s="5" t="s">
        <v>183</v>
      </c>
      <c r="H261" s="9">
        <v>33.380000000000003</v>
      </c>
      <c r="I261" s="7">
        <f>ROUND(83177.51,2)</f>
        <v>83177.509999999995</v>
      </c>
      <c r="J261" s="6"/>
      <c r="K261" s="6"/>
      <c r="L261" s="6"/>
      <c r="M261" s="6"/>
      <c r="N261" s="7">
        <f>ROUND(1025.92999999999,2)</f>
        <v>1025.93</v>
      </c>
      <c r="O261" s="6"/>
      <c r="P261" s="6"/>
      <c r="Q261" s="7">
        <f>ROUND(149.47,2)</f>
        <v>149.47</v>
      </c>
      <c r="R261" s="6"/>
      <c r="S261" s="6"/>
      <c r="T261" s="6"/>
      <c r="U261" s="6"/>
      <c r="V261" s="7">
        <f>ROUND(8.58,2)</f>
        <v>8.58</v>
      </c>
      <c r="W261" s="6"/>
      <c r="X261" s="7">
        <f>ROUND(0.92,2)</f>
        <v>0.92</v>
      </c>
      <c r="Y261" s="7">
        <f>ROUND(1.37,2)</f>
        <v>1.37</v>
      </c>
      <c r="Z261" s="6"/>
      <c r="AA261" s="6"/>
      <c r="AB261" s="6"/>
      <c r="AC261" s="6"/>
      <c r="AD261" s="6"/>
      <c r="AE261" s="7">
        <f>ROUND(318.46,2)</f>
        <v>318.45999999999998</v>
      </c>
      <c r="AF261" s="6"/>
      <c r="AG261" s="7">
        <f>ROUND(53.07,2)</f>
        <v>53.07</v>
      </c>
      <c r="AH261" s="6"/>
      <c r="AI261" s="6"/>
      <c r="AJ261" s="6"/>
      <c r="AK261" s="6"/>
      <c r="AL261" s="6"/>
      <c r="AM261" s="6"/>
      <c r="AN261" s="6"/>
      <c r="AO261" s="6"/>
      <c r="AP261" s="7">
        <f>ROUND(574.03,2)</f>
        <v>574.03</v>
      </c>
      <c r="AQ261" s="6"/>
      <c r="AR261" s="7">
        <f>ROUND(58.14,2)</f>
        <v>58.14</v>
      </c>
      <c r="AS261" s="6"/>
      <c r="AT261" s="6"/>
      <c r="AU261" s="7">
        <f>ROUND(76,2)</f>
        <v>76</v>
      </c>
      <c r="AV261" s="6"/>
      <c r="AW261" s="7">
        <f>ROUND(44,2)</f>
        <v>44</v>
      </c>
      <c r="AX261" s="6"/>
      <c r="AY261" s="6"/>
      <c r="AZ261" s="6"/>
      <c r="BA261" s="6"/>
      <c r="BB261" s="6"/>
      <c r="BC261" s="6"/>
      <c r="BD261" s="7">
        <f t="shared" si="20"/>
        <v>8</v>
      </c>
      <c r="BE261" s="7">
        <f>ROUND(2,2)</f>
        <v>2</v>
      </c>
      <c r="BF261" s="6"/>
      <c r="BG261" s="7">
        <f>ROUND(30,2)</f>
        <v>30</v>
      </c>
      <c r="BH261" s="6"/>
      <c r="BI261" s="6"/>
      <c r="BJ261" s="6"/>
      <c r="BK261" s="6"/>
      <c r="BL261" s="6"/>
      <c r="BM261" s="6"/>
      <c r="BN261" s="6"/>
      <c r="BO261" s="7">
        <f>ROUND(30.67,2)</f>
        <v>30.67</v>
      </c>
      <c r="BP261" s="6"/>
      <c r="BQ261" s="7">
        <f>ROUND(13.1299999999999,2)</f>
        <v>13.13</v>
      </c>
      <c r="BR261" s="7">
        <f>ROUND(2.87,2)</f>
        <v>2.87</v>
      </c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7">
        <f>ROUND(40,2)</f>
        <v>40</v>
      </c>
      <c r="CQ261" s="7">
        <f>ROUND(2436.63999999999,2)</f>
        <v>2436.64</v>
      </c>
      <c r="CR261" s="6"/>
      <c r="CS261" s="6"/>
      <c r="CT261" s="6"/>
      <c r="CU261" s="6"/>
      <c r="CV261" s="7">
        <f>ROUND(31533.21,2)</f>
        <v>31533.21</v>
      </c>
      <c r="CW261" s="6"/>
      <c r="CX261" s="6"/>
      <c r="CY261" s="7">
        <f>ROUND(6887.37999999999,2)</f>
        <v>6887.38</v>
      </c>
      <c r="CZ261" s="6"/>
      <c r="DA261" s="6"/>
      <c r="DB261" s="6"/>
      <c r="DC261" s="6"/>
      <c r="DD261" s="7">
        <f>ROUND(261.6,2)</f>
        <v>261.60000000000002</v>
      </c>
      <c r="DE261" s="6"/>
      <c r="DF261" s="7">
        <f>ROUND(26.57,2)</f>
        <v>26.57</v>
      </c>
      <c r="DG261" s="7">
        <f>ROUND(61.2399999999999,2)</f>
        <v>61.24</v>
      </c>
      <c r="DH261" s="6"/>
      <c r="DI261" s="6"/>
      <c r="DJ261" s="6"/>
      <c r="DK261" s="6"/>
      <c r="DL261" s="6"/>
      <c r="DM261" s="6"/>
      <c r="DN261" s="7">
        <f>ROUND(9782.88999999999,2)</f>
        <v>9782.89</v>
      </c>
      <c r="DO261" s="6"/>
      <c r="DP261" s="7">
        <f>ROUND(2455.12,2)</f>
        <v>2455.12</v>
      </c>
      <c r="DQ261" s="6"/>
      <c r="DR261" s="6"/>
      <c r="DS261" s="6"/>
      <c r="DT261" s="6"/>
      <c r="DU261" s="6"/>
      <c r="DV261" s="6"/>
      <c r="DW261" s="6"/>
      <c r="DX261" s="6"/>
      <c r="DY261" s="7">
        <f>ROUND(17482.1,2)</f>
        <v>17482.099999999999</v>
      </c>
      <c r="DZ261" s="6"/>
      <c r="EA261" s="7">
        <f>ROUND(2654.54,2)</f>
        <v>2654.54</v>
      </c>
      <c r="EB261" s="6"/>
      <c r="EC261" s="6"/>
      <c r="ED261" s="7">
        <f>ROUND(2325.7,2)</f>
        <v>2325.6999999999998</v>
      </c>
      <c r="EE261" s="6"/>
      <c r="EF261" s="7">
        <f>ROUND(1372.13999999999,2)</f>
        <v>1372.14</v>
      </c>
      <c r="EG261" s="6"/>
      <c r="EH261" s="6"/>
      <c r="EI261" s="6"/>
      <c r="EJ261" s="6"/>
      <c r="EK261" s="6"/>
      <c r="EL261" s="6"/>
      <c r="EM261" s="6"/>
      <c r="EN261" s="7">
        <f>ROUND(243.92,2)</f>
        <v>243.92</v>
      </c>
      <c r="EO261" s="7">
        <f>ROUND(62.8,2)</f>
        <v>62.8</v>
      </c>
      <c r="EP261" s="6"/>
      <c r="EQ261" s="7">
        <f>ROUND(914.699999999999,2)</f>
        <v>914.7</v>
      </c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7">
        <f>ROUND(965.099999999999,2)</f>
        <v>965.1</v>
      </c>
      <c r="FC261" s="6"/>
      <c r="FD261" s="7">
        <f>ROUND(428.12,2)</f>
        <v>428.12</v>
      </c>
      <c r="FE261" s="7">
        <f>ROUND(135.18,2)</f>
        <v>135.18</v>
      </c>
      <c r="FF261" s="6"/>
      <c r="FG261" s="6"/>
      <c r="FH261" s="6"/>
      <c r="FI261" s="6"/>
      <c r="FJ261" s="7">
        <f>ROUND(1250,2)</f>
        <v>1250</v>
      </c>
      <c r="FK261" s="6"/>
      <c r="FL261" s="6"/>
      <c r="FM261" s="6"/>
      <c r="FN261" s="6"/>
      <c r="FO261" s="6"/>
      <c r="FP261" s="6"/>
      <c r="FQ261" s="6"/>
      <c r="FR261" s="6"/>
      <c r="FS261" s="6"/>
      <c r="FT261" s="7">
        <f t="shared" si="19"/>
        <v>3000</v>
      </c>
      <c r="FU261" s="6"/>
      <c r="FV261" s="6"/>
      <c r="FW261" s="6"/>
      <c r="FX261" s="7">
        <f>ROUND(1335.2,2)</f>
        <v>1335.2</v>
      </c>
      <c r="FY261" s="7">
        <f>ROUND(83177.51,2)</f>
        <v>83177.509999999995</v>
      </c>
    </row>
    <row r="262" spans="1:181" x14ac:dyDescent="0.3">
      <c r="A262" s="4" t="s">
        <v>638</v>
      </c>
      <c r="B262" s="5" t="s">
        <v>1029</v>
      </c>
      <c r="C262" s="5" t="s">
        <v>181</v>
      </c>
      <c r="D262" s="5" t="s">
        <v>639</v>
      </c>
      <c r="E262" s="5" t="s">
        <v>0</v>
      </c>
      <c r="F262" s="5" t="s">
        <v>0</v>
      </c>
      <c r="G262" s="5" t="s">
        <v>183</v>
      </c>
      <c r="H262" s="8">
        <v>33.380000000000003</v>
      </c>
      <c r="I262" s="7">
        <f>ROUND(111214.84,2)</f>
        <v>111214.84</v>
      </c>
      <c r="J262" s="6"/>
      <c r="K262" s="6"/>
      <c r="L262" s="6"/>
      <c r="M262" s="6"/>
      <c r="N262" s="7">
        <f>ROUND(1820.79,2)</f>
        <v>1820.79</v>
      </c>
      <c r="O262" s="6"/>
      <c r="P262" s="6"/>
      <c r="Q262" s="7">
        <f>ROUND(632.439999999999,2)</f>
        <v>632.44000000000005</v>
      </c>
      <c r="R262" s="6"/>
      <c r="S262" s="6"/>
      <c r="T262" s="6"/>
      <c r="U262" s="7">
        <f>ROUND(0.22,2)</f>
        <v>0.22</v>
      </c>
      <c r="V262" s="7">
        <f>ROUND(16.13,2)</f>
        <v>16.13</v>
      </c>
      <c r="W262" s="7">
        <f>ROUND(5.98,2)</f>
        <v>5.98</v>
      </c>
      <c r="X262" s="7">
        <f>ROUND(8.63999999999999,2)</f>
        <v>8.64</v>
      </c>
      <c r="Y262" s="7">
        <f>ROUND(5.2,2)</f>
        <v>5.2</v>
      </c>
      <c r="Z262" s="6"/>
      <c r="AA262" s="6"/>
      <c r="AB262" s="6"/>
      <c r="AC262" s="6"/>
      <c r="AD262" s="6"/>
      <c r="AE262" s="7">
        <f>ROUND(23.68,2)</f>
        <v>23.68</v>
      </c>
      <c r="AF262" s="6"/>
      <c r="AG262" s="7">
        <f>ROUND(15.5,2)</f>
        <v>15.5</v>
      </c>
      <c r="AH262" s="6"/>
      <c r="AI262" s="6"/>
      <c r="AJ262" s="6"/>
      <c r="AK262" s="6"/>
      <c r="AL262" s="6"/>
      <c r="AM262" s="6"/>
      <c r="AN262" s="6"/>
      <c r="AO262" s="6"/>
      <c r="AP262" s="7">
        <f>ROUND(55.86,2)</f>
        <v>55.86</v>
      </c>
      <c r="AQ262" s="6"/>
      <c r="AR262" s="7">
        <f>ROUND(82.74,2)</f>
        <v>82.74</v>
      </c>
      <c r="AS262" s="6"/>
      <c r="AT262" s="6"/>
      <c r="AU262" s="7">
        <f>ROUND(68,2)</f>
        <v>68</v>
      </c>
      <c r="AV262" s="6"/>
      <c r="AW262" s="7">
        <f>ROUND(24,2)</f>
        <v>24</v>
      </c>
      <c r="AX262" s="7">
        <f>ROUND(8,2)</f>
        <v>8</v>
      </c>
      <c r="AY262" s="7">
        <f>ROUND(40.33,2)</f>
        <v>40.33</v>
      </c>
      <c r="AZ262" s="7">
        <f>ROUND(15.67,2)</f>
        <v>15.67</v>
      </c>
      <c r="BA262" s="6"/>
      <c r="BB262" s="7">
        <f>ROUND(24,2)</f>
        <v>24</v>
      </c>
      <c r="BC262" s="6"/>
      <c r="BD262" s="7">
        <f t="shared" si="20"/>
        <v>8</v>
      </c>
      <c r="BE262" s="7">
        <f>ROUND(1.67,2)</f>
        <v>1.67</v>
      </c>
      <c r="BF262" s="6"/>
      <c r="BG262" s="6"/>
      <c r="BH262" s="6"/>
      <c r="BI262" s="6"/>
      <c r="BJ262" s="6"/>
      <c r="BK262" s="6"/>
      <c r="BL262" s="6"/>
      <c r="BM262" s="6"/>
      <c r="BN262" s="6"/>
      <c r="BO262" s="7">
        <f>ROUND(26.67,2)</f>
        <v>26.67</v>
      </c>
      <c r="BP262" s="7">
        <f>ROUND(11.58,2)</f>
        <v>11.58</v>
      </c>
      <c r="BQ262" s="7">
        <f>ROUND(10.84,2)</f>
        <v>10.84</v>
      </c>
      <c r="BR262" s="6"/>
      <c r="BS262" s="6"/>
      <c r="BT262" s="7">
        <f>ROUND(16.17,2)</f>
        <v>16.170000000000002</v>
      </c>
      <c r="BU262" s="6"/>
      <c r="BV262" s="6"/>
      <c r="BW262" s="6"/>
      <c r="BX262" s="6"/>
      <c r="BY262" s="7">
        <f>ROUND(16,2)</f>
        <v>16</v>
      </c>
      <c r="BZ262" s="6"/>
      <c r="CA262" s="7">
        <f>ROUND(16,2)</f>
        <v>16</v>
      </c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7">
        <f>ROUND(2954.11,2)</f>
        <v>2954.11</v>
      </c>
      <c r="CR262" s="6"/>
      <c r="CS262" s="6"/>
      <c r="CT262" s="6"/>
      <c r="CU262" s="6"/>
      <c r="CV262" s="7">
        <f>ROUND(59484.2599999999,2)</f>
        <v>59484.26</v>
      </c>
      <c r="CW262" s="6"/>
      <c r="CX262" s="6"/>
      <c r="CY262" s="7">
        <f>ROUND(30970.46,2)</f>
        <v>30970.46</v>
      </c>
      <c r="CZ262" s="6"/>
      <c r="DA262" s="6"/>
      <c r="DB262" s="6"/>
      <c r="DC262" s="7">
        <f>ROUND(14.12,2)</f>
        <v>14.12</v>
      </c>
      <c r="DD262" s="7">
        <f>ROUND(525.54,2)</f>
        <v>525.54</v>
      </c>
      <c r="DE262" s="7">
        <f>ROUND(289.19,2)</f>
        <v>289.19</v>
      </c>
      <c r="DF262" s="7">
        <f>ROUND(281.03,2)</f>
        <v>281.02999999999997</v>
      </c>
      <c r="DG262" s="7">
        <f>ROUND(251.29,2)</f>
        <v>251.29</v>
      </c>
      <c r="DH262" s="6"/>
      <c r="DI262" s="6"/>
      <c r="DJ262" s="6"/>
      <c r="DK262" s="6"/>
      <c r="DL262" s="6"/>
      <c r="DM262" s="6"/>
      <c r="DN262" s="7">
        <f>ROUND(759.89,2)</f>
        <v>759.89</v>
      </c>
      <c r="DO262" s="6"/>
      <c r="DP262" s="7">
        <f>ROUND(754.49,2)</f>
        <v>754.49</v>
      </c>
      <c r="DQ262" s="6"/>
      <c r="DR262" s="6"/>
      <c r="DS262" s="6"/>
      <c r="DT262" s="6"/>
      <c r="DU262" s="6"/>
      <c r="DV262" s="6"/>
      <c r="DW262" s="6"/>
      <c r="DX262" s="6"/>
      <c r="DY262" s="7">
        <f>ROUND(1810.36,2)</f>
        <v>1810.36</v>
      </c>
      <c r="DZ262" s="6"/>
      <c r="EA262" s="7">
        <f>ROUND(4025.94,2)</f>
        <v>4025.94</v>
      </c>
      <c r="EB262" s="6"/>
      <c r="EC262" s="6"/>
      <c r="ED262" s="7">
        <f>ROUND(2215.48,2)</f>
        <v>2215.48</v>
      </c>
      <c r="EE262" s="6"/>
      <c r="EF262" s="7">
        <f>ROUND(770.16,2)</f>
        <v>770.16</v>
      </c>
      <c r="EG262" s="7">
        <f>ROUND(385.08,2)</f>
        <v>385.08</v>
      </c>
      <c r="EH262" s="7">
        <f>ROUND(1317.23,2)</f>
        <v>1317.23</v>
      </c>
      <c r="EI262" s="7">
        <f>ROUND(754.28,2)</f>
        <v>754.28</v>
      </c>
      <c r="EJ262" s="6"/>
      <c r="EK262" s="7">
        <f>ROUND(777.84,2)</f>
        <v>777.84</v>
      </c>
      <c r="EL262" s="6"/>
      <c r="EM262" s="6"/>
      <c r="EN262" s="7">
        <f>ROUND(256.72,2)</f>
        <v>256.72000000000003</v>
      </c>
      <c r="EO262" s="7">
        <f>ROUND(80.39,2)</f>
        <v>80.39</v>
      </c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7">
        <f>ROUND(874.62,2)</f>
        <v>874.62</v>
      </c>
      <c r="FC262" s="7">
        <f>ROUND(557.4,2)</f>
        <v>557.4</v>
      </c>
      <c r="FD262" s="7">
        <f>ROUND(359.07,2)</f>
        <v>359.07</v>
      </c>
      <c r="FE262" s="6"/>
      <c r="FF262" s="6"/>
      <c r="FG262" s="6"/>
      <c r="FH262" s="6"/>
      <c r="FI262" s="6"/>
      <c r="FJ262" s="7">
        <f>ROUND(700,2)</f>
        <v>700</v>
      </c>
      <c r="FK262" s="6"/>
      <c r="FL262" s="6"/>
      <c r="FM262" s="6"/>
      <c r="FN262" s="6"/>
      <c r="FO262" s="6"/>
      <c r="FP262" s="6"/>
      <c r="FQ262" s="6"/>
      <c r="FR262" s="6"/>
      <c r="FS262" s="6"/>
      <c r="FT262" s="7">
        <f t="shared" si="19"/>
        <v>3000</v>
      </c>
      <c r="FU262" s="6"/>
      <c r="FV262" s="6"/>
      <c r="FW262" s="6"/>
      <c r="FX262" s="6"/>
      <c r="FY262" s="7">
        <f>ROUND(111214.84,2)</f>
        <v>111214.84</v>
      </c>
    </row>
    <row r="263" spans="1:181" x14ac:dyDescent="0.3">
      <c r="A263" s="4" t="s">
        <v>642</v>
      </c>
      <c r="B263" s="5" t="s">
        <v>1029</v>
      </c>
      <c r="C263" s="5" t="s">
        <v>181</v>
      </c>
      <c r="D263" s="5" t="s">
        <v>643</v>
      </c>
      <c r="E263" s="5" t="s">
        <v>0</v>
      </c>
      <c r="F263" s="5" t="s">
        <v>0</v>
      </c>
      <c r="G263" s="5" t="s">
        <v>183</v>
      </c>
      <c r="H263" s="8">
        <f>ROUND(0,2)</f>
        <v>0</v>
      </c>
      <c r="I263" s="7">
        <f>ROUND(108295.059999999,2)</f>
        <v>108295.06</v>
      </c>
      <c r="J263" s="6"/>
      <c r="K263" s="6"/>
      <c r="L263" s="6"/>
      <c r="M263" s="6"/>
      <c r="N263" s="7">
        <f>ROUND(59.25,2)</f>
        <v>59.25</v>
      </c>
      <c r="O263" s="6"/>
      <c r="P263" s="6"/>
      <c r="Q263" s="7">
        <f>ROUND(55.8,2)</f>
        <v>55.8</v>
      </c>
      <c r="R263" s="6"/>
      <c r="S263" s="6"/>
      <c r="T263" s="6"/>
      <c r="U263" s="6"/>
      <c r="V263" s="6"/>
      <c r="W263" s="7">
        <f>ROUND(35.42,2)</f>
        <v>35.42</v>
      </c>
      <c r="X263" s="6"/>
      <c r="Y263" s="6"/>
      <c r="Z263" s="6"/>
      <c r="AA263" s="6"/>
      <c r="AB263" s="6"/>
      <c r="AC263" s="6"/>
      <c r="AD263" s="6"/>
      <c r="AE263" s="7">
        <f>ROUND(1859.75,2)</f>
        <v>1859.75</v>
      </c>
      <c r="AF263" s="6"/>
      <c r="AG263" s="7">
        <f>ROUND(421.78,2)</f>
        <v>421.78</v>
      </c>
      <c r="AH263" s="6"/>
      <c r="AI263" s="6"/>
      <c r="AJ263" s="6"/>
      <c r="AK263" s="6"/>
      <c r="AL263" s="6"/>
      <c r="AM263" s="6"/>
      <c r="AN263" s="6"/>
      <c r="AO263" s="6"/>
      <c r="AP263" s="7">
        <f>ROUND(7.5,2)</f>
        <v>7.5</v>
      </c>
      <c r="AQ263" s="6"/>
      <c r="AR263" s="7">
        <f>ROUND(70.83,2)</f>
        <v>70.83</v>
      </c>
      <c r="AS263" s="6"/>
      <c r="AT263" s="6"/>
      <c r="AU263" s="7">
        <f>ROUND(54,2)</f>
        <v>54</v>
      </c>
      <c r="AV263" s="7">
        <f>ROUND(8,2)</f>
        <v>8</v>
      </c>
      <c r="AW263" s="7">
        <f>ROUND(32,2)</f>
        <v>32</v>
      </c>
      <c r="AX263" s="6"/>
      <c r="AY263" s="7">
        <f>ROUND(10,2)</f>
        <v>10</v>
      </c>
      <c r="AZ263" s="7">
        <f>ROUND(8,2)</f>
        <v>8</v>
      </c>
      <c r="BA263" s="6"/>
      <c r="BB263" s="7">
        <f>ROUND(42,2)</f>
        <v>42</v>
      </c>
      <c r="BC263" s="6"/>
      <c r="BD263" s="7">
        <f>ROUND(17,2)</f>
        <v>17</v>
      </c>
      <c r="BE263" s="7">
        <f>ROUND(3,2)</f>
        <v>3</v>
      </c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7">
        <f>ROUND(9,2)</f>
        <v>9</v>
      </c>
      <c r="BS263" s="7">
        <f>ROUND(24,2)</f>
        <v>24</v>
      </c>
      <c r="BT263" s="6"/>
      <c r="BU263" s="7">
        <f>ROUND(50,2)</f>
        <v>50</v>
      </c>
      <c r="BV263" s="7">
        <f>ROUND(3.5,2)</f>
        <v>3.5</v>
      </c>
      <c r="BW263" s="7">
        <f>ROUND(10,2)</f>
        <v>10</v>
      </c>
      <c r="BX263" s="7">
        <f>ROUND(24,2)</f>
        <v>24</v>
      </c>
      <c r="BY263" s="6"/>
      <c r="BZ263" s="6"/>
      <c r="CA263" s="7">
        <f>ROUND(44.83,2)</f>
        <v>44.83</v>
      </c>
      <c r="CB263" s="6"/>
      <c r="CC263" s="7">
        <f>ROUND(24,2)</f>
        <v>24</v>
      </c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7">
        <f>ROUND(144,2)</f>
        <v>144</v>
      </c>
      <c r="CQ263" s="7">
        <f>ROUND(3017.65999999999,2)</f>
        <v>3017.66</v>
      </c>
      <c r="CR263" s="6"/>
      <c r="CS263" s="6"/>
      <c r="CT263" s="6"/>
      <c r="CU263" s="6"/>
      <c r="CV263" s="7">
        <f>ROUND(1918.37999999999,2)</f>
        <v>1918.38</v>
      </c>
      <c r="CW263" s="6"/>
      <c r="CX263" s="6"/>
      <c r="CY263" s="7">
        <f>ROUND(2719.07,2)</f>
        <v>2719.07</v>
      </c>
      <c r="CZ263" s="6"/>
      <c r="DA263" s="6"/>
      <c r="DB263" s="6"/>
      <c r="DC263" s="6"/>
      <c r="DD263" s="6"/>
      <c r="DE263" s="7">
        <f>ROUND(1743.39999999999,2)</f>
        <v>1743.4</v>
      </c>
      <c r="DF263" s="6"/>
      <c r="DG263" s="6"/>
      <c r="DH263" s="6"/>
      <c r="DI263" s="6"/>
      <c r="DJ263" s="6"/>
      <c r="DK263" s="6"/>
      <c r="DL263" s="6"/>
      <c r="DM263" s="6"/>
      <c r="DN263" s="7">
        <f>ROUND(60993.4199999999,2)</f>
        <v>60993.42</v>
      </c>
      <c r="DO263" s="6"/>
      <c r="DP263" s="7">
        <f>ROUND(20796.7,2)</f>
        <v>20796.7</v>
      </c>
      <c r="DQ263" s="6"/>
      <c r="DR263" s="6"/>
      <c r="DS263" s="6"/>
      <c r="DT263" s="6"/>
      <c r="DU263" s="6"/>
      <c r="DV263" s="6"/>
      <c r="DW263" s="6"/>
      <c r="DX263" s="6"/>
      <c r="DY263" s="7">
        <f>ROUND(240.68,2)</f>
        <v>240.68</v>
      </c>
      <c r="DZ263" s="6"/>
      <c r="EA263" s="7">
        <f>ROUND(3476.10999999999,2)</f>
        <v>3476.11</v>
      </c>
      <c r="EB263" s="6"/>
      <c r="EC263" s="6"/>
      <c r="ED263" s="7">
        <f>ROUND(1763.82,2)</f>
        <v>1763.82</v>
      </c>
      <c r="EE263" s="7">
        <f>ROUND(396.64,2)</f>
        <v>396.64</v>
      </c>
      <c r="EF263" s="7">
        <f>ROUND(1065.76,2)</f>
        <v>1065.76</v>
      </c>
      <c r="EG263" s="6"/>
      <c r="EH263" s="7">
        <f>ROUND(320.9,2)</f>
        <v>320.89999999999998</v>
      </c>
      <c r="EI263" s="7">
        <f>ROUND(385.08,2)</f>
        <v>385.08</v>
      </c>
      <c r="EJ263" s="6"/>
      <c r="EK263" s="7">
        <f>ROUND(1347.78,2)</f>
        <v>1347.78</v>
      </c>
      <c r="EL263" s="6"/>
      <c r="EM263" s="6"/>
      <c r="EN263" s="7">
        <f>ROUND(554.17,2)</f>
        <v>554.16999999999996</v>
      </c>
      <c r="EO263" s="7">
        <f>ROUND(99.15,2)</f>
        <v>99.15</v>
      </c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7">
        <f>ROUND(446.18,2)</f>
        <v>446.18</v>
      </c>
      <c r="FF263" s="7">
        <f>ROUND(1651.06,2)</f>
        <v>1651.06</v>
      </c>
      <c r="FG263" s="6"/>
      <c r="FH263" s="6"/>
      <c r="FI263" s="6"/>
      <c r="FJ263" s="7">
        <f>ROUND(475,2)</f>
        <v>475</v>
      </c>
      <c r="FK263" s="6"/>
      <c r="FL263" s="6"/>
      <c r="FM263" s="6"/>
      <c r="FN263" s="6"/>
      <c r="FO263" s="6"/>
      <c r="FP263" s="6"/>
      <c r="FQ263" s="6"/>
      <c r="FR263" s="6"/>
      <c r="FS263" s="6"/>
      <c r="FT263" s="7">
        <f t="shared" si="19"/>
        <v>3000</v>
      </c>
      <c r="FU263" s="6"/>
      <c r="FV263" s="6"/>
      <c r="FW263" s="6"/>
      <c r="FX263" s="7">
        <f>ROUND(4901.76,2)</f>
        <v>4901.76</v>
      </c>
      <c r="FY263" s="7">
        <f>ROUND(108295.059999999,2)</f>
        <v>108295.06</v>
      </c>
    </row>
    <row r="264" spans="1:181" x14ac:dyDescent="0.3">
      <c r="A264" s="4" t="s">
        <v>657</v>
      </c>
      <c r="B264" s="5" t="s">
        <v>1029</v>
      </c>
      <c r="C264" s="5" t="s">
        <v>181</v>
      </c>
      <c r="D264" s="5" t="s">
        <v>658</v>
      </c>
      <c r="E264" s="5" t="s">
        <v>0</v>
      </c>
      <c r="F264" s="5" t="s">
        <v>0</v>
      </c>
      <c r="G264" s="5" t="s">
        <v>183</v>
      </c>
      <c r="H264" s="8">
        <v>33.880000000000003</v>
      </c>
      <c r="I264" s="7">
        <f>ROUND(104144.9,2)</f>
        <v>104144.9</v>
      </c>
      <c r="J264" s="6"/>
      <c r="K264" s="6"/>
      <c r="L264" s="6"/>
      <c r="M264" s="6"/>
      <c r="N264" s="7">
        <f>ROUND(1863.66,2)</f>
        <v>1863.66</v>
      </c>
      <c r="O264" s="6"/>
      <c r="P264" s="6"/>
      <c r="Q264" s="7">
        <f>ROUND(518.55,2)</f>
        <v>518.54999999999995</v>
      </c>
      <c r="R264" s="6"/>
      <c r="S264" s="6"/>
      <c r="T264" s="6"/>
      <c r="U264" s="6"/>
      <c r="V264" s="7">
        <f>ROUND(13.22,2)</f>
        <v>13.22</v>
      </c>
      <c r="W264" s="7">
        <f>ROUND(7.89,2)</f>
        <v>7.89</v>
      </c>
      <c r="X264" s="7">
        <f>ROUND(1.27,2)</f>
        <v>1.27</v>
      </c>
      <c r="Y264" s="7">
        <f>ROUND(0.52,2)</f>
        <v>0.52</v>
      </c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7">
        <f>ROUND(28.47,2)</f>
        <v>28.47</v>
      </c>
      <c r="AQ264" s="6"/>
      <c r="AR264" s="7">
        <f>ROUND(86.76,2)</f>
        <v>86.76</v>
      </c>
      <c r="AS264" s="6"/>
      <c r="AT264" s="6"/>
      <c r="AU264" s="7">
        <f>ROUND(65.67,2)</f>
        <v>65.67</v>
      </c>
      <c r="AV264" s="7">
        <f>ROUND(2.33,2)</f>
        <v>2.33</v>
      </c>
      <c r="AW264" s="7">
        <f>ROUND(24,2)</f>
        <v>24</v>
      </c>
      <c r="AX264" s="6"/>
      <c r="AY264" s="7">
        <f>ROUND(102.5,2)</f>
        <v>102.5</v>
      </c>
      <c r="AZ264" s="7">
        <f>ROUND(1.5,2)</f>
        <v>1.5</v>
      </c>
      <c r="BA264" s="6"/>
      <c r="BB264" s="7">
        <f>ROUND(24,2)</f>
        <v>24</v>
      </c>
      <c r="BC264" s="6"/>
      <c r="BD264" s="7">
        <f>ROUND(8,2)</f>
        <v>8</v>
      </c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7">
        <f>ROUND(16,2)</f>
        <v>16</v>
      </c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7">
        <f>ROUND(2764.33999999999,2)</f>
        <v>2764.34</v>
      </c>
      <c r="CR264" s="6"/>
      <c r="CS264" s="6"/>
      <c r="CT264" s="6"/>
      <c r="CU264" s="6"/>
      <c r="CV264" s="7">
        <f>ROUND(60907.29,2)</f>
        <v>60907.29</v>
      </c>
      <c r="CW264" s="6"/>
      <c r="CX264" s="6"/>
      <c r="CY264" s="7">
        <f>ROUND(25440.43,2)</f>
        <v>25440.43</v>
      </c>
      <c r="CZ264" s="6"/>
      <c r="DA264" s="6"/>
      <c r="DB264" s="6"/>
      <c r="DC264" s="6"/>
      <c r="DD264" s="7">
        <f>ROUND(424.23,2)</f>
        <v>424.23</v>
      </c>
      <c r="DE264" s="7">
        <f>ROUND(390.89,2)</f>
        <v>390.89</v>
      </c>
      <c r="DF264" s="7">
        <f>ROUND(40.75,2)</f>
        <v>40.75</v>
      </c>
      <c r="DG264" s="7">
        <f>ROUND(25.03,2)</f>
        <v>25.03</v>
      </c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7">
        <f>ROUND(917.15,2)</f>
        <v>917.15</v>
      </c>
      <c r="DZ264" s="6"/>
      <c r="EA264" s="7">
        <f>ROUND(4279.15,2)</f>
        <v>4279.1499999999996</v>
      </c>
      <c r="EB264" s="6"/>
      <c r="EC264" s="6"/>
      <c r="ED264" s="7">
        <f>ROUND(2138.47,2)</f>
        <v>2138.4699999999998</v>
      </c>
      <c r="EE264" s="7">
        <f>ROUND(115.52,2)</f>
        <v>115.52</v>
      </c>
      <c r="EF264" s="7">
        <f>ROUND(770.16,2)</f>
        <v>770.16</v>
      </c>
      <c r="EG264" s="6"/>
      <c r="EH264" s="7">
        <f>ROUND(3381.39,2)</f>
        <v>3381.39</v>
      </c>
      <c r="EI264" s="7">
        <f>ROUND(72.2,2)</f>
        <v>72.2</v>
      </c>
      <c r="EJ264" s="6"/>
      <c r="EK264" s="7">
        <f>ROUND(785.52,2)</f>
        <v>785.52</v>
      </c>
      <c r="EL264" s="6"/>
      <c r="EM264" s="6"/>
      <c r="EN264" s="7">
        <f>ROUND(256.72,2)</f>
        <v>256.72000000000003</v>
      </c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7">
        <f>ROUND(1200,2)</f>
        <v>1200</v>
      </c>
      <c r="FK264" s="6"/>
      <c r="FL264" s="6"/>
      <c r="FM264" s="6"/>
      <c r="FN264" s="6"/>
      <c r="FO264" s="6"/>
      <c r="FP264" s="6"/>
      <c r="FQ264" s="6"/>
      <c r="FR264" s="6"/>
      <c r="FS264" s="6"/>
      <c r="FT264" s="7">
        <f t="shared" si="19"/>
        <v>3000</v>
      </c>
      <c r="FU264" s="6"/>
      <c r="FV264" s="6"/>
      <c r="FW264" s="6"/>
      <c r="FX264" s="6"/>
      <c r="FY264" s="7">
        <f>ROUND(104144.9,2)</f>
        <v>104144.9</v>
      </c>
    </row>
    <row r="265" spans="1:181" x14ac:dyDescent="0.3">
      <c r="A265" s="4" t="s">
        <v>661</v>
      </c>
      <c r="B265" s="5" t="s">
        <v>1029</v>
      </c>
      <c r="C265" s="5" t="s">
        <v>181</v>
      </c>
      <c r="D265" s="5" t="s">
        <v>590</v>
      </c>
      <c r="E265" s="5" t="s">
        <v>0</v>
      </c>
      <c r="F265" s="5" t="s">
        <v>0</v>
      </c>
      <c r="G265" s="5" t="s">
        <v>183</v>
      </c>
      <c r="H265" s="8">
        <v>33.880000000000003</v>
      </c>
      <c r="I265" s="7">
        <f>ROUND(83801.6699999999,2)</f>
        <v>83801.67</v>
      </c>
      <c r="J265" s="6"/>
      <c r="K265" s="6"/>
      <c r="L265" s="6"/>
      <c r="M265" s="6"/>
      <c r="N265" s="7">
        <f>ROUND(1701.40999999999,2)</f>
        <v>1701.41</v>
      </c>
      <c r="O265" s="6"/>
      <c r="P265" s="6"/>
      <c r="Q265" s="7">
        <f>ROUND(296.239999999999,2)</f>
        <v>296.24</v>
      </c>
      <c r="R265" s="6"/>
      <c r="S265" s="6"/>
      <c r="T265" s="6"/>
      <c r="U265" s="6"/>
      <c r="V265" s="6"/>
      <c r="W265" s="6"/>
      <c r="X265" s="6"/>
      <c r="Y265" s="6"/>
      <c r="Z265" s="7">
        <f>ROUND(0.5,2)</f>
        <v>0.5</v>
      </c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7">
        <f>ROUND(72,2)</f>
        <v>72</v>
      </c>
      <c r="AV265" s="6"/>
      <c r="AW265" s="7">
        <f>ROUND(24,2)</f>
        <v>24</v>
      </c>
      <c r="AX265" s="6"/>
      <c r="AY265" s="7">
        <f>ROUND(158,2)</f>
        <v>158</v>
      </c>
      <c r="AZ265" s="6"/>
      <c r="BA265" s="6"/>
      <c r="BB265" s="7">
        <f>ROUND(40,2)</f>
        <v>40</v>
      </c>
      <c r="BC265" s="6"/>
      <c r="BD265" s="7">
        <f>ROUND(8,2)</f>
        <v>8</v>
      </c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7">
        <f>ROUND(88,2)</f>
        <v>88</v>
      </c>
      <c r="BT265" s="7">
        <f>ROUND(4.76,2)</f>
        <v>4.76</v>
      </c>
      <c r="BU265" s="6"/>
      <c r="BV265" s="6"/>
      <c r="BW265" s="6"/>
      <c r="BX265" s="7">
        <f>ROUND(64,2)</f>
        <v>64</v>
      </c>
      <c r="BY265" s="6"/>
      <c r="BZ265" s="6"/>
      <c r="CA265" s="7">
        <f>ROUND(24,2)</f>
        <v>24</v>
      </c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7">
        <f>ROUND(2480.91,2)</f>
        <v>2480.91</v>
      </c>
      <c r="CR265" s="6"/>
      <c r="CS265" s="6"/>
      <c r="CT265" s="6"/>
      <c r="CU265" s="6"/>
      <c r="CV265" s="7">
        <f>ROUND(55641.9999999999,2)</f>
        <v>55642</v>
      </c>
      <c r="CW265" s="6"/>
      <c r="CX265" s="6"/>
      <c r="CY265" s="7">
        <f>ROUND(14585.64,2)</f>
        <v>14585.64</v>
      </c>
      <c r="CZ265" s="6"/>
      <c r="DA265" s="6"/>
      <c r="DB265" s="6"/>
      <c r="DC265" s="6"/>
      <c r="DD265" s="6"/>
      <c r="DE265" s="6"/>
      <c r="DF265" s="6"/>
      <c r="DG265" s="6"/>
      <c r="DH265" s="7">
        <f>ROUND(32.09,2)</f>
        <v>32.090000000000003</v>
      </c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7">
        <f>ROUND(2346.48,2)</f>
        <v>2346.48</v>
      </c>
      <c r="EE265" s="6"/>
      <c r="EF265" s="7">
        <f>ROUND(783.12,2)</f>
        <v>783.12</v>
      </c>
      <c r="EG265" s="6"/>
      <c r="EH265" s="7">
        <f>ROUND(5147.02,2)</f>
        <v>5147.0200000000004</v>
      </c>
      <c r="EI265" s="6"/>
      <c r="EJ265" s="6"/>
      <c r="EK265" s="7">
        <f>ROUND(1283.6,2)</f>
        <v>1283.5999999999999</v>
      </c>
      <c r="EL265" s="6"/>
      <c r="EM265" s="6"/>
      <c r="EN265" s="7">
        <f>ROUND(256.72,2)</f>
        <v>256.72000000000003</v>
      </c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7">
        <f>ROUND(725,2)</f>
        <v>725</v>
      </c>
      <c r="FK265" s="6"/>
      <c r="FL265" s="6"/>
      <c r="FM265" s="6"/>
      <c r="FN265" s="6"/>
      <c r="FO265" s="6"/>
      <c r="FP265" s="6"/>
      <c r="FQ265" s="6"/>
      <c r="FR265" s="6"/>
      <c r="FS265" s="6"/>
      <c r="FT265" s="7">
        <f t="shared" si="19"/>
        <v>3000</v>
      </c>
      <c r="FU265" s="6"/>
      <c r="FV265" s="6"/>
      <c r="FW265" s="6"/>
      <c r="FX265" s="6"/>
      <c r="FY265" s="7">
        <f>ROUND(83801.6699999999,2)</f>
        <v>83801.67</v>
      </c>
    </row>
    <row r="266" spans="1:181" x14ac:dyDescent="0.3">
      <c r="A266" s="4" t="s">
        <v>669</v>
      </c>
      <c r="B266" s="5" t="s">
        <v>1029</v>
      </c>
      <c r="C266" s="5" t="s">
        <v>181</v>
      </c>
      <c r="D266" s="5" t="s">
        <v>670</v>
      </c>
      <c r="E266" s="5" t="s">
        <v>0</v>
      </c>
      <c r="F266" s="5" t="s">
        <v>390</v>
      </c>
      <c r="G266" s="5" t="s">
        <v>183</v>
      </c>
      <c r="H266" s="8">
        <v>33.380000000000003</v>
      </c>
      <c r="I266" s="7">
        <f>ROUND(84336.8099999999,2)</f>
        <v>84336.81</v>
      </c>
      <c r="J266" s="6"/>
      <c r="K266" s="6"/>
      <c r="L266" s="6"/>
      <c r="M266" s="6"/>
      <c r="N266" s="7">
        <f>ROUND(1882.24,2)</f>
        <v>1882.24</v>
      </c>
      <c r="O266" s="6"/>
      <c r="P266" s="6"/>
      <c r="Q266" s="7">
        <f>ROUND(287.31,2)</f>
        <v>287.31</v>
      </c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7">
        <f>ROUND(43.84,2)</f>
        <v>43.84</v>
      </c>
      <c r="AF266" s="6"/>
      <c r="AG266" s="7">
        <f>ROUND(21.33,2)</f>
        <v>21.33</v>
      </c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7">
        <f>ROUND(60,2)</f>
        <v>60</v>
      </c>
      <c r="AV266" s="6"/>
      <c r="AW266" s="7">
        <f>ROUND(32,2)</f>
        <v>32</v>
      </c>
      <c r="AX266" s="6"/>
      <c r="AY266" s="7">
        <f>ROUND(8,2)</f>
        <v>8</v>
      </c>
      <c r="AZ266" s="6"/>
      <c r="BA266" s="6"/>
      <c r="BB266" s="7">
        <f>ROUND(32,2)</f>
        <v>32</v>
      </c>
      <c r="BC266" s="6"/>
      <c r="BD266" s="7">
        <f>ROUND(8,2)</f>
        <v>8</v>
      </c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7">
        <f>ROUND(5.58,2)</f>
        <v>5.58</v>
      </c>
      <c r="BP266" s="6"/>
      <c r="BQ266" s="6"/>
      <c r="BR266" s="6"/>
      <c r="BS266" s="6"/>
      <c r="BT266" s="6"/>
      <c r="BU266" s="6"/>
      <c r="BV266" s="6"/>
      <c r="BW266" s="7">
        <f>ROUND(8,2)</f>
        <v>8</v>
      </c>
      <c r="BX266" s="6"/>
      <c r="BY266" s="6"/>
      <c r="BZ266" s="7">
        <f>ROUND(64,2)</f>
        <v>64</v>
      </c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7">
        <f>ROUND(2452.3,2)</f>
        <v>2452.3000000000002</v>
      </c>
      <c r="CR266" s="6"/>
      <c r="CS266" s="6"/>
      <c r="CT266" s="6"/>
      <c r="CU266" s="6"/>
      <c r="CV266" s="7">
        <f>ROUND(59840.66,2)</f>
        <v>59840.66</v>
      </c>
      <c r="CW266" s="6"/>
      <c r="CX266" s="6"/>
      <c r="CY266" s="7">
        <f>ROUND(13646.1,2)</f>
        <v>13646.1</v>
      </c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7">
        <f>ROUND(1345.08,2)</f>
        <v>1345.08</v>
      </c>
      <c r="DO266" s="6"/>
      <c r="DP266" s="7">
        <f>ROUND(975.52,2)</f>
        <v>975.52</v>
      </c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7">
        <f>ROUND(1867.72,2)</f>
        <v>1867.72</v>
      </c>
      <c r="EE266" s="6"/>
      <c r="EF266" s="7">
        <f>ROUND(1037.12,2)</f>
        <v>1037.1199999999999</v>
      </c>
      <c r="EG266" s="6"/>
      <c r="EH266" s="7">
        <f>ROUND(243.92,2)</f>
        <v>243.92</v>
      </c>
      <c r="EI266" s="6"/>
      <c r="EJ266" s="6"/>
      <c r="EK266" s="7">
        <f>ROUND(1016.64,2)</f>
        <v>1016.64</v>
      </c>
      <c r="EL266" s="6"/>
      <c r="EM266" s="6"/>
      <c r="EN266" s="7">
        <f>ROUND(243.92,2)</f>
        <v>243.92</v>
      </c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7">
        <f>ROUND(170.13,2)</f>
        <v>170.13</v>
      </c>
      <c r="FC266" s="6"/>
      <c r="FD266" s="6"/>
      <c r="FE266" s="6"/>
      <c r="FF266" s="6"/>
      <c r="FG266" s="6"/>
      <c r="FH266" s="6"/>
      <c r="FI266" s="6"/>
      <c r="FJ266" s="7">
        <f>ROUND(950,2)</f>
        <v>950</v>
      </c>
      <c r="FK266" s="6"/>
      <c r="FL266" s="6"/>
      <c r="FM266" s="6"/>
      <c r="FN266" s="6"/>
      <c r="FO266" s="6"/>
      <c r="FP266" s="6"/>
      <c r="FQ266" s="6"/>
      <c r="FR266" s="6"/>
      <c r="FS266" s="6"/>
      <c r="FT266" s="7">
        <f t="shared" si="19"/>
        <v>3000</v>
      </c>
      <c r="FU266" s="6"/>
      <c r="FV266" s="6"/>
      <c r="FW266" s="6"/>
      <c r="FX266" s="6"/>
      <c r="FY266" s="7">
        <f>ROUND(84336.8099999999,2)</f>
        <v>84336.81</v>
      </c>
    </row>
    <row r="267" spans="1:181" x14ac:dyDescent="0.3">
      <c r="A267" s="4" t="s">
        <v>665</v>
      </c>
      <c r="B267" s="5" t="s">
        <v>1029</v>
      </c>
      <c r="C267" s="5" t="s">
        <v>181</v>
      </c>
      <c r="D267" s="5" t="s">
        <v>344</v>
      </c>
      <c r="E267" s="5" t="s">
        <v>0</v>
      </c>
      <c r="F267" s="5" t="s">
        <v>0</v>
      </c>
      <c r="G267" s="5" t="s">
        <v>183</v>
      </c>
      <c r="H267" s="8">
        <v>33.380000000000003</v>
      </c>
      <c r="I267" s="7">
        <f>ROUND(78943.03,2)</f>
        <v>78943.03</v>
      </c>
      <c r="J267" s="6"/>
      <c r="K267" s="6"/>
      <c r="L267" s="6"/>
      <c r="M267" s="6"/>
      <c r="N267" s="7">
        <f>ROUND(1503.9,2)</f>
        <v>1503.9</v>
      </c>
      <c r="O267" s="6"/>
      <c r="P267" s="6"/>
      <c r="Q267" s="7">
        <f>ROUND(64.69,2)</f>
        <v>64.69</v>
      </c>
      <c r="R267" s="6"/>
      <c r="S267" s="6"/>
      <c r="T267" s="6"/>
      <c r="U267" s="6"/>
      <c r="V267" s="7">
        <f>ROUND(6.83,2)</f>
        <v>6.83</v>
      </c>
      <c r="W267" s="6"/>
      <c r="X267" s="6"/>
      <c r="Y267" s="6"/>
      <c r="Z267" s="6"/>
      <c r="AA267" s="6"/>
      <c r="AB267" s="6"/>
      <c r="AC267" s="6"/>
      <c r="AD267" s="6"/>
      <c r="AE267" s="7">
        <f>ROUND(268.48,2)</f>
        <v>268.48</v>
      </c>
      <c r="AF267" s="6"/>
      <c r="AG267" s="7">
        <f>ROUND(40.12,2)</f>
        <v>40.119999999999997</v>
      </c>
      <c r="AH267" s="6"/>
      <c r="AI267" s="6"/>
      <c r="AJ267" s="6"/>
      <c r="AK267" s="6"/>
      <c r="AL267" s="6"/>
      <c r="AM267" s="6"/>
      <c r="AN267" s="6"/>
      <c r="AO267" s="6"/>
      <c r="AP267" s="7">
        <f>ROUND(205.549999999999,2)</f>
        <v>205.55</v>
      </c>
      <c r="AQ267" s="6"/>
      <c r="AR267" s="7">
        <f>ROUND(4.13,2)</f>
        <v>4.13</v>
      </c>
      <c r="AS267" s="6"/>
      <c r="AT267" s="6"/>
      <c r="AU267" s="7">
        <f>ROUND(68,2)</f>
        <v>68</v>
      </c>
      <c r="AV267" s="6"/>
      <c r="AW267" s="7">
        <f>ROUND(24,2)</f>
        <v>24</v>
      </c>
      <c r="AX267" s="7">
        <f>ROUND(8,2)</f>
        <v>8</v>
      </c>
      <c r="AY267" s="6"/>
      <c r="AZ267" s="6"/>
      <c r="BA267" s="6"/>
      <c r="BB267" s="6"/>
      <c r="BC267" s="6"/>
      <c r="BD267" s="7">
        <f>ROUND(8,2)</f>
        <v>8</v>
      </c>
      <c r="BE267" s="7">
        <f>ROUND(1.17,2)</f>
        <v>1.17</v>
      </c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7">
        <f>ROUND(3.37,2)</f>
        <v>3.37</v>
      </c>
      <c r="BR267" s="7">
        <f>ROUND(4.63,2)</f>
        <v>4.63</v>
      </c>
      <c r="BS267" s="6"/>
      <c r="BT267" s="6"/>
      <c r="BU267" s="6"/>
      <c r="BV267" s="6"/>
      <c r="BW267" s="6"/>
      <c r="BX267" s="6"/>
      <c r="BY267" s="7">
        <f>ROUND(26,2)</f>
        <v>26</v>
      </c>
      <c r="BZ267" s="6"/>
      <c r="CA267" s="7">
        <f>ROUND(8,2)</f>
        <v>8</v>
      </c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7">
        <f>ROUND(40,2)</f>
        <v>40</v>
      </c>
      <c r="CQ267" s="7">
        <f>ROUND(2284.86999999999,2)</f>
        <v>2284.87</v>
      </c>
      <c r="CR267" s="6"/>
      <c r="CS267" s="6"/>
      <c r="CT267" s="6"/>
      <c r="CU267" s="6"/>
      <c r="CV267" s="7">
        <f>ROUND(48179.24,2)</f>
        <v>48179.24</v>
      </c>
      <c r="CW267" s="6"/>
      <c r="CX267" s="6"/>
      <c r="CY267" s="7">
        <f>ROUND(3143.31999999999,2)</f>
        <v>3143.32</v>
      </c>
      <c r="CZ267" s="6"/>
      <c r="DA267" s="6"/>
      <c r="DB267" s="6"/>
      <c r="DC267" s="6"/>
      <c r="DD267" s="7">
        <f>ROUND(219.17,2)</f>
        <v>219.17</v>
      </c>
      <c r="DE267" s="6"/>
      <c r="DF267" s="6"/>
      <c r="DG267" s="6"/>
      <c r="DH267" s="6"/>
      <c r="DI267" s="6"/>
      <c r="DJ267" s="6"/>
      <c r="DK267" s="6"/>
      <c r="DL267" s="6"/>
      <c r="DM267" s="6"/>
      <c r="DN267" s="7">
        <f>ROUND(8794.25,2)</f>
        <v>8794.25</v>
      </c>
      <c r="DO267" s="6"/>
      <c r="DP267" s="7">
        <f>ROUND(1992.42,2)</f>
        <v>1992.42</v>
      </c>
      <c r="DQ267" s="6"/>
      <c r="DR267" s="6"/>
      <c r="DS267" s="6"/>
      <c r="DT267" s="6"/>
      <c r="DU267" s="6"/>
      <c r="DV267" s="6"/>
      <c r="DW267" s="6"/>
      <c r="DX267" s="6"/>
      <c r="DY267" s="7">
        <f>ROUND(6779.37,2)</f>
        <v>6779.37</v>
      </c>
      <c r="DZ267" s="6"/>
      <c r="EA267" s="7">
        <f>ROUND(202.47,2)</f>
        <v>202.47</v>
      </c>
      <c r="EB267" s="6"/>
      <c r="EC267" s="6"/>
      <c r="ED267" s="7">
        <f>ROUND(2191.8,2)</f>
        <v>2191.8000000000002</v>
      </c>
      <c r="EE267" s="6"/>
      <c r="EF267" s="7">
        <f>ROUND(772.719999999999,2)</f>
        <v>772.72</v>
      </c>
      <c r="EG267" s="7">
        <f>ROUND(396.6,2)</f>
        <v>396.6</v>
      </c>
      <c r="EH267" s="6"/>
      <c r="EI267" s="6"/>
      <c r="EJ267" s="6"/>
      <c r="EK267" s="6"/>
      <c r="EL267" s="6"/>
      <c r="EM267" s="6"/>
      <c r="EN267" s="7">
        <f>ROUND(256.72,2)</f>
        <v>256.72000000000003</v>
      </c>
      <c r="EO267" s="7">
        <f>ROUND(38.84,2)</f>
        <v>38.840000000000003</v>
      </c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7">
        <f>ROUND(111.38,2)</f>
        <v>111.38</v>
      </c>
      <c r="FE267" s="7">
        <f>ROUND(229.53,2)</f>
        <v>229.53</v>
      </c>
      <c r="FF267" s="6"/>
      <c r="FG267" s="6"/>
      <c r="FH267" s="6"/>
      <c r="FI267" s="6"/>
      <c r="FJ267" s="7">
        <f>ROUND(1300,2)</f>
        <v>1300</v>
      </c>
      <c r="FK267" s="6"/>
      <c r="FL267" s="6"/>
      <c r="FM267" s="6"/>
      <c r="FN267" s="6"/>
      <c r="FO267" s="6"/>
      <c r="FP267" s="6"/>
      <c r="FQ267" s="6"/>
      <c r="FR267" s="6"/>
      <c r="FS267" s="6"/>
      <c r="FT267" s="7">
        <f t="shared" si="19"/>
        <v>3000</v>
      </c>
      <c r="FU267" s="6"/>
      <c r="FV267" s="6"/>
      <c r="FW267" s="6"/>
      <c r="FX267" s="7">
        <f>ROUND(1335.2,2)</f>
        <v>1335.2</v>
      </c>
      <c r="FY267" s="7">
        <f>ROUND(78943.03,2)</f>
        <v>78943.03</v>
      </c>
    </row>
    <row r="268" spans="1:181" x14ac:dyDescent="0.3">
      <c r="A268" s="4" t="s">
        <v>678</v>
      </c>
      <c r="B268" s="5" t="s">
        <v>1029</v>
      </c>
      <c r="C268" s="5" t="s">
        <v>181</v>
      </c>
      <c r="D268" s="5" t="s">
        <v>276</v>
      </c>
      <c r="E268" s="5" t="s">
        <v>0</v>
      </c>
      <c r="F268" s="5" t="s">
        <v>0</v>
      </c>
      <c r="G268" s="5" t="s">
        <v>183</v>
      </c>
      <c r="H268" s="8">
        <v>33.380000000000003</v>
      </c>
      <c r="I268" s="7">
        <f>ROUND(83846.58,2)</f>
        <v>83846.58</v>
      </c>
      <c r="J268" s="6"/>
      <c r="K268" s="6"/>
      <c r="L268" s="6"/>
      <c r="M268" s="6"/>
      <c r="N268" s="7">
        <f>ROUND(1971.63,2)</f>
        <v>1971.63</v>
      </c>
      <c r="O268" s="6"/>
      <c r="P268" s="6"/>
      <c r="Q268" s="7">
        <f>ROUND(123.449999999999,2)</f>
        <v>123.45</v>
      </c>
      <c r="R268" s="6"/>
      <c r="S268" s="6"/>
      <c r="T268" s="6"/>
      <c r="U268" s="6"/>
      <c r="V268" s="6"/>
      <c r="W268" s="7">
        <f>ROUND(9.25,2)</f>
        <v>9.25</v>
      </c>
      <c r="X268" s="6"/>
      <c r="Y268" s="6"/>
      <c r="Z268" s="6"/>
      <c r="AA268" s="6"/>
      <c r="AB268" s="6"/>
      <c r="AC268" s="6"/>
      <c r="AD268" s="6"/>
      <c r="AE268" s="7">
        <f>ROUND(10,2)</f>
        <v>10</v>
      </c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>
        <f>ROUND(24.5,2)</f>
        <v>24.5</v>
      </c>
      <c r="AQ268" s="6"/>
      <c r="AR268" s="7">
        <f>ROUND(4.5,2)</f>
        <v>4.5</v>
      </c>
      <c r="AS268" s="6"/>
      <c r="AT268" s="6"/>
      <c r="AU268" s="7">
        <f>ROUND(68,2)</f>
        <v>68</v>
      </c>
      <c r="AV268" s="6"/>
      <c r="AW268" s="7">
        <f>ROUND(24,2)</f>
        <v>24</v>
      </c>
      <c r="AX268" s="6"/>
      <c r="AY268" s="7">
        <f>ROUND(24,2)</f>
        <v>24</v>
      </c>
      <c r="AZ268" s="6"/>
      <c r="BA268" s="6"/>
      <c r="BB268" s="6"/>
      <c r="BC268" s="6"/>
      <c r="BD268" s="7">
        <f>ROUND(8,2)</f>
        <v>8</v>
      </c>
      <c r="BE268" s="7">
        <f>ROUND(1.87,2)</f>
        <v>1.87</v>
      </c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7">
        <f>ROUND(56,2)</f>
        <v>56</v>
      </c>
      <c r="CQ268" s="7">
        <f>ROUND(2325.19999999999,2)</f>
        <v>2325.1999999999998</v>
      </c>
      <c r="CR268" s="6"/>
      <c r="CS268" s="6"/>
      <c r="CT268" s="6"/>
      <c r="CU268" s="6"/>
      <c r="CV268" s="7">
        <f>ROUND(64574.0099999999,2)</f>
        <v>64574.01</v>
      </c>
      <c r="CW268" s="6"/>
      <c r="CX268" s="6"/>
      <c r="CY268" s="7">
        <f>ROUND(5994.67,2)</f>
        <v>5994.67</v>
      </c>
      <c r="CZ268" s="6"/>
      <c r="DA268" s="6"/>
      <c r="DB268" s="6"/>
      <c r="DC268" s="6"/>
      <c r="DD268" s="6"/>
      <c r="DE268" s="7">
        <f>ROUND(458.57,2)</f>
        <v>458.57</v>
      </c>
      <c r="DF268" s="6"/>
      <c r="DG268" s="6"/>
      <c r="DH268" s="6"/>
      <c r="DI268" s="6"/>
      <c r="DJ268" s="6"/>
      <c r="DK268" s="6"/>
      <c r="DL268" s="6"/>
      <c r="DM268" s="6"/>
      <c r="DN268" s="7">
        <f>ROUND(320.9,2)</f>
        <v>320.89999999999998</v>
      </c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7">
        <f>ROUND(786.21,2)</f>
        <v>786.21</v>
      </c>
      <c r="DZ268" s="6"/>
      <c r="EA268" s="7">
        <f>ROUND(223.09,2)</f>
        <v>223.09</v>
      </c>
      <c r="EB268" s="6"/>
      <c r="EC268" s="6"/>
      <c r="ED268" s="7">
        <f>ROUND(2215.48,2)</f>
        <v>2215.48</v>
      </c>
      <c r="EE268" s="6"/>
      <c r="EF268" s="7">
        <f>ROUND(793.199999999999,2)</f>
        <v>793.2</v>
      </c>
      <c r="EG268" s="6"/>
      <c r="EH268" s="7">
        <f>ROUND(793.199999999999,2)</f>
        <v>793.2</v>
      </c>
      <c r="EI268" s="6"/>
      <c r="EJ268" s="6"/>
      <c r="EK268" s="6"/>
      <c r="EL268" s="6"/>
      <c r="EM268" s="6"/>
      <c r="EN268" s="7">
        <f>ROUND(256.72,2)</f>
        <v>256.72000000000003</v>
      </c>
      <c r="EO268" s="7">
        <f>ROUND(61.25,2)</f>
        <v>61.25</v>
      </c>
      <c r="EP268" s="6"/>
      <c r="EQ268" s="6"/>
      <c r="ER268" s="6"/>
      <c r="ES268" s="6"/>
      <c r="ET268" s="6"/>
      <c r="EU268" s="6"/>
      <c r="EV268" s="7">
        <f>ROUND(500,2)</f>
        <v>500</v>
      </c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7">
        <f>ROUND(2000,2)</f>
        <v>2000</v>
      </c>
      <c r="FK268" s="6"/>
      <c r="FL268" s="6"/>
      <c r="FM268" s="6"/>
      <c r="FN268" s="6"/>
      <c r="FO268" s="6"/>
      <c r="FP268" s="6"/>
      <c r="FQ268" s="6"/>
      <c r="FR268" s="6"/>
      <c r="FS268" s="6"/>
      <c r="FT268" s="7">
        <f t="shared" si="19"/>
        <v>3000</v>
      </c>
      <c r="FU268" s="6"/>
      <c r="FV268" s="6"/>
      <c r="FW268" s="6"/>
      <c r="FX268" s="7">
        <f>ROUND(1869.28,2)</f>
        <v>1869.28</v>
      </c>
      <c r="FY268" s="7">
        <f>ROUND(83846.58,2)</f>
        <v>83846.58</v>
      </c>
    </row>
    <row r="269" spans="1:181" x14ac:dyDescent="0.3">
      <c r="A269" s="4" t="s">
        <v>679</v>
      </c>
      <c r="B269" s="5" t="s">
        <v>1029</v>
      </c>
      <c r="C269" s="5" t="s">
        <v>181</v>
      </c>
      <c r="D269" s="5" t="s">
        <v>648</v>
      </c>
      <c r="E269" s="5" t="s">
        <v>0</v>
      </c>
      <c r="F269" s="5" t="s">
        <v>0</v>
      </c>
      <c r="G269" s="5" t="s">
        <v>183</v>
      </c>
      <c r="H269" s="8">
        <v>33.380000000000003</v>
      </c>
      <c r="I269" s="7">
        <f>ROUND(82958.18,2)</f>
        <v>82958.179999999993</v>
      </c>
      <c r="J269" s="6"/>
      <c r="K269" s="6"/>
      <c r="L269" s="6"/>
      <c r="M269" s="6"/>
      <c r="N269" s="7">
        <f>ROUND(1956.73,2)</f>
        <v>1956.73</v>
      </c>
      <c r="O269" s="6"/>
      <c r="P269" s="6"/>
      <c r="Q269" s="7">
        <f>ROUND(175.589999999999,2)</f>
        <v>175.59</v>
      </c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>
        <f>ROUND(2.33,2)</f>
        <v>2.33</v>
      </c>
      <c r="AQ269" s="6"/>
      <c r="AR269" s="6"/>
      <c r="AS269" s="6"/>
      <c r="AT269" s="6"/>
      <c r="AU269" s="7">
        <f>ROUND(68,2)</f>
        <v>68</v>
      </c>
      <c r="AV269" s="6"/>
      <c r="AW269" s="7">
        <f>ROUND(32,2)</f>
        <v>32</v>
      </c>
      <c r="AX269" s="6"/>
      <c r="AY269" s="7">
        <f>ROUND(34.33,2)</f>
        <v>34.33</v>
      </c>
      <c r="AZ269" s="7">
        <f>ROUND(5.67,2)</f>
        <v>5.67</v>
      </c>
      <c r="BA269" s="6"/>
      <c r="BB269" s="7">
        <f>ROUND(32,2)</f>
        <v>32</v>
      </c>
      <c r="BC269" s="6"/>
      <c r="BD269" s="6"/>
      <c r="BE269" s="7">
        <f>ROUND(4.43,2)</f>
        <v>4.43</v>
      </c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7">
        <f>ROUND(24,2)</f>
        <v>24</v>
      </c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7">
        <f>ROUND(8,2)</f>
        <v>8</v>
      </c>
      <c r="CQ269" s="7">
        <f>ROUND(2343.07999999999,2)</f>
        <v>2343.08</v>
      </c>
      <c r="CR269" s="6"/>
      <c r="CS269" s="6"/>
      <c r="CT269" s="6"/>
      <c r="CU269" s="6"/>
      <c r="CV269" s="7">
        <f>ROUND(64028.76,2)</f>
        <v>64028.76</v>
      </c>
      <c r="CW269" s="6"/>
      <c r="CX269" s="6"/>
      <c r="CY269" s="7">
        <f>ROUND(8646.86,2)</f>
        <v>8646.86</v>
      </c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7">
        <f>ROUND(75.12,2)</f>
        <v>75.12</v>
      </c>
      <c r="DZ269" s="6"/>
      <c r="EA269" s="6"/>
      <c r="EB269" s="6"/>
      <c r="EC269" s="6"/>
      <c r="ED269" s="7">
        <f>ROUND(2215.48,2)</f>
        <v>2215.48</v>
      </c>
      <c r="EE269" s="6"/>
      <c r="EF269" s="7">
        <f>ROUND(1057.6,2)</f>
        <v>1057.5999999999999</v>
      </c>
      <c r="EG269" s="6"/>
      <c r="EH269" s="7">
        <f>ROUND(1124.69,2)</f>
        <v>1124.69</v>
      </c>
      <c r="EI269" s="7">
        <f>ROUND(272.93,2)</f>
        <v>272.93</v>
      </c>
      <c r="EJ269" s="6"/>
      <c r="EK269" s="7">
        <f>ROUND(1026.88,2)</f>
        <v>1026.8800000000001</v>
      </c>
      <c r="EL269" s="6"/>
      <c r="EM269" s="6"/>
      <c r="EN269" s="6"/>
      <c r="EO269" s="7">
        <f>ROUND(142.82,2)</f>
        <v>142.82</v>
      </c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7">
        <f>ROUND(1100,2)</f>
        <v>1100</v>
      </c>
      <c r="FK269" s="6"/>
      <c r="FL269" s="6"/>
      <c r="FM269" s="6"/>
      <c r="FN269" s="6"/>
      <c r="FO269" s="6"/>
      <c r="FP269" s="6"/>
      <c r="FQ269" s="6"/>
      <c r="FR269" s="6"/>
      <c r="FS269" s="6"/>
      <c r="FT269" s="7">
        <f t="shared" si="19"/>
        <v>3000</v>
      </c>
      <c r="FU269" s="6"/>
      <c r="FV269" s="6"/>
      <c r="FW269" s="6"/>
      <c r="FX269" s="7">
        <f>ROUND(267.04,2)</f>
        <v>267.04000000000002</v>
      </c>
      <c r="FY269" s="7">
        <f>ROUND(82958.18,2)</f>
        <v>82958.179999999993</v>
      </c>
    </row>
    <row r="270" spans="1:181" x14ac:dyDescent="0.3">
      <c r="A270" s="4" t="s">
        <v>680</v>
      </c>
      <c r="B270" s="5" t="s">
        <v>1029</v>
      </c>
      <c r="C270" s="5" t="s">
        <v>181</v>
      </c>
      <c r="D270" s="5" t="s">
        <v>342</v>
      </c>
      <c r="E270" s="5" t="s">
        <v>0</v>
      </c>
      <c r="F270" s="5" t="s">
        <v>0</v>
      </c>
      <c r="G270" s="5" t="s">
        <v>183</v>
      </c>
      <c r="H270" s="8">
        <v>33.380000000000003</v>
      </c>
      <c r="I270" s="7">
        <f>ROUND(25618.48,2)</f>
        <v>25618.48</v>
      </c>
      <c r="J270" s="6"/>
      <c r="K270" s="6"/>
      <c r="L270" s="6"/>
      <c r="M270" s="6"/>
      <c r="N270" s="7">
        <f>ROUND(570.19,2)</f>
        <v>570.19000000000005</v>
      </c>
      <c r="O270" s="6"/>
      <c r="P270" s="6"/>
      <c r="Q270" s="7">
        <f>ROUND(3.32,2)</f>
        <v>3.32</v>
      </c>
      <c r="R270" s="6"/>
      <c r="S270" s="6"/>
      <c r="T270" s="6"/>
      <c r="U270" s="6"/>
      <c r="V270" s="7">
        <f>ROUND(4.73,2)</f>
        <v>4.7300000000000004</v>
      </c>
      <c r="W270" s="6"/>
      <c r="X270" s="6"/>
      <c r="Y270" s="6"/>
      <c r="Z270" s="6"/>
      <c r="AA270" s="6"/>
      <c r="AB270" s="6"/>
      <c r="AC270" s="6"/>
      <c r="AD270" s="6"/>
      <c r="AE270" s="7">
        <f>ROUND(26.17,2)</f>
        <v>26.17</v>
      </c>
      <c r="AF270" s="6"/>
      <c r="AG270" s="7">
        <f>ROUND(0.08,2)</f>
        <v>0.08</v>
      </c>
      <c r="AH270" s="6"/>
      <c r="AI270" s="6"/>
      <c r="AJ270" s="6"/>
      <c r="AK270" s="6"/>
      <c r="AL270" s="6"/>
      <c r="AM270" s="6"/>
      <c r="AN270" s="6"/>
      <c r="AO270" s="6"/>
      <c r="AP270" s="7">
        <f>ROUND(25.48,2)</f>
        <v>25.48</v>
      </c>
      <c r="AQ270" s="6"/>
      <c r="AR270" s="7">
        <f>ROUND(7,2)</f>
        <v>7</v>
      </c>
      <c r="AS270" s="6"/>
      <c r="AT270" s="6"/>
      <c r="AU270" s="7">
        <f>ROUND(20,2)</f>
        <v>20</v>
      </c>
      <c r="AV270" s="6"/>
      <c r="AW270" s="7">
        <f>ROUND(10,2)</f>
        <v>10</v>
      </c>
      <c r="AX270" s="6"/>
      <c r="AY270" s="7">
        <f>ROUND(20,2)</f>
        <v>20</v>
      </c>
      <c r="AZ270" s="6"/>
      <c r="BA270" s="6"/>
      <c r="BB270" s="7">
        <f>ROUND(10,2)</f>
        <v>10</v>
      </c>
      <c r="BC270" s="6"/>
      <c r="BD270" s="7">
        <f>ROUND(5.22,2)</f>
        <v>5.22</v>
      </c>
      <c r="BE270" s="7">
        <f>ROUND(3.8,2)</f>
        <v>3.8</v>
      </c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7">
        <f>ROUND(680,2)</f>
        <v>680</v>
      </c>
      <c r="BT270" s="6"/>
      <c r="BU270" s="7">
        <f>ROUND(62.22,2)</f>
        <v>62.22</v>
      </c>
      <c r="BV270" s="6"/>
      <c r="BW270" s="7">
        <f>ROUND(20,2)</f>
        <v>20</v>
      </c>
      <c r="BX270" s="6"/>
      <c r="BY270" s="7">
        <f>ROUND(15,2)</f>
        <v>15</v>
      </c>
      <c r="BZ270" s="6"/>
      <c r="CA270" s="7">
        <f>ROUND(20,2)</f>
        <v>20</v>
      </c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7">
        <f>ROUND(1503.20999999999,2)</f>
        <v>1503.21</v>
      </c>
      <c r="CR270" s="6"/>
      <c r="CS270" s="6"/>
      <c r="CT270" s="6"/>
      <c r="CU270" s="6"/>
      <c r="CV270" s="7">
        <f>ROUND(18576.2299999999,2)</f>
        <v>18576.23</v>
      </c>
      <c r="CW270" s="6"/>
      <c r="CX270" s="6"/>
      <c r="CY270" s="7">
        <f>ROUND(164.59,2)</f>
        <v>164.59</v>
      </c>
      <c r="CZ270" s="6"/>
      <c r="DA270" s="6"/>
      <c r="DB270" s="6"/>
      <c r="DC270" s="6"/>
      <c r="DD270" s="7">
        <f>ROUND(156.33,2)</f>
        <v>156.33000000000001</v>
      </c>
      <c r="DE270" s="6"/>
      <c r="DF270" s="6"/>
      <c r="DG270" s="6"/>
      <c r="DH270" s="6"/>
      <c r="DI270" s="6"/>
      <c r="DJ270" s="6"/>
      <c r="DK270" s="6"/>
      <c r="DL270" s="6"/>
      <c r="DM270" s="6"/>
      <c r="DN270" s="7">
        <f>ROUND(857.93,2)</f>
        <v>857.93</v>
      </c>
      <c r="DO270" s="6"/>
      <c r="DP270" s="7">
        <f>ROUND(4.01,2)</f>
        <v>4.01</v>
      </c>
      <c r="DQ270" s="6"/>
      <c r="DR270" s="6"/>
      <c r="DS270" s="6"/>
      <c r="DT270" s="6"/>
      <c r="DU270" s="6"/>
      <c r="DV270" s="6"/>
      <c r="DW270" s="6"/>
      <c r="DX270" s="6"/>
      <c r="DY270" s="7">
        <f>ROUND(844.09,2)</f>
        <v>844.09</v>
      </c>
      <c r="DZ270" s="6"/>
      <c r="EA270" s="7">
        <f>ROUND(350.49,2)</f>
        <v>350.49</v>
      </c>
      <c r="EB270" s="6"/>
      <c r="EC270" s="6"/>
      <c r="ED270" s="7">
        <f>ROUND(653.05,2)</f>
        <v>653.04999999999995</v>
      </c>
      <c r="EE270" s="6"/>
      <c r="EF270" s="7">
        <f>ROUND(327.35,2)</f>
        <v>327.35000000000002</v>
      </c>
      <c r="EG270" s="6"/>
      <c r="EH270" s="7">
        <f>ROUND(641.8,2)</f>
        <v>641.79999999999995</v>
      </c>
      <c r="EI270" s="6"/>
      <c r="EJ270" s="6"/>
      <c r="EK270" s="7">
        <f>ROUND(320.9,2)</f>
        <v>320.89999999999998</v>
      </c>
      <c r="EL270" s="6"/>
      <c r="EM270" s="6"/>
      <c r="EN270" s="7">
        <f>ROUND(172.52,2)</f>
        <v>172.52</v>
      </c>
      <c r="EO270" s="7">
        <f>ROUND(121.94,2)</f>
        <v>121.94</v>
      </c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7">
        <f>ROUND(802.25,2)</f>
        <v>802.25</v>
      </c>
      <c r="FG270" s="6"/>
      <c r="FH270" s="6"/>
      <c r="FI270" s="6"/>
      <c r="FJ270" s="7">
        <f>ROUND(125,2)</f>
        <v>125</v>
      </c>
      <c r="FK270" s="6"/>
      <c r="FL270" s="6"/>
      <c r="FM270" s="6"/>
      <c r="FN270" s="6"/>
      <c r="FO270" s="6"/>
      <c r="FP270" s="6"/>
      <c r="FQ270" s="6"/>
      <c r="FR270" s="6"/>
      <c r="FS270" s="6"/>
      <c r="FT270" s="7">
        <f>ROUND(1500,2)</f>
        <v>1500</v>
      </c>
      <c r="FU270" s="6"/>
      <c r="FV270" s="6"/>
      <c r="FW270" s="6"/>
      <c r="FX270" s="6"/>
      <c r="FY270" s="7">
        <f>ROUND(25618.48,2)</f>
        <v>25618.48</v>
      </c>
    </row>
    <row r="271" spans="1:181" x14ac:dyDescent="0.3">
      <c r="A271" s="4" t="s">
        <v>681</v>
      </c>
      <c r="B271" s="5" t="s">
        <v>1029</v>
      </c>
      <c r="C271" s="5" t="s">
        <v>181</v>
      </c>
      <c r="D271" s="5" t="s">
        <v>422</v>
      </c>
      <c r="E271" s="5" t="s">
        <v>0</v>
      </c>
      <c r="F271" s="5" t="s">
        <v>0</v>
      </c>
      <c r="G271" s="5" t="s">
        <v>183</v>
      </c>
      <c r="H271" s="9">
        <v>33.380000000000003</v>
      </c>
      <c r="I271" s="7">
        <f>ROUND(58982.9999999999,2)</f>
        <v>58983</v>
      </c>
      <c r="J271" s="6"/>
      <c r="K271" s="6"/>
      <c r="L271" s="6"/>
      <c r="M271" s="6"/>
      <c r="N271" s="7">
        <f>ROUND(1143.57999999999,2)</f>
        <v>1143.58</v>
      </c>
      <c r="O271" s="6"/>
      <c r="P271" s="6"/>
      <c r="Q271" s="7">
        <f>ROUND(18.4,2)</f>
        <v>18.399999999999999</v>
      </c>
      <c r="R271" s="6"/>
      <c r="S271" s="6"/>
      <c r="T271" s="6"/>
      <c r="U271" s="6"/>
      <c r="V271" s="7">
        <f>ROUND(36.3799999999999,2)</f>
        <v>36.380000000000003</v>
      </c>
      <c r="W271" s="7">
        <f>ROUND(13.27,2)</f>
        <v>13.27</v>
      </c>
      <c r="X271" s="6"/>
      <c r="Y271" s="6"/>
      <c r="Z271" s="6"/>
      <c r="AA271" s="6"/>
      <c r="AB271" s="6"/>
      <c r="AC271" s="6"/>
      <c r="AD271" s="6"/>
      <c r="AE271" s="7">
        <f>ROUND(143.5,2)</f>
        <v>143.5</v>
      </c>
      <c r="AF271" s="6"/>
      <c r="AG271" s="7">
        <f>ROUND(11.66,2)</f>
        <v>11.66</v>
      </c>
      <c r="AH271" s="6"/>
      <c r="AI271" s="6"/>
      <c r="AJ271" s="6"/>
      <c r="AK271" s="6"/>
      <c r="AL271" s="6"/>
      <c r="AM271" s="6"/>
      <c r="AN271" s="6"/>
      <c r="AO271" s="6"/>
      <c r="AP271" s="7">
        <f>ROUND(248.06,2)</f>
        <v>248.06</v>
      </c>
      <c r="AQ271" s="6"/>
      <c r="AR271" s="7">
        <f>ROUND(95.28,2)</f>
        <v>95.28</v>
      </c>
      <c r="AS271" s="6"/>
      <c r="AT271" s="6"/>
      <c r="AU271" s="7">
        <f>ROUND(49,2)</f>
        <v>49</v>
      </c>
      <c r="AV271" s="6"/>
      <c r="AW271" s="7">
        <f>ROUND(5,2)</f>
        <v>5</v>
      </c>
      <c r="AX271" s="6"/>
      <c r="AY271" s="7">
        <f>ROUND(40,2)</f>
        <v>40</v>
      </c>
      <c r="AZ271" s="6"/>
      <c r="BA271" s="6"/>
      <c r="BB271" s="6"/>
      <c r="BC271" s="6"/>
      <c r="BD271" s="7">
        <f>ROUND(8,2)</f>
        <v>8</v>
      </c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7">
        <f>ROUND(20.5,2)</f>
        <v>20.5</v>
      </c>
      <c r="BP271" s="6"/>
      <c r="BQ271" s="7">
        <f>ROUND(5.42,2)</f>
        <v>5.42</v>
      </c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7">
        <f>ROUND(1838.05,2)</f>
        <v>1838.05</v>
      </c>
      <c r="CR271" s="6"/>
      <c r="CS271" s="6"/>
      <c r="CT271" s="6"/>
      <c r="CU271" s="6"/>
      <c r="CV271" s="7">
        <f>ROUND(32011.96,2)</f>
        <v>32011.96</v>
      </c>
      <c r="CW271" s="6"/>
      <c r="CX271" s="6"/>
      <c r="CY271" s="7">
        <f>ROUND(821.85,2)</f>
        <v>821.85</v>
      </c>
      <c r="CZ271" s="6"/>
      <c r="DA271" s="6"/>
      <c r="DB271" s="6"/>
      <c r="DC271" s="6"/>
      <c r="DD271" s="7">
        <f>ROUND(1086.76,2)</f>
        <v>1086.76</v>
      </c>
      <c r="DE271" s="7">
        <f>ROUND(592.27,2)</f>
        <v>592.27</v>
      </c>
      <c r="DF271" s="6"/>
      <c r="DG271" s="6"/>
      <c r="DH271" s="6"/>
      <c r="DI271" s="6"/>
      <c r="DJ271" s="6"/>
      <c r="DK271" s="6"/>
      <c r="DL271" s="6"/>
      <c r="DM271" s="6"/>
      <c r="DN271" s="7">
        <f>ROUND(4150.52,2)</f>
        <v>4150.5200000000004</v>
      </c>
      <c r="DO271" s="6"/>
      <c r="DP271" s="7">
        <f>ROUND(520.32,2)</f>
        <v>520.32000000000005</v>
      </c>
      <c r="DQ271" s="6"/>
      <c r="DR271" s="6"/>
      <c r="DS271" s="6"/>
      <c r="DT271" s="6"/>
      <c r="DU271" s="6"/>
      <c r="DV271" s="6"/>
      <c r="DW271" s="6"/>
      <c r="DX271" s="6"/>
      <c r="DY271" s="7">
        <f>ROUND(7417.91,2)</f>
        <v>7417.91</v>
      </c>
      <c r="DZ271" s="6"/>
      <c r="EA271" s="7">
        <f>ROUND(4279.37,2)</f>
        <v>4279.37</v>
      </c>
      <c r="EB271" s="6"/>
      <c r="EC271" s="6"/>
      <c r="ED271" s="7">
        <f>ROUND(1386.27,2)</f>
        <v>1386.27</v>
      </c>
      <c r="EE271" s="6"/>
      <c r="EF271" s="7">
        <f>ROUND(136.4,2)</f>
        <v>136.4</v>
      </c>
      <c r="EG271" s="6"/>
      <c r="EH271" s="7">
        <f>ROUND(1190,2)</f>
        <v>1190</v>
      </c>
      <c r="EI271" s="6"/>
      <c r="EJ271" s="6"/>
      <c r="EK271" s="6"/>
      <c r="EL271" s="6"/>
      <c r="EM271" s="6"/>
      <c r="EN271" s="7">
        <f>ROUND(218.24,2)</f>
        <v>218.24</v>
      </c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7">
        <f>ROUND(609.88,2)</f>
        <v>609.88</v>
      </c>
      <c r="FC271" s="6"/>
      <c r="FD271" s="7">
        <f>ROUND(161.25,2)</f>
        <v>161.25</v>
      </c>
      <c r="FE271" s="6"/>
      <c r="FF271" s="6"/>
      <c r="FG271" s="6"/>
      <c r="FH271" s="6"/>
      <c r="FI271" s="6"/>
      <c r="FJ271" s="7">
        <f>ROUND(1400,2)</f>
        <v>1400</v>
      </c>
      <c r="FK271" s="6"/>
      <c r="FL271" s="6"/>
      <c r="FM271" s="6"/>
      <c r="FN271" s="6"/>
      <c r="FO271" s="6"/>
      <c r="FP271" s="6"/>
      <c r="FQ271" s="6"/>
      <c r="FR271" s="6"/>
      <c r="FS271" s="6"/>
      <c r="FT271" s="7">
        <f>ROUND(3000,2)</f>
        <v>3000</v>
      </c>
      <c r="FU271" s="6"/>
      <c r="FV271" s="6"/>
      <c r="FW271" s="6"/>
      <c r="FX271" s="6"/>
      <c r="FY271" s="7">
        <f>ROUND(58982.9999999999,2)</f>
        <v>58983</v>
      </c>
    </row>
    <row r="272" spans="1:181" x14ac:dyDescent="0.3">
      <c r="A272" s="4" t="s">
        <v>692</v>
      </c>
      <c r="B272" s="5" t="s">
        <v>1029</v>
      </c>
      <c r="C272" s="5" t="s">
        <v>181</v>
      </c>
      <c r="D272" s="5" t="s">
        <v>332</v>
      </c>
      <c r="E272" s="5" t="s">
        <v>693</v>
      </c>
      <c r="F272" s="5" t="s">
        <v>0</v>
      </c>
      <c r="G272" s="5" t="s">
        <v>183</v>
      </c>
      <c r="H272" s="8">
        <v>32.090000000000003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7">
        <f>ROUND(32,2)</f>
        <v>32</v>
      </c>
      <c r="BX272" s="6"/>
      <c r="BY272" s="6"/>
      <c r="BZ272" s="6"/>
      <c r="CA272" s="6"/>
      <c r="CB272" s="6"/>
      <c r="CC272" s="7">
        <f>ROUND(1000,2)</f>
        <v>1000</v>
      </c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7">
        <f>ROUND(1032,2)</f>
        <v>1032</v>
      </c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</row>
    <row r="273" spans="1:181" x14ac:dyDescent="0.3">
      <c r="A273" s="4" t="s">
        <v>695</v>
      </c>
      <c r="B273" s="5" t="s">
        <v>1029</v>
      </c>
      <c r="C273" s="5" t="s">
        <v>181</v>
      </c>
      <c r="D273" s="5" t="s">
        <v>468</v>
      </c>
      <c r="E273" s="5" t="s">
        <v>0</v>
      </c>
      <c r="F273" s="5" t="s">
        <v>0</v>
      </c>
      <c r="G273" s="5" t="s">
        <v>183</v>
      </c>
      <c r="H273" s="8">
        <v>33.380000000000003</v>
      </c>
      <c r="I273" s="7">
        <f>ROUND(15070.96,2)</f>
        <v>15070.96</v>
      </c>
      <c r="J273" s="6"/>
      <c r="K273" s="6"/>
      <c r="L273" s="6"/>
      <c r="M273" s="6"/>
      <c r="N273" s="7">
        <f>ROUND(8,2)</f>
        <v>8</v>
      </c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7">
        <f>ROUND(30,2)</f>
        <v>30</v>
      </c>
      <c r="AQ273" s="6"/>
      <c r="AR273" s="6"/>
      <c r="AS273" s="6"/>
      <c r="AT273" s="6"/>
      <c r="AU273" s="7">
        <f>ROUND(18,2)</f>
        <v>18</v>
      </c>
      <c r="AV273" s="6"/>
      <c r="AW273" s="6"/>
      <c r="AX273" s="6"/>
      <c r="AY273" s="6"/>
      <c r="AZ273" s="6"/>
      <c r="BA273" s="6"/>
      <c r="BB273" s="6"/>
      <c r="BC273" s="6"/>
      <c r="BD273" s="7">
        <f>ROUND(128,2)</f>
        <v>128</v>
      </c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7">
        <f>ROUND(48,2)</f>
        <v>48</v>
      </c>
      <c r="BX273" s="6"/>
      <c r="BY273" s="6"/>
      <c r="BZ273" s="6"/>
      <c r="CA273" s="6"/>
      <c r="CB273" s="6"/>
      <c r="CC273" s="7">
        <f>ROUND(1240,2)</f>
        <v>1240</v>
      </c>
      <c r="CD273" s="7">
        <f>ROUND(16,2)</f>
        <v>16</v>
      </c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7">
        <f>ROUND(160,2)</f>
        <v>160</v>
      </c>
      <c r="CQ273" s="7">
        <f>ROUND(1648,2)</f>
        <v>1648</v>
      </c>
      <c r="CR273" s="6"/>
      <c r="CS273" s="6"/>
      <c r="CT273" s="6"/>
      <c r="CU273" s="6"/>
      <c r="CV273" s="7">
        <f>ROUND(269.68,2)</f>
        <v>269.68</v>
      </c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7">
        <f>ROUND(1011.3,2)</f>
        <v>1011.3</v>
      </c>
      <c r="DZ273" s="6"/>
      <c r="EA273" s="6"/>
      <c r="EB273" s="6"/>
      <c r="EC273" s="6"/>
      <c r="ED273" s="7">
        <f>ROUND(601.5,2)</f>
        <v>601.5</v>
      </c>
      <c r="EE273" s="6"/>
      <c r="EF273" s="6"/>
      <c r="EG273" s="6"/>
      <c r="EH273" s="6"/>
      <c r="EI273" s="6"/>
      <c r="EJ273" s="6"/>
      <c r="EK273" s="6"/>
      <c r="EL273" s="6"/>
      <c r="EM273" s="6"/>
      <c r="EN273" s="7">
        <f>ROUND(4255.52,2)</f>
        <v>4255.5200000000004</v>
      </c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7">
        <f>ROUND(539.36,2)</f>
        <v>539.36</v>
      </c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7">
        <f>ROUND(3000,2)</f>
        <v>3000</v>
      </c>
      <c r="FU273" s="6"/>
      <c r="FV273" s="6"/>
      <c r="FW273" s="6"/>
      <c r="FX273" s="7">
        <f>ROUND(5393.6,2)</f>
        <v>5393.6</v>
      </c>
      <c r="FY273" s="7">
        <f>ROUND(15070.96,2)</f>
        <v>15070.96</v>
      </c>
    </row>
    <row r="274" spans="1:181" x14ac:dyDescent="0.3">
      <c r="A274" s="4" t="s">
        <v>696</v>
      </c>
      <c r="B274" s="5" t="s">
        <v>1029</v>
      </c>
      <c r="C274" s="5" t="s">
        <v>181</v>
      </c>
      <c r="D274" s="5" t="s">
        <v>697</v>
      </c>
      <c r="E274" s="5" t="s">
        <v>0</v>
      </c>
      <c r="F274" s="5" t="s">
        <v>0</v>
      </c>
      <c r="G274" s="5" t="s">
        <v>183</v>
      </c>
      <c r="H274" s="8">
        <v>33.880000000000003</v>
      </c>
      <c r="I274" s="7">
        <f>ROUND(76112.0899999999,2)</f>
        <v>76112.09</v>
      </c>
      <c r="J274" s="6"/>
      <c r="K274" s="6"/>
      <c r="L274" s="6"/>
      <c r="M274" s="6"/>
      <c r="N274" s="7">
        <f>ROUND(10.34,2)</f>
        <v>10.34</v>
      </c>
      <c r="O274" s="6"/>
      <c r="P274" s="6"/>
      <c r="Q274" s="7">
        <f>ROUND(8.12999999999999,2)</f>
        <v>8.1300000000000008</v>
      </c>
      <c r="R274" s="6"/>
      <c r="S274" s="6"/>
      <c r="T274" s="6"/>
      <c r="U274" s="6"/>
      <c r="V274" s="6"/>
      <c r="W274" s="7">
        <f>ROUND(5.25,2)</f>
        <v>5.25</v>
      </c>
      <c r="X274" s="6"/>
      <c r="Y274" s="6"/>
      <c r="Z274" s="6"/>
      <c r="AA274" s="6"/>
      <c r="AB274" s="6"/>
      <c r="AC274" s="6"/>
      <c r="AD274" s="6"/>
      <c r="AE274" s="7">
        <f>ROUND(581.569999999999,2)</f>
        <v>581.57000000000005</v>
      </c>
      <c r="AF274" s="6"/>
      <c r="AG274" s="7">
        <f>ROUND(24.1199999999999,2)</f>
        <v>24.12</v>
      </c>
      <c r="AH274" s="6"/>
      <c r="AI274" s="6"/>
      <c r="AJ274" s="6"/>
      <c r="AK274" s="6"/>
      <c r="AL274" s="6"/>
      <c r="AM274" s="6"/>
      <c r="AN274" s="6"/>
      <c r="AO274" s="6"/>
      <c r="AP274" s="7">
        <f>ROUND(5.5,2)</f>
        <v>5.5</v>
      </c>
      <c r="AQ274" s="6"/>
      <c r="AR274" s="7">
        <f>ROUND(20.16,2)</f>
        <v>20.16</v>
      </c>
      <c r="AS274" s="6"/>
      <c r="AT274" s="6"/>
      <c r="AU274" s="7">
        <f>ROUND(68,2)</f>
        <v>68</v>
      </c>
      <c r="AV274" s="6"/>
      <c r="AW274" s="7">
        <f>ROUND(24,2)</f>
        <v>24</v>
      </c>
      <c r="AX274" s="6"/>
      <c r="AY274" s="7">
        <f>ROUND(135,2)</f>
        <v>135</v>
      </c>
      <c r="AZ274" s="7">
        <f>ROUND(1,2)</f>
        <v>1</v>
      </c>
      <c r="BA274" s="6"/>
      <c r="BB274" s="7">
        <f>ROUND(32,2)</f>
        <v>32</v>
      </c>
      <c r="BC274" s="6"/>
      <c r="BD274" s="7">
        <f>ROUND(8,2)</f>
        <v>8</v>
      </c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7">
        <f>ROUND(1235.14,2)</f>
        <v>1235.1400000000001</v>
      </c>
      <c r="BP274" s="7">
        <f>ROUND(15.92,2)</f>
        <v>15.92</v>
      </c>
      <c r="BQ274" s="6"/>
      <c r="BR274" s="6"/>
      <c r="BS274" s="7">
        <f>ROUND(3.43,2)</f>
        <v>3.43</v>
      </c>
      <c r="BT274" s="7">
        <f>ROUND(0.85,2)</f>
        <v>0.85</v>
      </c>
      <c r="BU274" s="7">
        <f>ROUND(8,2)</f>
        <v>8</v>
      </c>
      <c r="BV274" s="7">
        <f>ROUND(0.92,2)</f>
        <v>0.92</v>
      </c>
      <c r="BW274" s="6"/>
      <c r="BX274" s="6"/>
      <c r="BY274" s="7">
        <f>ROUND(8,2)</f>
        <v>8</v>
      </c>
      <c r="BZ274" s="6"/>
      <c r="CA274" s="7">
        <f>ROUND(17.33,2)</f>
        <v>17.329999999999998</v>
      </c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7">
        <f>ROUND(8,2)</f>
        <v>8</v>
      </c>
      <c r="CQ274" s="7">
        <f>ROUND(2220.66,2)</f>
        <v>2220.66</v>
      </c>
      <c r="CR274" s="6"/>
      <c r="CS274" s="6"/>
      <c r="CT274" s="6"/>
      <c r="CU274" s="6"/>
      <c r="CV274" s="7">
        <f>ROUND(333.36,2)</f>
        <v>333.36</v>
      </c>
      <c r="CW274" s="6"/>
      <c r="CX274" s="6"/>
      <c r="CY274" s="7">
        <f>ROUND(414.09,2)</f>
        <v>414.09</v>
      </c>
      <c r="CZ274" s="6"/>
      <c r="DA274" s="6"/>
      <c r="DB274" s="6"/>
      <c r="DC274" s="6"/>
      <c r="DD274" s="6"/>
      <c r="DE274" s="7">
        <f>ROUND(260.27,2)</f>
        <v>260.27</v>
      </c>
      <c r="DF274" s="6"/>
      <c r="DG274" s="6"/>
      <c r="DH274" s="6"/>
      <c r="DI274" s="6"/>
      <c r="DJ274" s="6"/>
      <c r="DK274" s="6"/>
      <c r="DL274" s="6"/>
      <c r="DM274" s="6"/>
      <c r="DN274" s="7">
        <f>ROUND(19045.69,2)</f>
        <v>19045.689999999999</v>
      </c>
      <c r="DO274" s="6"/>
      <c r="DP274" s="7">
        <f>ROUND(1205.05,2)</f>
        <v>1205.05</v>
      </c>
      <c r="DQ274" s="6"/>
      <c r="DR274" s="6"/>
      <c r="DS274" s="6"/>
      <c r="DT274" s="6"/>
      <c r="DU274" s="6"/>
      <c r="DV274" s="6"/>
      <c r="DW274" s="6"/>
      <c r="DX274" s="6"/>
      <c r="DY274" s="7">
        <f>ROUND(182.6,2)</f>
        <v>182.6</v>
      </c>
      <c r="DZ274" s="6"/>
      <c r="EA274" s="7">
        <f>ROUND(988.649999999999,2)</f>
        <v>988.65</v>
      </c>
      <c r="EB274" s="6"/>
      <c r="EC274" s="6"/>
      <c r="ED274" s="7">
        <f>ROUND(2218.12,2)</f>
        <v>2218.12</v>
      </c>
      <c r="EE274" s="6"/>
      <c r="EF274" s="7">
        <f>ROUND(770.16,2)</f>
        <v>770.16</v>
      </c>
      <c r="EG274" s="6"/>
      <c r="EH274" s="7">
        <f>ROUND(4370.55,2)</f>
        <v>4370.55</v>
      </c>
      <c r="EI274" s="7">
        <f>ROUND(48.14,2)</f>
        <v>48.14</v>
      </c>
      <c r="EJ274" s="6"/>
      <c r="EK274" s="7">
        <f>ROUND(1042.24,2)</f>
        <v>1042.24</v>
      </c>
      <c r="EL274" s="6"/>
      <c r="EM274" s="6"/>
      <c r="EN274" s="7">
        <f>ROUND(256.72,2)</f>
        <v>256.72000000000003</v>
      </c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7">
        <f>ROUND(40207.5399999999,2)</f>
        <v>40207.54</v>
      </c>
      <c r="FC274" s="7">
        <f>ROUND(774.23,2)</f>
        <v>774.23</v>
      </c>
      <c r="FD274" s="6"/>
      <c r="FE274" s="6"/>
      <c r="FF274" s="6"/>
      <c r="FG274" s="6"/>
      <c r="FH274" s="6"/>
      <c r="FI274" s="6"/>
      <c r="FJ274" s="7">
        <f>ROUND(725,2)</f>
        <v>725</v>
      </c>
      <c r="FK274" s="6"/>
      <c r="FL274" s="6"/>
      <c r="FM274" s="6"/>
      <c r="FN274" s="6"/>
      <c r="FO274" s="6"/>
      <c r="FP274" s="6"/>
      <c r="FQ274" s="6"/>
      <c r="FR274" s="6"/>
      <c r="FS274" s="6"/>
      <c r="FT274" s="7">
        <f>ROUND(3000,2)</f>
        <v>3000</v>
      </c>
      <c r="FU274" s="6"/>
      <c r="FV274" s="6"/>
      <c r="FW274" s="6"/>
      <c r="FX274" s="7">
        <f>ROUND(269.68,2)</f>
        <v>269.68</v>
      </c>
      <c r="FY274" s="7">
        <f>ROUND(76112.0899999999,2)</f>
        <v>76112.09</v>
      </c>
    </row>
    <row r="275" spans="1:181" x14ac:dyDescent="0.3">
      <c r="A275" s="4" t="s">
        <v>698</v>
      </c>
      <c r="B275" s="5" t="s">
        <v>1029</v>
      </c>
      <c r="C275" s="5" t="s">
        <v>181</v>
      </c>
      <c r="D275" s="5" t="s">
        <v>268</v>
      </c>
      <c r="E275" s="5" t="s">
        <v>0</v>
      </c>
      <c r="F275" s="5" t="s">
        <v>0</v>
      </c>
      <c r="G275" s="5" t="s">
        <v>183</v>
      </c>
      <c r="H275" s="9">
        <v>31.71</v>
      </c>
      <c r="I275" s="7">
        <f>ROUND(24486.4,2)</f>
        <v>24486.400000000001</v>
      </c>
      <c r="J275" s="6"/>
      <c r="K275" s="6"/>
      <c r="L275" s="6"/>
      <c r="M275" s="6"/>
      <c r="N275" s="7">
        <f>ROUND(416.16,2)</f>
        <v>416.16</v>
      </c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7">
        <f>ROUND(107.43,2)</f>
        <v>107.43</v>
      </c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7">
        <f>ROUND(20,2)</f>
        <v>20</v>
      </c>
      <c r="AV275" s="6"/>
      <c r="AW275" s="6"/>
      <c r="AX275" s="6"/>
      <c r="AY275" s="6"/>
      <c r="AZ275" s="6"/>
      <c r="BA275" s="6"/>
      <c r="BB275" s="7">
        <f>ROUND(15,2)</f>
        <v>15</v>
      </c>
      <c r="BC275" s="6"/>
      <c r="BD275" s="7">
        <f>ROUND(389.239999999999,2)</f>
        <v>389.24</v>
      </c>
      <c r="BE275" s="6"/>
      <c r="BF275" s="7">
        <f>ROUND(14.69,2)</f>
        <v>14.69</v>
      </c>
      <c r="BG275" s="6"/>
      <c r="BH275" s="6"/>
      <c r="BI275" s="7">
        <f>ROUND(24.53,2)</f>
        <v>24.53</v>
      </c>
      <c r="BJ275" s="7">
        <f>ROUND(14.8,2)</f>
        <v>14.8</v>
      </c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7">
        <f>ROUND(1001.84999999999,2)</f>
        <v>1001.85</v>
      </c>
      <c r="CR275" s="6"/>
      <c r="CS275" s="6"/>
      <c r="CT275" s="6"/>
      <c r="CU275" s="6"/>
      <c r="CV275" s="7">
        <f>ROUND(11023.37,2)</f>
        <v>11023.37</v>
      </c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7">
        <f>ROUND(2891.06,2)</f>
        <v>2891.06</v>
      </c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7">
        <f>ROUND(501.999999999999,2)</f>
        <v>502</v>
      </c>
      <c r="EE275" s="6"/>
      <c r="EF275" s="6"/>
      <c r="EG275" s="6"/>
      <c r="EH275" s="6"/>
      <c r="EI275" s="6"/>
      <c r="EJ275" s="6"/>
      <c r="EK275" s="7">
        <f>ROUND(404.849999999999,2)</f>
        <v>404.85</v>
      </c>
      <c r="EL275" s="6"/>
      <c r="EM275" s="6"/>
      <c r="EN275" s="7">
        <f>ROUND(6811.71,2)</f>
        <v>6811.71</v>
      </c>
      <c r="EO275" s="6"/>
      <c r="EP275" s="7">
        <f>ROUND(385.62,2)</f>
        <v>385.62</v>
      </c>
      <c r="EQ275" s="6"/>
      <c r="ER275" s="6"/>
      <c r="ES275" s="6"/>
      <c r="ET275" s="7">
        <f>ROUND(429.28,2)</f>
        <v>429.28</v>
      </c>
      <c r="EU275" s="7">
        <f>ROUND(388.51,2)</f>
        <v>388.51</v>
      </c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7">
        <f>ROUND(150,2)</f>
        <v>150</v>
      </c>
      <c r="FK275" s="6"/>
      <c r="FL275" s="6"/>
      <c r="FM275" s="6"/>
      <c r="FN275" s="6"/>
      <c r="FO275" s="6"/>
      <c r="FP275" s="6"/>
      <c r="FQ275" s="6"/>
      <c r="FR275" s="6"/>
      <c r="FS275" s="6"/>
      <c r="FT275" s="7">
        <f>ROUND(1500,2)</f>
        <v>1500</v>
      </c>
      <c r="FU275" s="6"/>
      <c r="FV275" s="6"/>
      <c r="FW275" s="6"/>
      <c r="FX275" s="6"/>
      <c r="FY275" s="7">
        <f>ROUND(24486.4,2)</f>
        <v>24486.400000000001</v>
      </c>
    </row>
    <row r="276" spans="1:181" x14ac:dyDescent="0.3">
      <c r="A276" s="4" t="s">
        <v>702</v>
      </c>
      <c r="B276" s="5" t="s">
        <v>1029</v>
      </c>
      <c r="C276" s="5" t="s">
        <v>181</v>
      </c>
      <c r="D276" s="5" t="s">
        <v>332</v>
      </c>
      <c r="E276" s="5" t="s">
        <v>0</v>
      </c>
      <c r="F276" s="5" t="s">
        <v>0</v>
      </c>
      <c r="G276" s="5" t="s">
        <v>183</v>
      </c>
      <c r="H276" s="8">
        <v>33.880000000000003</v>
      </c>
      <c r="I276" s="7">
        <f>ROUND(78723.5199999999,2)</f>
        <v>78723.520000000004</v>
      </c>
      <c r="J276" s="6"/>
      <c r="K276" s="6"/>
      <c r="L276" s="6"/>
      <c r="M276" s="6"/>
      <c r="N276" s="7">
        <f>ROUND(1501.65999999999,2)</f>
        <v>1501.66</v>
      </c>
      <c r="O276" s="6"/>
      <c r="P276" s="6"/>
      <c r="Q276" s="7">
        <f>ROUND(74.16,2)</f>
        <v>74.16</v>
      </c>
      <c r="R276" s="6"/>
      <c r="S276" s="6"/>
      <c r="T276" s="6"/>
      <c r="U276" s="6"/>
      <c r="V276" s="7">
        <f>ROUND(8.3,2)</f>
        <v>8.3000000000000007</v>
      </c>
      <c r="W276" s="6"/>
      <c r="X276" s="6"/>
      <c r="Y276" s="6"/>
      <c r="Z276" s="6"/>
      <c r="AA276" s="6"/>
      <c r="AB276" s="6"/>
      <c r="AC276" s="6"/>
      <c r="AD276" s="6"/>
      <c r="AE276" s="7">
        <f>ROUND(77,2)</f>
        <v>77</v>
      </c>
      <c r="AF276" s="6"/>
      <c r="AG276" s="7">
        <f>ROUND(4,2)</f>
        <v>4</v>
      </c>
      <c r="AH276" s="6"/>
      <c r="AI276" s="6"/>
      <c r="AJ276" s="6"/>
      <c r="AK276" s="6"/>
      <c r="AL276" s="6"/>
      <c r="AM276" s="6"/>
      <c r="AN276" s="6"/>
      <c r="AO276" s="6"/>
      <c r="AP276" s="7">
        <f>ROUND(267.76,2)</f>
        <v>267.76</v>
      </c>
      <c r="AQ276" s="6"/>
      <c r="AR276" s="7">
        <f>ROUND(0.45,2)</f>
        <v>0.45</v>
      </c>
      <c r="AS276" s="6"/>
      <c r="AT276" s="6"/>
      <c r="AU276" s="7">
        <f>ROUND(66.83,2)</f>
        <v>66.83</v>
      </c>
      <c r="AV276" s="7">
        <f>ROUND(7.16,2)</f>
        <v>7.16</v>
      </c>
      <c r="AW276" s="7">
        <f>ROUND(40,2)</f>
        <v>40</v>
      </c>
      <c r="AX276" s="6"/>
      <c r="AY276" s="7">
        <f>ROUND(110.85,2)</f>
        <v>110.85</v>
      </c>
      <c r="AZ276" s="7">
        <f>ROUND(9.15,2)</f>
        <v>9.15</v>
      </c>
      <c r="BA276" s="6"/>
      <c r="BB276" s="7">
        <f>ROUND(10,2)</f>
        <v>10</v>
      </c>
      <c r="BC276" s="6"/>
      <c r="BD276" s="7">
        <f>ROUND(8,2)</f>
        <v>8</v>
      </c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7">
        <f>ROUND(19,2)</f>
        <v>19</v>
      </c>
      <c r="BP276" s="6"/>
      <c r="BQ276" s="7">
        <f>ROUND(8,2)</f>
        <v>8</v>
      </c>
      <c r="BR276" s="6"/>
      <c r="BS276" s="6"/>
      <c r="BT276" s="6"/>
      <c r="BU276" s="6"/>
      <c r="BV276" s="6"/>
      <c r="BW276" s="6"/>
      <c r="BX276" s="6"/>
      <c r="BY276" s="7">
        <f>ROUND(16,2)</f>
        <v>16</v>
      </c>
      <c r="BZ276" s="6"/>
      <c r="CA276" s="7">
        <f>ROUND(8,2)</f>
        <v>8</v>
      </c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7">
        <f>ROUND(8,2)</f>
        <v>8</v>
      </c>
      <c r="CQ276" s="7">
        <f>ROUND(2244.31999999999,2)</f>
        <v>2244.3200000000002</v>
      </c>
      <c r="CR276" s="6"/>
      <c r="CS276" s="6"/>
      <c r="CT276" s="6"/>
      <c r="CU276" s="6"/>
      <c r="CV276" s="7">
        <f>ROUND(49003.5499999999,2)</f>
        <v>49003.55</v>
      </c>
      <c r="CW276" s="6"/>
      <c r="CX276" s="6"/>
      <c r="CY276" s="7">
        <f>ROUND(3640.42,2)</f>
        <v>3640.42</v>
      </c>
      <c r="CZ276" s="6"/>
      <c r="DA276" s="6"/>
      <c r="DB276" s="6"/>
      <c r="DC276" s="6"/>
      <c r="DD276" s="7">
        <f>ROUND(267.59,2)</f>
        <v>267.58999999999997</v>
      </c>
      <c r="DE276" s="6"/>
      <c r="DF276" s="6"/>
      <c r="DG276" s="6"/>
      <c r="DH276" s="6"/>
      <c r="DI276" s="6"/>
      <c r="DJ276" s="6"/>
      <c r="DK276" s="6"/>
      <c r="DL276" s="6"/>
      <c r="DM276" s="6"/>
      <c r="DN276" s="7">
        <f>ROUND(2471.31,2)</f>
        <v>2471.31</v>
      </c>
      <c r="DO276" s="6"/>
      <c r="DP276" s="7">
        <f>ROUND(192.54,2)</f>
        <v>192.54</v>
      </c>
      <c r="DQ276" s="6"/>
      <c r="DR276" s="6"/>
      <c r="DS276" s="6"/>
      <c r="DT276" s="6"/>
      <c r="DU276" s="6"/>
      <c r="DV276" s="6"/>
      <c r="DW276" s="6"/>
      <c r="DX276" s="6"/>
      <c r="DY276" s="7">
        <f>ROUND(8692.55,2)</f>
        <v>8692.5499999999993</v>
      </c>
      <c r="DZ276" s="6"/>
      <c r="EA276" s="7">
        <f>ROUND(22.06,2)</f>
        <v>22.06</v>
      </c>
      <c r="EB276" s="6"/>
      <c r="EC276" s="6"/>
      <c r="ED276" s="7">
        <f>ROUND(2171.05,2)</f>
        <v>2171.0500000000002</v>
      </c>
      <c r="EE276" s="7">
        <f>ROUND(354.99,2)</f>
        <v>354.99</v>
      </c>
      <c r="EF276" s="7">
        <f>ROUND(1293.92,2)</f>
        <v>1293.92</v>
      </c>
      <c r="EG276" s="6"/>
      <c r="EH276" s="7">
        <f>ROUND(3608.78,2)</f>
        <v>3608.78</v>
      </c>
      <c r="EI276" s="7">
        <f>ROUND(443.669999999999,2)</f>
        <v>443.67</v>
      </c>
      <c r="EJ276" s="6"/>
      <c r="EK276" s="7">
        <f>ROUND(320.9,2)</f>
        <v>320.89999999999998</v>
      </c>
      <c r="EL276" s="6"/>
      <c r="EM276" s="6"/>
      <c r="EN276" s="7">
        <f>ROUND(256.72,2)</f>
        <v>256.72000000000003</v>
      </c>
      <c r="EO276" s="6"/>
      <c r="EP276" s="6"/>
      <c r="EQ276" s="6"/>
      <c r="ER276" s="6"/>
      <c r="ES276" s="6"/>
      <c r="ET276" s="6"/>
      <c r="EU276" s="6"/>
      <c r="EV276" s="7">
        <f>ROUND(500,2)</f>
        <v>500</v>
      </c>
      <c r="EW276" s="6"/>
      <c r="EX276" s="6"/>
      <c r="EY276" s="6"/>
      <c r="EZ276" s="6"/>
      <c r="FA276" s="6"/>
      <c r="FB276" s="7">
        <f>ROUND(609.71,2)</f>
        <v>609.71</v>
      </c>
      <c r="FC276" s="6"/>
      <c r="FD276" s="7">
        <f>ROUND(256.72,2)</f>
        <v>256.72000000000003</v>
      </c>
      <c r="FE276" s="6"/>
      <c r="FF276" s="6"/>
      <c r="FG276" s="6"/>
      <c r="FH276" s="6"/>
      <c r="FI276" s="6"/>
      <c r="FJ276" s="7">
        <f>ROUND(1350,2)</f>
        <v>1350</v>
      </c>
      <c r="FK276" s="6"/>
      <c r="FL276" s="6"/>
      <c r="FM276" s="6"/>
      <c r="FN276" s="6"/>
      <c r="FO276" s="6"/>
      <c r="FP276" s="6"/>
      <c r="FQ276" s="6"/>
      <c r="FR276" s="6"/>
      <c r="FS276" s="6"/>
      <c r="FT276" s="7">
        <f t="shared" ref="FT276:FT282" si="21">ROUND(3000,2)</f>
        <v>3000</v>
      </c>
      <c r="FU276" s="6"/>
      <c r="FV276" s="6"/>
      <c r="FW276" s="6"/>
      <c r="FX276" s="7">
        <f>ROUND(267.04,2)</f>
        <v>267.04000000000002</v>
      </c>
      <c r="FY276" s="7">
        <f>ROUND(78723.5199999999,2)</f>
        <v>78723.520000000004</v>
      </c>
    </row>
    <row r="277" spans="1:181" x14ac:dyDescent="0.3">
      <c r="A277" s="4" t="s">
        <v>703</v>
      </c>
      <c r="B277" s="5" t="s">
        <v>1029</v>
      </c>
      <c r="C277" s="5" t="s">
        <v>181</v>
      </c>
      <c r="D277" s="5" t="s">
        <v>704</v>
      </c>
      <c r="E277" s="5" t="s">
        <v>0</v>
      </c>
      <c r="F277" s="5" t="s">
        <v>0</v>
      </c>
      <c r="G277" s="5" t="s">
        <v>183</v>
      </c>
      <c r="H277" s="8">
        <v>34.04</v>
      </c>
      <c r="I277" s="7">
        <f>ROUND(109797.77,2)</f>
        <v>109797.77</v>
      </c>
      <c r="J277" s="6"/>
      <c r="K277" s="6"/>
      <c r="L277" s="6"/>
      <c r="M277" s="6"/>
      <c r="N277" s="7">
        <f>ROUND(481.84,2)</f>
        <v>481.84</v>
      </c>
      <c r="O277" s="6"/>
      <c r="P277" s="6"/>
      <c r="Q277" s="7">
        <f>ROUND(203.28,2)</f>
        <v>203.28</v>
      </c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7">
        <f>ROUND(1413.69999999999,2)</f>
        <v>1413.7</v>
      </c>
      <c r="AF277" s="6"/>
      <c r="AG277" s="7">
        <f>ROUND(422.14,2)</f>
        <v>422.14</v>
      </c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7">
        <f>ROUND(64,2)</f>
        <v>64</v>
      </c>
      <c r="AV277" s="7">
        <f>ROUND(8,2)</f>
        <v>8</v>
      </c>
      <c r="AW277" s="7">
        <f>ROUND(16,2)</f>
        <v>16</v>
      </c>
      <c r="AX277" s="7">
        <f>ROUND(16,2)</f>
        <v>16</v>
      </c>
      <c r="AY277" s="7">
        <f>ROUND(146.16,2)</f>
        <v>146.16</v>
      </c>
      <c r="AZ277" s="7">
        <f>ROUND(31.84,2)</f>
        <v>31.84</v>
      </c>
      <c r="BA277" s="6"/>
      <c r="BB277" s="6"/>
      <c r="BC277" s="6"/>
      <c r="BD277" s="7">
        <f>ROUND(8,2)</f>
        <v>8</v>
      </c>
      <c r="BE277" s="7">
        <f>ROUND(2.3,2)</f>
        <v>2.2999999999999998</v>
      </c>
      <c r="BF277" s="6"/>
      <c r="BG277" s="7">
        <f>ROUND(13.22,2)</f>
        <v>13.22</v>
      </c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7">
        <f>ROUND(1.71,2)</f>
        <v>1.71</v>
      </c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7">
        <f>ROUND(64,2)</f>
        <v>64</v>
      </c>
      <c r="CQ277" s="7">
        <f>ROUND(2892.18999999999,2)</f>
        <v>2892.19</v>
      </c>
      <c r="CR277" s="6"/>
      <c r="CS277" s="6"/>
      <c r="CT277" s="6"/>
      <c r="CU277" s="6"/>
      <c r="CV277" s="7">
        <f>ROUND(15586.79,2)</f>
        <v>15586.79</v>
      </c>
      <c r="CW277" s="6"/>
      <c r="CX277" s="6"/>
      <c r="CY277" s="7">
        <f>ROUND(9839.38,2)</f>
        <v>9839.3799999999992</v>
      </c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7">
        <f>ROUND(46229.0099999999,2)</f>
        <v>46229.01</v>
      </c>
      <c r="DO277" s="6"/>
      <c r="DP277" s="7">
        <f>ROUND(20710.9,2)</f>
        <v>20710.900000000001</v>
      </c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7">
        <f>ROUND(2084.72,2)</f>
        <v>2084.7199999999998</v>
      </c>
      <c r="EE277" s="7">
        <f>ROUND(396.64,2)</f>
        <v>396.64</v>
      </c>
      <c r="EF277" s="7">
        <f>ROUND(521.12,2)</f>
        <v>521.12</v>
      </c>
      <c r="EG277" s="7">
        <f>ROUND(781.68,2)</f>
        <v>781.68</v>
      </c>
      <c r="EH277" s="7">
        <f>ROUND(4739.5,2)</f>
        <v>4739.5</v>
      </c>
      <c r="EI277" s="7">
        <f>ROUND(1574.71,2)</f>
        <v>1574.71</v>
      </c>
      <c r="EJ277" s="6"/>
      <c r="EK277" s="6"/>
      <c r="EL277" s="6"/>
      <c r="EM277" s="6"/>
      <c r="EN277" s="7">
        <f>ROUND(256.72,2)</f>
        <v>256.72000000000003</v>
      </c>
      <c r="EO277" s="7">
        <f>ROUND(73.81,2)</f>
        <v>73.81</v>
      </c>
      <c r="EP277" s="6"/>
      <c r="EQ277" s="7">
        <f>ROUND(424.23,2)</f>
        <v>424.23</v>
      </c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7">
        <f>ROUND(1400,2)</f>
        <v>1400</v>
      </c>
      <c r="FK277" s="6"/>
      <c r="FL277" s="6"/>
      <c r="FM277" s="6"/>
      <c r="FN277" s="6"/>
      <c r="FO277" s="6"/>
      <c r="FP277" s="6"/>
      <c r="FQ277" s="6"/>
      <c r="FR277" s="6"/>
      <c r="FS277" s="6"/>
      <c r="FT277" s="7">
        <f t="shared" si="21"/>
        <v>3000</v>
      </c>
      <c r="FU277" s="6"/>
      <c r="FV277" s="6"/>
      <c r="FW277" s="6"/>
      <c r="FX277" s="7">
        <f>ROUND(2178.56,2)</f>
        <v>2178.56</v>
      </c>
      <c r="FY277" s="7">
        <f>ROUND(109797.77,2)</f>
        <v>109797.77</v>
      </c>
    </row>
    <row r="278" spans="1:181" x14ac:dyDescent="0.3">
      <c r="A278" s="4" t="s">
        <v>705</v>
      </c>
      <c r="B278" s="5" t="s">
        <v>1029</v>
      </c>
      <c r="C278" s="5" t="s">
        <v>181</v>
      </c>
      <c r="D278" s="5" t="s">
        <v>547</v>
      </c>
      <c r="E278" s="5" t="s">
        <v>0</v>
      </c>
      <c r="F278" s="5" t="s">
        <v>0</v>
      </c>
      <c r="G278" s="5" t="s">
        <v>183</v>
      </c>
      <c r="H278" s="8">
        <v>33.880000000000003</v>
      </c>
      <c r="I278" s="7">
        <f>ROUND(69033.2,2)</f>
        <v>69033.2</v>
      </c>
      <c r="J278" s="6"/>
      <c r="K278" s="6"/>
      <c r="L278" s="6"/>
      <c r="M278" s="6"/>
      <c r="N278" s="7">
        <f>ROUND(1080.56,2)</f>
        <v>1080.56</v>
      </c>
      <c r="O278" s="6"/>
      <c r="P278" s="6"/>
      <c r="Q278" s="7">
        <f>ROUND(67.08,2)</f>
        <v>67.08</v>
      </c>
      <c r="R278" s="6"/>
      <c r="S278" s="6"/>
      <c r="T278" s="6"/>
      <c r="U278" s="6"/>
      <c r="V278" s="7">
        <f>ROUND(8,2)</f>
        <v>8</v>
      </c>
      <c r="W278" s="6"/>
      <c r="X278" s="7">
        <f>ROUND(2.41,2)</f>
        <v>2.41</v>
      </c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7">
        <f>ROUND(45.11,2)</f>
        <v>45.11</v>
      </c>
      <c r="AQ278" s="6"/>
      <c r="AR278" s="6"/>
      <c r="AS278" s="6"/>
      <c r="AT278" s="6"/>
      <c r="AU278" s="7">
        <f>ROUND(71.33,2)</f>
        <v>71.33</v>
      </c>
      <c r="AV278" s="7">
        <f>ROUND(0.66,2)</f>
        <v>0.66</v>
      </c>
      <c r="AW278" s="7">
        <f>ROUND(32.75,2)</f>
        <v>32.75</v>
      </c>
      <c r="AX278" s="7">
        <f>ROUND(7.25,2)</f>
        <v>7.25</v>
      </c>
      <c r="AY278" s="7">
        <f>ROUND(95.7,2)</f>
        <v>95.7</v>
      </c>
      <c r="AZ278" s="7">
        <f>ROUND(8.3,2)</f>
        <v>8.3000000000000007</v>
      </c>
      <c r="BA278" s="6"/>
      <c r="BB278" s="7">
        <f>ROUND(8,2)</f>
        <v>8</v>
      </c>
      <c r="BC278" s="6"/>
      <c r="BD278" s="7">
        <f>ROUND(23.83,2)</f>
        <v>23.83</v>
      </c>
      <c r="BE278" s="6"/>
      <c r="BF278" s="7">
        <f>ROUND(1.17,2)</f>
        <v>1.17</v>
      </c>
      <c r="BG278" s="7">
        <f>ROUND(24,2)</f>
        <v>24</v>
      </c>
      <c r="BH278" s="6"/>
      <c r="BI278" s="6"/>
      <c r="BJ278" s="6"/>
      <c r="BK278" s="7">
        <f>ROUND(400.059999999999,2)</f>
        <v>400.06</v>
      </c>
      <c r="BL278" s="7">
        <f>ROUND(15.44,2)</f>
        <v>15.44</v>
      </c>
      <c r="BM278" s="6"/>
      <c r="BN278" s="6"/>
      <c r="BO278" s="6"/>
      <c r="BP278" s="6"/>
      <c r="BQ278" s="6"/>
      <c r="BR278" s="6"/>
      <c r="BS278" s="6"/>
      <c r="BT278" s="7">
        <f>ROUND(0.72,2)</f>
        <v>0.72</v>
      </c>
      <c r="BU278" s="6"/>
      <c r="BV278" s="6"/>
      <c r="BW278" s="6"/>
      <c r="BX278" s="6"/>
      <c r="BY278" s="7">
        <f>ROUND(8,2)</f>
        <v>8</v>
      </c>
      <c r="BZ278" s="6"/>
      <c r="CA278" s="6"/>
      <c r="CB278" s="7">
        <f>ROUND(425.52,2)</f>
        <v>425.52</v>
      </c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7">
        <f>ROUND(48,2)</f>
        <v>48</v>
      </c>
      <c r="CQ278" s="7">
        <f>ROUND(2373.89,2)</f>
        <v>2373.89</v>
      </c>
      <c r="CR278" s="6"/>
      <c r="CS278" s="6"/>
      <c r="CT278" s="6"/>
      <c r="CU278" s="6"/>
      <c r="CV278" s="7">
        <f>ROUND(35158.07,2)</f>
        <v>35158.07</v>
      </c>
      <c r="CW278" s="6"/>
      <c r="CX278" s="6"/>
      <c r="CY278" s="7">
        <f>ROUND(3250.75,2)</f>
        <v>3250.75</v>
      </c>
      <c r="CZ278" s="6"/>
      <c r="DA278" s="6"/>
      <c r="DB278" s="6"/>
      <c r="DC278" s="6"/>
      <c r="DD278" s="7">
        <f>ROUND(265.6,2)</f>
        <v>265.60000000000002</v>
      </c>
      <c r="DE278" s="6"/>
      <c r="DF278" s="7">
        <f>ROUND(77.33,2)</f>
        <v>77.33</v>
      </c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7">
        <f>ROUND(1447.58,2)</f>
        <v>1447.58</v>
      </c>
      <c r="DZ278" s="6"/>
      <c r="EA278" s="6"/>
      <c r="EB278" s="6"/>
      <c r="EC278" s="6"/>
      <c r="ED278" s="7">
        <f>ROUND(2321.7,2)</f>
        <v>2321.6999999999998</v>
      </c>
      <c r="EE278" s="7">
        <f>ROUND(32.72,2)</f>
        <v>32.72</v>
      </c>
      <c r="EF278" s="7">
        <f>ROUND(1058.62,2)</f>
        <v>1058.6199999999999</v>
      </c>
      <c r="EG278" s="7">
        <f>ROUND(348.98,2)</f>
        <v>348.98</v>
      </c>
      <c r="EH278" s="7">
        <f>ROUND(3093.76,2)</f>
        <v>3093.76</v>
      </c>
      <c r="EI278" s="7">
        <f>ROUND(411.47,2)</f>
        <v>411.47</v>
      </c>
      <c r="EJ278" s="6"/>
      <c r="EK278" s="7">
        <f>ROUND(264.4,2)</f>
        <v>264.39999999999998</v>
      </c>
      <c r="EL278" s="6"/>
      <c r="EM278" s="6"/>
      <c r="EN278" s="7">
        <f>ROUND(779.9,2)</f>
        <v>779.9</v>
      </c>
      <c r="EO278" s="6"/>
      <c r="EP278" s="7">
        <f>ROUND(58,2)</f>
        <v>58</v>
      </c>
      <c r="EQ278" s="7">
        <f>ROUND(801.12,2)</f>
        <v>801.12</v>
      </c>
      <c r="ER278" s="6"/>
      <c r="ES278" s="6"/>
      <c r="ET278" s="6"/>
      <c r="EU278" s="6"/>
      <c r="EV278" s="6"/>
      <c r="EW278" s="6"/>
      <c r="EX278" s="7">
        <f>ROUND(13008.56,2)</f>
        <v>13008.56</v>
      </c>
      <c r="EY278" s="7">
        <f>ROUND(745.46,2)</f>
        <v>745.46</v>
      </c>
      <c r="EZ278" s="6"/>
      <c r="FA278" s="6"/>
      <c r="FB278" s="6"/>
      <c r="FC278" s="6"/>
      <c r="FD278" s="6"/>
      <c r="FE278" s="6"/>
      <c r="FF278" s="6"/>
      <c r="FG278" s="6"/>
      <c r="FH278" s="7">
        <f>ROUND(-93.06,2)</f>
        <v>-93.06</v>
      </c>
      <c r="FI278" s="6"/>
      <c r="FJ278" s="7">
        <f>ROUND(1400,2)</f>
        <v>1400</v>
      </c>
      <c r="FK278" s="6"/>
      <c r="FL278" s="6"/>
      <c r="FM278" s="6"/>
      <c r="FN278" s="6"/>
      <c r="FO278" s="6"/>
      <c r="FP278" s="6"/>
      <c r="FQ278" s="6"/>
      <c r="FR278" s="6"/>
      <c r="FS278" s="6"/>
      <c r="FT278" s="7">
        <f t="shared" si="21"/>
        <v>3000</v>
      </c>
      <c r="FU278" s="6"/>
      <c r="FV278" s="6"/>
      <c r="FW278" s="6"/>
      <c r="FX278" s="7">
        <f>ROUND(1602.24,2)</f>
        <v>1602.24</v>
      </c>
      <c r="FY278" s="7">
        <f>ROUND(69033.2,2)</f>
        <v>69033.2</v>
      </c>
    </row>
    <row r="279" spans="1:181" x14ac:dyDescent="0.3">
      <c r="A279" s="4" t="s">
        <v>706</v>
      </c>
      <c r="B279" s="5" t="s">
        <v>1029</v>
      </c>
      <c r="C279" s="5" t="s">
        <v>181</v>
      </c>
      <c r="D279" s="5" t="s">
        <v>276</v>
      </c>
      <c r="E279" s="5" t="s">
        <v>0</v>
      </c>
      <c r="F279" s="5" t="s">
        <v>0</v>
      </c>
      <c r="G279" s="5" t="s">
        <v>183</v>
      </c>
      <c r="H279" s="8">
        <v>33.380000000000003</v>
      </c>
      <c r="I279" s="7">
        <f>ROUND(84372.1999999999,2)</f>
        <v>84372.2</v>
      </c>
      <c r="J279" s="6"/>
      <c r="K279" s="6"/>
      <c r="L279" s="6"/>
      <c r="M279" s="6"/>
      <c r="N279" s="7">
        <f>ROUND(1302.72999999999,2)</f>
        <v>1302.73</v>
      </c>
      <c r="O279" s="6"/>
      <c r="P279" s="6"/>
      <c r="Q279" s="7">
        <f>ROUND(167.83,2)</f>
        <v>167.83</v>
      </c>
      <c r="R279" s="6"/>
      <c r="S279" s="6"/>
      <c r="T279" s="6"/>
      <c r="U279" s="6"/>
      <c r="V279" s="7">
        <f>ROUND(17.03,2)</f>
        <v>17.03</v>
      </c>
      <c r="W279" s="7">
        <f>ROUND(0.48,2)</f>
        <v>0.48</v>
      </c>
      <c r="X279" s="6"/>
      <c r="Y279" s="7">
        <f>ROUND(0.15,2)</f>
        <v>0.15</v>
      </c>
      <c r="Z279" s="6"/>
      <c r="AA279" s="6"/>
      <c r="AB279" s="6"/>
      <c r="AC279" s="6"/>
      <c r="AD279" s="6"/>
      <c r="AE279" s="7">
        <f>ROUND(345.39,2)</f>
        <v>345.39</v>
      </c>
      <c r="AF279" s="6"/>
      <c r="AG279" s="7">
        <f>ROUND(48.51,2)</f>
        <v>48.51</v>
      </c>
      <c r="AH279" s="6"/>
      <c r="AI279" s="6"/>
      <c r="AJ279" s="6"/>
      <c r="AK279" s="6"/>
      <c r="AL279" s="6"/>
      <c r="AM279" s="6"/>
      <c r="AN279" s="6"/>
      <c r="AO279" s="6"/>
      <c r="AP279" s="7">
        <f>ROUND(238.4,2)</f>
        <v>238.4</v>
      </c>
      <c r="AQ279" s="6"/>
      <c r="AR279" s="7">
        <f>ROUND(12.58,2)</f>
        <v>12.58</v>
      </c>
      <c r="AS279" s="6"/>
      <c r="AT279" s="6"/>
      <c r="AU279" s="7">
        <f>ROUND(62,2)</f>
        <v>62</v>
      </c>
      <c r="AV279" s="7">
        <f>ROUND(8,2)</f>
        <v>8</v>
      </c>
      <c r="AW279" s="7">
        <f>ROUND(31.65,2)</f>
        <v>31.65</v>
      </c>
      <c r="AX279" s="7">
        <f>ROUND(2.35,2)</f>
        <v>2.35</v>
      </c>
      <c r="AY279" s="7">
        <f>ROUND(44,2)</f>
        <v>44</v>
      </c>
      <c r="AZ279" s="6"/>
      <c r="BA279" s="6"/>
      <c r="BB279" s="7">
        <f>ROUND(42,2)</f>
        <v>42</v>
      </c>
      <c r="BC279" s="6"/>
      <c r="BD279" s="7">
        <f>ROUND(8,2)</f>
        <v>8</v>
      </c>
      <c r="BE279" s="7">
        <f>ROUND(1.25,2)</f>
        <v>1.25</v>
      </c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7">
        <f>ROUND(10,2)</f>
        <v>10</v>
      </c>
      <c r="BR279" s="6"/>
      <c r="BS279" s="7">
        <f>ROUND(40,2)</f>
        <v>40</v>
      </c>
      <c r="BT279" s="7">
        <f>ROUND(2.02,2)</f>
        <v>2.02</v>
      </c>
      <c r="BU279" s="6"/>
      <c r="BV279" s="6"/>
      <c r="BW279" s="6"/>
      <c r="BX279" s="6"/>
      <c r="BY279" s="6"/>
      <c r="BZ279" s="6"/>
      <c r="CA279" s="7">
        <f>ROUND(16,2)</f>
        <v>16</v>
      </c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7">
        <f>ROUND(2400.36999999999,2)</f>
        <v>2400.37</v>
      </c>
      <c r="CR279" s="6"/>
      <c r="CS279" s="6"/>
      <c r="CT279" s="6"/>
      <c r="CU279" s="6"/>
      <c r="CV279" s="7">
        <f>ROUND(42472.9999999999,2)</f>
        <v>42473</v>
      </c>
      <c r="CW279" s="6"/>
      <c r="CX279" s="6"/>
      <c r="CY279" s="7">
        <f>ROUND(8177.04999999999,2)</f>
        <v>8177.05</v>
      </c>
      <c r="CZ279" s="6"/>
      <c r="DA279" s="6"/>
      <c r="DB279" s="6"/>
      <c r="DC279" s="6"/>
      <c r="DD279" s="7">
        <f>ROUND(546.49,2)</f>
        <v>546.49</v>
      </c>
      <c r="DE279" s="7">
        <f>ROUND(23.1,2)</f>
        <v>23.1</v>
      </c>
      <c r="DF279" s="6"/>
      <c r="DG279" s="7">
        <f>ROUND(7.22,2)</f>
        <v>7.22</v>
      </c>
      <c r="DH279" s="6"/>
      <c r="DI279" s="6"/>
      <c r="DJ279" s="6"/>
      <c r="DK279" s="6"/>
      <c r="DL279" s="6"/>
      <c r="DM279" s="6"/>
      <c r="DN279" s="7">
        <f>ROUND(11365.57,2)</f>
        <v>11365.57</v>
      </c>
      <c r="DO279" s="6"/>
      <c r="DP279" s="7">
        <f>ROUND(2384.16,2)</f>
        <v>2384.16</v>
      </c>
      <c r="DQ279" s="6"/>
      <c r="DR279" s="6"/>
      <c r="DS279" s="6"/>
      <c r="DT279" s="6"/>
      <c r="DU279" s="6"/>
      <c r="DV279" s="6"/>
      <c r="DW279" s="6"/>
      <c r="DX279" s="6"/>
      <c r="DY279" s="7">
        <f>ROUND(7763.71,2)</f>
        <v>7763.71</v>
      </c>
      <c r="DZ279" s="6"/>
      <c r="EA279" s="7">
        <f>ROUND(624.16,2)</f>
        <v>624.16</v>
      </c>
      <c r="EB279" s="6"/>
      <c r="EC279" s="6"/>
      <c r="ED279" s="7">
        <f>ROUND(2015.26,2)</f>
        <v>2015.26</v>
      </c>
      <c r="EE279" s="7">
        <f>ROUND(396.64,2)</f>
        <v>396.64</v>
      </c>
      <c r="EF279" s="7">
        <f>ROUND(1031.00999999999,2)</f>
        <v>1031.01</v>
      </c>
      <c r="EG279" s="7">
        <f>ROUND(113.12,2)</f>
        <v>113.12</v>
      </c>
      <c r="EH279" s="7">
        <f>ROUND(1427.32,2)</f>
        <v>1427.32</v>
      </c>
      <c r="EI279" s="6"/>
      <c r="EJ279" s="6"/>
      <c r="EK279" s="7">
        <f>ROUND(1355.46,2)</f>
        <v>1355.46</v>
      </c>
      <c r="EL279" s="6"/>
      <c r="EM279" s="6"/>
      <c r="EN279" s="7">
        <f>ROUND(256.72,2)</f>
        <v>256.72000000000003</v>
      </c>
      <c r="EO279" s="7">
        <f>ROUND(41.31,2)</f>
        <v>41.31</v>
      </c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7">
        <f>ROUND(320.9,2)</f>
        <v>320.89999999999998</v>
      </c>
      <c r="FE279" s="6"/>
      <c r="FF279" s="6"/>
      <c r="FG279" s="6"/>
      <c r="FH279" s="6"/>
      <c r="FI279" s="6"/>
      <c r="FJ279" s="7">
        <f>ROUND(1050,2)</f>
        <v>1050</v>
      </c>
      <c r="FK279" s="6"/>
      <c r="FL279" s="6"/>
      <c r="FM279" s="6"/>
      <c r="FN279" s="6"/>
      <c r="FO279" s="6"/>
      <c r="FP279" s="6"/>
      <c r="FQ279" s="6"/>
      <c r="FR279" s="6"/>
      <c r="FS279" s="6"/>
      <c r="FT279" s="7">
        <f t="shared" si="21"/>
        <v>3000</v>
      </c>
      <c r="FU279" s="6"/>
      <c r="FV279" s="6"/>
      <c r="FW279" s="6"/>
      <c r="FX279" s="6"/>
      <c r="FY279" s="7">
        <f>ROUND(84372.1999999999,2)</f>
        <v>84372.2</v>
      </c>
    </row>
    <row r="280" spans="1:181" x14ac:dyDescent="0.3">
      <c r="A280" s="4" t="s">
        <v>707</v>
      </c>
      <c r="B280" s="5" t="s">
        <v>1029</v>
      </c>
      <c r="C280" s="5" t="s">
        <v>181</v>
      </c>
      <c r="D280" s="5" t="s">
        <v>468</v>
      </c>
      <c r="E280" s="5" t="s">
        <v>0</v>
      </c>
      <c r="F280" s="5" t="s">
        <v>0</v>
      </c>
      <c r="G280" s="5" t="s">
        <v>183</v>
      </c>
      <c r="H280" s="8">
        <v>33.880000000000003</v>
      </c>
      <c r="I280" s="7">
        <f>ROUND(97054.8999999999,2)</f>
        <v>97054.9</v>
      </c>
      <c r="J280" s="6"/>
      <c r="K280" s="6"/>
      <c r="L280" s="6"/>
      <c r="M280" s="6"/>
      <c r="N280" s="7">
        <f>ROUND(1660.05,2)</f>
        <v>1660.05</v>
      </c>
      <c r="O280" s="6"/>
      <c r="P280" s="6"/>
      <c r="Q280" s="7">
        <f>ROUND(301.82,2)</f>
        <v>301.82</v>
      </c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7">
        <f>ROUND(63,2)</f>
        <v>63</v>
      </c>
      <c r="AV280" s="7">
        <f>ROUND(5,2)</f>
        <v>5</v>
      </c>
      <c r="AW280" s="7">
        <f>ROUND(27.48,2)</f>
        <v>27.48</v>
      </c>
      <c r="AX280" s="7">
        <f>ROUND(4.52,2)</f>
        <v>4.5199999999999996</v>
      </c>
      <c r="AY280" s="7">
        <f>ROUND(90.66,2)</f>
        <v>90.66</v>
      </c>
      <c r="AZ280" s="7">
        <f>ROUND(21.34,2)</f>
        <v>21.34</v>
      </c>
      <c r="BA280" s="6"/>
      <c r="BB280" s="7">
        <f>ROUND(32,2)</f>
        <v>32</v>
      </c>
      <c r="BC280" s="6"/>
      <c r="BD280" s="7">
        <f>ROUND(8,2)</f>
        <v>8</v>
      </c>
      <c r="BE280" s="7">
        <f>ROUND(3.15,2)</f>
        <v>3.15</v>
      </c>
      <c r="BF280" s="6"/>
      <c r="BG280" s="6"/>
      <c r="BH280" s="6"/>
      <c r="BI280" s="6"/>
      <c r="BJ280" s="6"/>
      <c r="BK280" s="6"/>
      <c r="BL280" s="6"/>
      <c r="BM280" s="6"/>
      <c r="BN280" s="6"/>
      <c r="BO280" s="7">
        <f>ROUND(272,2)</f>
        <v>272</v>
      </c>
      <c r="BP280" s="7">
        <f>ROUND(90.65,2)</f>
        <v>90.65</v>
      </c>
      <c r="BQ280" s="6"/>
      <c r="BR280" s="6"/>
      <c r="BS280" s="6"/>
      <c r="BT280" s="7">
        <f>ROUND(2.3,2)</f>
        <v>2.2999999999999998</v>
      </c>
      <c r="BU280" s="6"/>
      <c r="BV280" s="6"/>
      <c r="BW280" s="6"/>
      <c r="BX280" s="6"/>
      <c r="BY280" s="7">
        <f>ROUND(8,2)</f>
        <v>8</v>
      </c>
      <c r="BZ280" s="6"/>
      <c r="CA280" s="7">
        <f>ROUND(16,2)</f>
        <v>16</v>
      </c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7">
        <f>ROUND(56,2)</f>
        <v>56</v>
      </c>
      <c r="CQ280" s="7">
        <f>ROUND(2661.97,2)</f>
        <v>2661.97</v>
      </c>
      <c r="CR280" s="6"/>
      <c r="CS280" s="6"/>
      <c r="CT280" s="6"/>
      <c r="CU280" s="6"/>
      <c r="CV280" s="7">
        <f>ROUND(54366.4499999999,2)</f>
        <v>54366.45</v>
      </c>
      <c r="CW280" s="6"/>
      <c r="CX280" s="6"/>
      <c r="CY280" s="7">
        <f>ROUND(14909.33,2)</f>
        <v>14909.33</v>
      </c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7">
        <f>ROUND(2052.87,2)</f>
        <v>2052.87</v>
      </c>
      <c r="EE280" s="7">
        <f>ROUND(247.9,2)</f>
        <v>247.9</v>
      </c>
      <c r="EF280" s="7">
        <f>ROUND(881.83,2)</f>
        <v>881.83</v>
      </c>
      <c r="EG280" s="7">
        <f>ROUND(217.57,2)</f>
        <v>217.57</v>
      </c>
      <c r="EH280" s="7">
        <f>ROUND(2924.63,2)</f>
        <v>2924.63</v>
      </c>
      <c r="EI280" s="7">
        <f>ROUND(1027.2,2)</f>
        <v>1027.2</v>
      </c>
      <c r="EJ280" s="6"/>
      <c r="EK280" s="7">
        <f>ROUND(1034.56,2)</f>
        <v>1034.56</v>
      </c>
      <c r="EL280" s="6"/>
      <c r="EM280" s="6"/>
      <c r="EN280" s="7">
        <f>ROUND(256.72,2)</f>
        <v>256.72000000000003</v>
      </c>
      <c r="EO280" s="7">
        <f>ROUND(156.16,2)</f>
        <v>156.16</v>
      </c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7">
        <f>ROUND(8728.48,2)</f>
        <v>8728.48</v>
      </c>
      <c r="FC280" s="7">
        <f>ROUND(4363.44,2)</f>
        <v>4363.4399999999996</v>
      </c>
      <c r="FD280" s="6"/>
      <c r="FE280" s="6"/>
      <c r="FF280" s="6"/>
      <c r="FG280" s="6"/>
      <c r="FH280" s="6"/>
      <c r="FI280" s="6"/>
      <c r="FJ280" s="7">
        <f>ROUND(1000,2)</f>
        <v>1000</v>
      </c>
      <c r="FK280" s="6"/>
      <c r="FL280" s="6"/>
      <c r="FM280" s="6"/>
      <c r="FN280" s="6"/>
      <c r="FO280" s="6"/>
      <c r="FP280" s="6"/>
      <c r="FQ280" s="6"/>
      <c r="FR280" s="6"/>
      <c r="FS280" s="6"/>
      <c r="FT280" s="7">
        <f t="shared" si="21"/>
        <v>3000</v>
      </c>
      <c r="FU280" s="6"/>
      <c r="FV280" s="6"/>
      <c r="FW280" s="6"/>
      <c r="FX280" s="7">
        <f>ROUND(1887.76,2)</f>
        <v>1887.76</v>
      </c>
      <c r="FY280" s="7">
        <f>ROUND(97054.8999999999,2)</f>
        <v>97054.9</v>
      </c>
    </row>
    <row r="281" spans="1:181" x14ac:dyDescent="0.3">
      <c r="A281" s="4" t="s">
        <v>708</v>
      </c>
      <c r="B281" s="5" t="s">
        <v>1029</v>
      </c>
      <c r="C281" s="5" t="s">
        <v>181</v>
      </c>
      <c r="D281" s="5" t="s">
        <v>370</v>
      </c>
      <c r="E281" s="5" t="s">
        <v>0</v>
      </c>
      <c r="F281" s="5" t="s">
        <v>0</v>
      </c>
      <c r="G281" s="5" t="s">
        <v>183</v>
      </c>
      <c r="H281" s="8">
        <v>33.880000000000003</v>
      </c>
      <c r="I281" s="7">
        <f>ROUND(97362.89,2)</f>
        <v>97362.89</v>
      </c>
      <c r="J281" s="6"/>
      <c r="K281" s="6"/>
      <c r="L281" s="6"/>
      <c r="M281" s="6"/>
      <c r="N281" s="7">
        <f>ROUND(1928.44999999999,2)</f>
        <v>1928.45</v>
      </c>
      <c r="O281" s="6"/>
      <c r="P281" s="6"/>
      <c r="Q281" s="7">
        <f>ROUND(420.9,2)</f>
        <v>420.9</v>
      </c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7">
        <f>ROUND(60.97,2)</f>
        <v>60.97</v>
      </c>
      <c r="AV281" s="7">
        <f>ROUND(7.03,2)</f>
        <v>7.03</v>
      </c>
      <c r="AW281" s="7">
        <f>ROUND(19.94,2)</f>
        <v>19.940000000000001</v>
      </c>
      <c r="AX281" s="7">
        <f>ROUND(12.06,2)</f>
        <v>12.06</v>
      </c>
      <c r="AY281" s="7">
        <f>ROUND(113,2)</f>
        <v>113</v>
      </c>
      <c r="AZ281" s="7">
        <f>ROUND(7,2)</f>
        <v>7</v>
      </c>
      <c r="BA281" s="6"/>
      <c r="BB281" s="7">
        <f>ROUND(8,2)</f>
        <v>8</v>
      </c>
      <c r="BC281" s="6"/>
      <c r="BD281" s="7">
        <f>ROUND(8,2)</f>
        <v>8</v>
      </c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7">
        <f>ROUND(0.6,2)</f>
        <v>0.6</v>
      </c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7">
        <f>ROUND(32,2)</f>
        <v>32</v>
      </c>
      <c r="CQ281" s="7">
        <f>ROUND(2617.95,2)</f>
        <v>2617.9499999999998</v>
      </c>
      <c r="CR281" s="6"/>
      <c r="CS281" s="6"/>
      <c r="CT281" s="6"/>
      <c r="CU281" s="6"/>
      <c r="CV281" s="7">
        <f>ROUND(63123.6199999999,2)</f>
        <v>63123.62</v>
      </c>
      <c r="CW281" s="6"/>
      <c r="CX281" s="6"/>
      <c r="CY281" s="7">
        <f>ROUND(20603.02,2)</f>
        <v>20603.02</v>
      </c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7">
        <f>ROUND(1983.13999999999,2)</f>
        <v>1983.14</v>
      </c>
      <c r="EE281" s="7">
        <f>ROUND(348.55,2)</f>
        <v>348.55</v>
      </c>
      <c r="EF281" s="7">
        <f>ROUND(652.21,2)</f>
        <v>652.21</v>
      </c>
      <c r="EG281" s="7">
        <f>ROUND(600.51,2)</f>
        <v>600.51</v>
      </c>
      <c r="EH281" s="7">
        <f>ROUND(3665.52999999999,2)</f>
        <v>3665.53</v>
      </c>
      <c r="EI281" s="7">
        <f>ROUND(347.03,2)</f>
        <v>347.03</v>
      </c>
      <c r="EJ281" s="6"/>
      <c r="EK281" s="7">
        <f>ROUND(264.4,2)</f>
        <v>264.39999999999998</v>
      </c>
      <c r="EL281" s="6"/>
      <c r="EM281" s="6"/>
      <c r="EN281" s="7">
        <f>ROUND(256.72,2)</f>
        <v>256.72000000000003</v>
      </c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7">
        <f>ROUND(1450,2)</f>
        <v>1450</v>
      </c>
      <c r="FK281" s="6"/>
      <c r="FL281" s="6"/>
      <c r="FM281" s="6"/>
      <c r="FN281" s="6"/>
      <c r="FO281" s="6"/>
      <c r="FP281" s="6"/>
      <c r="FQ281" s="6"/>
      <c r="FR281" s="6"/>
      <c r="FS281" s="6"/>
      <c r="FT281" s="7">
        <f t="shared" si="21"/>
        <v>3000</v>
      </c>
      <c r="FU281" s="6"/>
      <c r="FV281" s="6"/>
      <c r="FW281" s="6"/>
      <c r="FX281" s="7">
        <f>ROUND(1068.16,2)</f>
        <v>1068.1600000000001</v>
      </c>
      <c r="FY281" s="7">
        <f>ROUND(97362.89,2)</f>
        <v>97362.89</v>
      </c>
    </row>
    <row r="282" spans="1:181" x14ac:dyDescent="0.3">
      <c r="A282" s="4" t="s">
        <v>709</v>
      </c>
      <c r="B282" s="5" t="s">
        <v>1029</v>
      </c>
      <c r="C282" s="5" t="s">
        <v>181</v>
      </c>
      <c r="D282" s="5" t="s">
        <v>349</v>
      </c>
      <c r="E282" s="5" t="s">
        <v>710</v>
      </c>
      <c r="F282" s="5" t="s">
        <v>0</v>
      </c>
      <c r="G282" s="5" t="s">
        <v>183</v>
      </c>
      <c r="H282" s="8">
        <v>33.380000000000003</v>
      </c>
      <c r="I282" s="7">
        <f>ROUND(83524.08,2)</f>
        <v>83524.08</v>
      </c>
      <c r="J282" s="6"/>
      <c r="K282" s="6"/>
      <c r="L282" s="6"/>
      <c r="M282" s="6"/>
      <c r="N282" s="7">
        <f>ROUND(1908.73,2)</f>
        <v>1908.73</v>
      </c>
      <c r="O282" s="6"/>
      <c r="P282" s="6"/>
      <c r="Q282" s="7">
        <f>ROUND(139.529999999999,2)</f>
        <v>139.53</v>
      </c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7">
        <f>ROUND(68,2)</f>
        <v>68</v>
      </c>
      <c r="AV282" s="6"/>
      <c r="AW282" s="7">
        <f>ROUND(27.58,2)</f>
        <v>27.58</v>
      </c>
      <c r="AX282" s="7">
        <f>ROUND(4.42,2)</f>
        <v>4.42</v>
      </c>
      <c r="AY282" s="7">
        <f>ROUND(73.86,2)</f>
        <v>73.86</v>
      </c>
      <c r="AZ282" s="7">
        <f>ROUND(6.14,2)</f>
        <v>6.14</v>
      </c>
      <c r="BA282" s="6"/>
      <c r="BB282" s="6"/>
      <c r="BC282" s="6"/>
      <c r="BD282" s="7">
        <f>ROUND(8,2)</f>
        <v>8</v>
      </c>
      <c r="BE282" s="6"/>
      <c r="BF282" s="6"/>
      <c r="BG282" s="7">
        <f>ROUND(42.17,2)</f>
        <v>42.17</v>
      </c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7">
        <f>ROUND(40,2)</f>
        <v>40</v>
      </c>
      <c r="CQ282" s="7">
        <f>ROUND(2318.43,2)</f>
        <v>2318.4299999999998</v>
      </c>
      <c r="CR282" s="6"/>
      <c r="CS282" s="6"/>
      <c r="CT282" s="6"/>
      <c r="CU282" s="6"/>
      <c r="CV282" s="7">
        <f>ROUND(62192.5099999999,2)</f>
        <v>62192.51</v>
      </c>
      <c r="CW282" s="6"/>
      <c r="CX282" s="6"/>
      <c r="CY282" s="7">
        <f>ROUND(6816.04999999999,2)</f>
        <v>6816.05</v>
      </c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7">
        <f>ROUND(2215.48,2)</f>
        <v>2215.48</v>
      </c>
      <c r="EE282" s="6"/>
      <c r="EF282" s="7">
        <f>ROUND(898.319999999999,2)</f>
        <v>898.32</v>
      </c>
      <c r="EG282" s="7">
        <f>ROUND(215.88,2)</f>
        <v>215.88</v>
      </c>
      <c r="EH282" s="7">
        <f>ROUND(2387.47,2)</f>
        <v>2387.4699999999998</v>
      </c>
      <c r="EI282" s="7">
        <f>ROUND(304.15,2)</f>
        <v>304.14999999999998</v>
      </c>
      <c r="EJ282" s="6"/>
      <c r="EK282" s="6"/>
      <c r="EL282" s="6"/>
      <c r="EM282" s="6"/>
      <c r="EN282" s="7">
        <f>ROUND(256.72,2)</f>
        <v>256.72000000000003</v>
      </c>
      <c r="EO282" s="6"/>
      <c r="EP282" s="6"/>
      <c r="EQ282" s="7">
        <f>ROUND(1402.3,2)</f>
        <v>1402.3</v>
      </c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7">
        <f>ROUND(2500,2)</f>
        <v>2500</v>
      </c>
      <c r="FK282" s="6"/>
      <c r="FL282" s="6"/>
      <c r="FM282" s="6"/>
      <c r="FN282" s="6"/>
      <c r="FO282" s="6"/>
      <c r="FP282" s="6"/>
      <c r="FQ282" s="6"/>
      <c r="FR282" s="6"/>
      <c r="FS282" s="6"/>
      <c r="FT282" s="7">
        <f t="shared" si="21"/>
        <v>3000</v>
      </c>
      <c r="FU282" s="6"/>
      <c r="FV282" s="6"/>
      <c r="FW282" s="6"/>
      <c r="FX282" s="7">
        <f>ROUND(1335.2,2)</f>
        <v>1335.2</v>
      </c>
      <c r="FY282" s="7">
        <f>ROUND(83524.08,2)</f>
        <v>83524.08</v>
      </c>
    </row>
    <row r="283" spans="1:181" x14ac:dyDescent="0.3">
      <c r="A283" s="4" t="s">
        <v>711</v>
      </c>
      <c r="B283" s="5" t="s">
        <v>1029</v>
      </c>
      <c r="C283" s="5" t="s">
        <v>181</v>
      </c>
      <c r="D283" s="5" t="s">
        <v>712</v>
      </c>
      <c r="E283" s="5" t="s">
        <v>713</v>
      </c>
      <c r="F283" s="5" t="s">
        <v>0</v>
      </c>
      <c r="G283" s="5" t="s">
        <v>183</v>
      </c>
      <c r="H283" s="8">
        <v>33.380000000000003</v>
      </c>
      <c r="I283" s="7">
        <f>ROUND(4350.8,2)</f>
        <v>4350.8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7">
        <f>ROUND(1024,2)</f>
        <v>1024</v>
      </c>
      <c r="BT283" s="6"/>
      <c r="BU283" s="6"/>
      <c r="BV283" s="6"/>
      <c r="BW283" s="7">
        <f>ROUND(42,2)</f>
        <v>42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7">
        <f>ROUND(120,2)</f>
        <v>120</v>
      </c>
      <c r="CQ283" s="7">
        <f>ROUND(1186,2)</f>
        <v>1186</v>
      </c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7">
        <f>ROUND(500,2)</f>
        <v>500</v>
      </c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7">
        <f>ROUND(3850.8,2)</f>
        <v>3850.8</v>
      </c>
      <c r="FY283" s="7">
        <f>ROUND(4350.8,2)</f>
        <v>4350.8</v>
      </c>
    </row>
    <row r="284" spans="1:181" x14ac:dyDescent="0.3">
      <c r="A284" s="4" t="s">
        <v>714</v>
      </c>
      <c r="B284" s="5" t="s">
        <v>1029</v>
      </c>
      <c r="C284" s="5" t="s">
        <v>181</v>
      </c>
      <c r="D284" s="5" t="s">
        <v>550</v>
      </c>
      <c r="E284" s="5" t="s">
        <v>0</v>
      </c>
      <c r="F284" s="5" t="s">
        <v>0</v>
      </c>
      <c r="G284" s="5" t="s">
        <v>183</v>
      </c>
      <c r="H284" s="8">
        <v>34.04</v>
      </c>
      <c r="I284" s="7">
        <f>ROUND(49770.88,2)</f>
        <v>49770.879999999997</v>
      </c>
      <c r="J284" s="6"/>
      <c r="K284" s="6"/>
      <c r="L284" s="6"/>
      <c r="M284" s="6"/>
      <c r="N284" s="7">
        <f>ROUND(5.42,2)</f>
        <v>5.42</v>
      </c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7">
        <f>ROUND(40,2)</f>
        <v>40</v>
      </c>
      <c r="AV284" s="6"/>
      <c r="AW284" s="7">
        <f>ROUND(5,2)</f>
        <v>5</v>
      </c>
      <c r="AX284" s="6"/>
      <c r="AY284" s="7">
        <f>ROUND(75,2)</f>
        <v>75</v>
      </c>
      <c r="AZ284" s="6"/>
      <c r="BA284" s="6"/>
      <c r="BB284" s="6"/>
      <c r="BC284" s="6"/>
      <c r="BD284" s="7">
        <f>ROUND(8,2)</f>
        <v>8</v>
      </c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7">
        <f>ROUND(1307.96,2)</f>
        <v>1307.96</v>
      </c>
      <c r="BR284" s="6"/>
      <c r="BS284" s="6"/>
      <c r="BT284" s="7">
        <f>ROUND(0.63,2)</f>
        <v>0.63</v>
      </c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7">
        <f>ROUND(1442.01,2)</f>
        <v>1442.01</v>
      </c>
      <c r="CR284" s="6"/>
      <c r="CS284" s="6"/>
      <c r="CT284" s="6"/>
      <c r="CU284" s="6"/>
      <c r="CV284" s="7">
        <f>ROUND(179.13,2)</f>
        <v>179.13</v>
      </c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7">
        <f>ROUND(1304.45,2)</f>
        <v>1304.45</v>
      </c>
      <c r="EE284" s="6"/>
      <c r="EF284" s="7">
        <f>ROUND(160.45,2)</f>
        <v>160.44999999999999</v>
      </c>
      <c r="EG284" s="6"/>
      <c r="EH284" s="7">
        <f>ROUND(2454.75,2)</f>
        <v>2454.75</v>
      </c>
      <c r="EI284" s="6"/>
      <c r="EJ284" s="6"/>
      <c r="EK284" s="6"/>
      <c r="EL284" s="6"/>
      <c r="EM284" s="6"/>
      <c r="EN284" s="7">
        <f>ROUND(256.72,2)</f>
        <v>256.72000000000003</v>
      </c>
      <c r="EO284" s="6"/>
      <c r="EP284" s="6"/>
      <c r="EQ284" s="6"/>
      <c r="ER284" s="6"/>
      <c r="ES284" s="6"/>
      <c r="ET284" s="6"/>
      <c r="EU284" s="6"/>
      <c r="EV284" s="7">
        <f>ROUND(500,2)</f>
        <v>500</v>
      </c>
      <c r="EW284" s="6"/>
      <c r="EX284" s="6"/>
      <c r="EY284" s="6"/>
      <c r="EZ284" s="6"/>
      <c r="FA284" s="6"/>
      <c r="FB284" s="6"/>
      <c r="FC284" s="6"/>
      <c r="FD284" s="7">
        <f>ROUND(42590.3799999999,2)</f>
        <v>42590.38</v>
      </c>
      <c r="FE284" s="6"/>
      <c r="FF284" s="6"/>
      <c r="FG284" s="6"/>
      <c r="FH284" s="6"/>
      <c r="FI284" s="6"/>
      <c r="FJ284" s="7">
        <f>ROUND(825,2)</f>
        <v>825</v>
      </c>
      <c r="FK284" s="6"/>
      <c r="FL284" s="6"/>
      <c r="FM284" s="6"/>
      <c r="FN284" s="6"/>
      <c r="FO284" s="6"/>
      <c r="FP284" s="6"/>
      <c r="FQ284" s="6"/>
      <c r="FR284" s="6"/>
      <c r="FS284" s="6"/>
      <c r="FT284" s="7">
        <f>ROUND(1500,2)</f>
        <v>1500</v>
      </c>
      <c r="FU284" s="6"/>
      <c r="FV284" s="6"/>
      <c r="FW284" s="6"/>
      <c r="FX284" s="6"/>
      <c r="FY284" s="7">
        <f>ROUND(49770.88,2)</f>
        <v>49770.879999999997</v>
      </c>
    </row>
    <row r="285" spans="1:181" x14ac:dyDescent="0.3">
      <c r="A285" s="4" t="s">
        <v>715</v>
      </c>
      <c r="B285" s="5" t="s">
        <v>1029</v>
      </c>
      <c r="C285" s="5" t="s">
        <v>181</v>
      </c>
      <c r="D285" s="5" t="s">
        <v>648</v>
      </c>
      <c r="E285" s="5" t="s">
        <v>0</v>
      </c>
      <c r="F285" s="5" t="s">
        <v>0</v>
      </c>
      <c r="G285" s="5" t="s">
        <v>183</v>
      </c>
      <c r="H285" s="8">
        <v>33.380000000000003</v>
      </c>
      <c r="I285" s="7">
        <f>ROUND(74535.2699999999,2)</f>
        <v>74535.27</v>
      </c>
      <c r="J285" s="6"/>
      <c r="K285" s="6"/>
      <c r="L285" s="6"/>
      <c r="M285" s="6"/>
      <c r="N285" s="7">
        <f>ROUND(1408.43,2)</f>
        <v>1408.43</v>
      </c>
      <c r="O285" s="6"/>
      <c r="P285" s="6"/>
      <c r="Q285" s="7">
        <f>ROUND(42.73,2)</f>
        <v>42.73</v>
      </c>
      <c r="R285" s="6"/>
      <c r="S285" s="6"/>
      <c r="T285" s="6"/>
      <c r="U285" s="6"/>
      <c r="V285" s="7">
        <f>ROUND(25.82,2)</f>
        <v>25.82</v>
      </c>
      <c r="W285" s="6"/>
      <c r="X285" s="6"/>
      <c r="Y285" s="6"/>
      <c r="Z285" s="6"/>
      <c r="AA285" s="6"/>
      <c r="AB285" s="6"/>
      <c r="AC285" s="6"/>
      <c r="AD285" s="6"/>
      <c r="AE285" s="7">
        <f>ROUND(100.22,2)</f>
        <v>100.22</v>
      </c>
      <c r="AF285" s="6"/>
      <c r="AG285" s="7">
        <f>ROUND(8.92,2)</f>
        <v>8.92</v>
      </c>
      <c r="AH285" s="6"/>
      <c r="AI285" s="6"/>
      <c r="AJ285" s="6"/>
      <c r="AK285" s="6"/>
      <c r="AL285" s="6"/>
      <c r="AM285" s="6"/>
      <c r="AN285" s="6"/>
      <c r="AO285" s="6"/>
      <c r="AP285" s="7">
        <f>ROUND(333.62,2)</f>
        <v>333.62</v>
      </c>
      <c r="AQ285" s="6"/>
      <c r="AR285" s="7">
        <f>ROUND(0.83,2)</f>
        <v>0.83</v>
      </c>
      <c r="AS285" s="6"/>
      <c r="AT285" s="6"/>
      <c r="AU285" s="7">
        <f>ROUND(74,2)</f>
        <v>74</v>
      </c>
      <c r="AV285" s="6"/>
      <c r="AW285" s="7">
        <f>ROUND(15.33,2)</f>
        <v>15.33</v>
      </c>
      <c r="AX285" s="7">
        <f>ROUND(0.67,2)</f>
        <v>0.67</v>
      </c>
      <c r="AY285" s="7">
        <f>ROUND(72,2)</f>
        <v>72</v>
      </c>
      <c r="AZ285" s="6"/>
      <c r="BA285" s="6"/>
      <c r="BB285" s="6"/>
      <c r="BC285" s="6"/>
      <c r="BD285" s="7">
        <f>ROUND(8,2)</f>
        <v>8</v>
      </c>
      <c r="BE285" s="7">
        <f>ROUND(2.33,2)</f>
        <v>2.33</v>
      </c>
      <c r="BF285" s="6"/>
      <c r="BG285" s="6"/>
      <c r="BH285" s="6"/>
      <c r="BI285" s="6"/>
      <c r="BJ285" s="6"/>
      <c r="BK285" s="6"/>
      <c r="BL285" s="6"/>
      <c r="BM285" s="6"/>
      <c r="BN285" s="6"/>
      <c r="BO285" s="7">
        <f>ROUND(18.25,2)</f>
        <v>18.25</v>
      </c>
      <c r="BP285" s="6"/>
      <c r="BQ285" s="7">
        <f>ROUND(10,2)</f>
        <v>10</v>
      </c>
      <c r="BR285" s="6"/>
      <c r="BS285" s="6"/>
      <c r="BT285" s="7">
        <f>ROUND(10.14,2)</f>
        <v>10.14</v>
      </c>
      <c r="BU285" s="6"/>
      <c r="BV285" s="6"/>
      <c r="BW285" s="6"/>
      <c r="BX285" s="6"/>
      <c r="BY285" s="7">
        <f>ROUND(44,2)</f>
        <v>44</v>
      </c>
      <c r="BZ285" s="6"/>
      <c r="CA285" s="7">
        <f>ROUND(24,2)</f>
        <v>24</v>
      </c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7">
        <f>ROUND(16,2)</f>
        <v>16</v>
      </c>
      <c r="CQ285" s="7">
        <f>ROUND(2215.29,2)</f>
        <v>2215.29</v>
      </c>
      <c r="CR285" s="6"/>
      <c r="CS285" s="6"/>
      <c r="CT285" s="6"/>
      <c r="CU285" s="6"/>
      <c r="CV285" s="7">
        <f>ROUND(46151.2699999999,2)</f>
        <v>46151.27</v>
      </c>
      <c r="CW285" s="6"/>
      <c r="CX285" s="6"/>
      <c r="CY285" s="7">
        <f>ROUND(2071.72,2)</f>
        <v>2071.7199999999998</v>
      </c>
      <c r="CZ285" s="6"/>
      <c r="DA285" s="6"/>
      <c r="DB285" s="6"/>
      <c r="DC285" s="6"/>
      <c r="DD285" s="7">
        <f>ROUND(829.91,2)</f>
        <v>829.91</v>
      </c>
      <c r="DE285" s="6"/>
      <c r="DF285" s="6"/>
      <c r="DG285" s="6"/>
      <c r="DH285" s="6"/>
      <c r="DI285" s="6"/>
      <c r="DJ285" s="6"/>
      <c r="DK285" s="6"/>
      <c r="DL285" s="6"/>
      <c r="DM285" s="6"/>
      <c r="DN285" s="7">
        <f>ROUND(3226.47,2)</f>
        <v>3226.47</v>
      </c>
      <c r="DO285" s="6"/>
      <c r="DP285" s="7">
        <f>ROUND(429.36,2)</f>
        <v>429.36</v>
      </c>
      <c r="DQ285" s="6"/>
      <c r="DR285" s="6"/>
      <c r="DS285" s="6"/>
      <c r="DT285" s="6"/>
      <c r="DU285" s="6"/>
      <c r="DV285" s="6"/>
      <c r="DW285" s="6"/>
      <c r="DX285" s="6"/>
      <c r="DY285" s="7">
        <f>ROUND(10792.72,2)</f>
        <v>10792.72</v>
      </c>
      <c r="DZ285" s="6"/>
      <c r="EA285" s="7">
        <f>ROUND(39.95,2)</f>
        <v>39.950000000000003</v>
      </c>
      <c r="EB285" s="6"/>
      <c r="EC285" s="6"/>
      <c r="ED285" s="7">
        <f>ROUND(2409.94,2)</f>
        <v>2409.94</v>
      </c>
      <c r="EE285" s="6"/>
      <c r="EF285" s="7">
        <f>ROUND(499.62,2)</f>
        <v>499.62</v>
      </c>
      <c r="EG285" s="7">
        <f>ROUND(32.25,2)</f>
        <v>32.25</v>
      </c>
      <c r="EH285" s="7">
        <f>ROUND(2379.6,2)</f>
        <v>2379.6</v>
      </c>
      <c r="EI285" s="6"/>
      <c r="EJ285" s="6"/>
      <c r="EK285" s="6"/>
      <c r="EL285" s="6"/>
      <c r="EM285" s="6"/>
      <c r="EN285" s="7">
        <f>ROUND(256.72,2)</f>
        <v>256.72000000000003</v>
      </c>
      <c r="EO285" s="7">
        <f>ROUND(75.12,2)</f>
        <v>75.12</v>
      </c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7">
        <f>ROUND(585.64,2)</f>
        <v>585.64</v>
      </c>
      <c r="FC285" s="6"/>
      <c r="FD285" s="7">
        <f>ROUND(320.9,2)</f>
        <v>320.89999999999998</v>
      </c>
      <c r="FE285" s="6"/>
      <c r="FF285" s="6"/>
      <c r="FG285" s="6"/>
      <c r="FH285" s="6"/>
      <c r="FI285" s="6"/>
      <c r="FJ285" s="7">
        <f>ROUND(900,2)</f>
        <v>900</v>
      </c>
      <c r="FK285" s="6"/>
      <c r="FL285" s="6"/>
      <c r="FM285" s="6"/>
      <c r="FN285" s="6"/>
      <c r="FO285" s="6"/>
      <c r="FP285" s="6"/>
      <c r="FQ285" s="6"/>
      <c r="FR285" s="6"/>
      <c r="FS285" s="6"/>
      <c r="FT285" s="7">
        <f>ROUND(3000,2)</f>
        <v>3000</v>
      </c>
      <c r="FU285" s="6"/>
      <c r="FV285" s="6"/>
      <c r="FW285" s="6"/>
      <c r="FX285" s="7">
        <f>ROUND(534.08,2)</f>
        <v>534.08000000000004</v>
      </c>
      <c r="FY285" s="7">
        <f>ROUND(74535.2699999999,2)</f>
        <v>74535.27</v>
      </c>
    </row>
    <row r="286" spans="1:181" x14ac:dyDescent="0.3">
      <c r="A286" s="4" t="s">
        <v>718</v>
      </c>
      <c r="B286" s="5" t="s">
        <v>1029</v>
      </c>
      <c r="C286" s="5" t="s">
        <v>181</v>
      </c>
      <c r="D286" s="5" t="s">
        <v>212</v>
      </c>
      <c r="E286" s="5" t="s">
        <v>0</v>
      </c>
      <c r="F286" s="5" t="s">
        <v>0</v>
      </c>
      <c r="G286" s="5" t="s">
        <v>183</v>
      </c>
      <c r="H286" s="8">
        <v>33.880000000000003</v>
      </c>
      <c r="I286" s="7">
        <f>ROUND(71925.9999999999,2)</f>
        <v>71926</v>
      </c>
      <c r="J286" s="6"/>
      <c r="K286" s="6"/>
      <c r="L286" s="6"/>
      <c r="M286" s="6"/>
      <c r="N286" s="7">
        <f>ROUND(1362.53999999999,2)</f>
        <v>1362.54</v>
      </c>
      <c r="O286" s="6"/>
      <c r="P286" s="6"/>
      <c r="Q286" s="7">
        <f>ROUND(65.14,2)</f>
        <v>65.14</v>
      </c>
      <c r="R286" s="6"/>
      <c r="S286" s="6"/>
      <c r="T286" s="6"/>
      <c r="U286" s="6"/>
      <c r="V286" s="7">
        <f>ROUND(5.58,2)</f>
        <v>5.58</v>
      </c>
      <c r="W286" s="7">
        <f>ROUND(8,2)</f>
        <v>8</v>
      </c>
      <c r="X286" s="6"/>
      <c r="Y286" s="6"/>
      <c r="Z286" s="6"/>
      <c r="AA286" s="6"/>
      <c r="AB286" s="6"/>
      <c r="AC286" s="6"/>
      <c r="AD286" s="6"/>
      <c r="AE286" s="7">
        <f>ROUND(360.7,2)</f>
        <v>360.7</v>
      </c>
      <c r="AF286" s="6"/>
      <c r="AG286" s="7">
        <f>ROUND(5.67,2)</f>
        <v>5.67</v>
      </c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7">
        <f>ROUND(29.42,2)</f>
        <v>29.42</v>
      </c>
      <c r="AS286" s="6"/>
      <c r="AT286" s="6"/>
      <c r="AU286" s="7">
        <f>ROUND(60,2)</f>
        <v>60</v>
      </c>
      <c r="AV286" s="6"/>
      <c r="AW286" s="7">
        <f>ROUND(32,2)</f>
        <v>32</v>
      </c>
      <c r="AX286" s="6"/>
      <c r="AY286" s="7">
        <f>ROUND(10,2)</f>
        <v>10</v>
      </c>
      <c r="AZ286" s="6"/>
      <c r="BA286" s="6"/>
      <c r="BB286" s="7">
        <f>ROUND(40,2)</f>
        <v>40</v>
      </c>
      <c r="BC286" s="6"/>
      <c r="BD286" s="7">
        <f>ROUND(8,2)</f>
        <v>8</v>
      </c>
      <c r="BE286" s="7">
        <f>ROUND(0.58,2)</f>
        <v>0.57999999999999996</v>
      </c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7">
        <f>ROUND(8.02,2)</f>
        <v>8.02</v>
      </c>
      <c r="BU286" s="7">
        <f>ROUND(302.33,2)</f>
        <v>302.33</v>
      </c>
      <c r="BV286" s="7">
        <f>ROUND(10,2)</f>
        <v>10</v>
      </c>
      <c r="BW286" s="7">
        <f>ROUND(8,2)</f>
        <v>8</v>
      </c>
      <c r="BX286" s="6"/>
      <c r="BY286" s="6"/>
      <c r="BZ286" s="6"/>
      <c r="CA286" s="7">
        <f>ROUND(66,2)</f>
        <v>66</v>
      </c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7">
        <f>ROUND(2381.97999999999,2)</f>
        <v>2381.98</v>
      </c>
      <c r="CR286" s="6"/>
      <c r="CS286" s="6"/>
      <c r="CT286" s="6"/>
      <c r="CU286" s="6"/>
      <c r="CV286" s="7">
        <f>ROUND(44379.0299999999,2)</f>
        <v>44379.03</v>
      </c>
      <c r="CW286" s="6"/>
      <c r="CX286" s="6"/>
      <c r="CY286" s="7">
        <f>ROUND(3177.1,2)</f>
        <v>3177.1</v>
      </c>
      <c r="CZ286" s="6"/>
      <c r="DA286" s="6"/>
      <c r="DB286" s="6"/>
      <c r="DC286" s="6"/>
      <c r="DD286" s="7">
        <f>ROUND(184.42,2)</f>
        <v>184.42</v>
      </c>
      <c r="DE286" s="7">
        <f>ROUND(386.88,2)</f>
        <v>386.88</v>
      </c>
      <c r="DF286" s="6"/>
      <c r="DG286" s="6"/>
      <c r="DH286" s="6"/>
      <c r="DI286" s="6"/>
      <c r="DJ286" s="6"/>
      <c r="DK286" s="6"/>
      <c r="DL286" s="6"/>
      <c r="DM286" s="6"/>
      <c r="DN286" s="7">
        <f>ROUND(11877.18,2)</f>
        <v>11877.18</v>
      </c>
      <c r="DO286" s="6"/>
      <c r="DP286" s="7">
        <f>ROUND(281.09,2)</f>
        <v>281.08999999999997</v>
      </c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7">
        <f>ROUND(1445.19999999999,2)</f>
        <v>1445.2</v>
      </c>
      <c r="EB286" s="6"/>
      <c r="EC286" s="6"/>
      <c r="ED286" s="7">
        <f>ROUND(1951.08,2)</f>
        <v>1951.08</v>
      </c>
      <c r="EE286" s="6"/>
      <c r="EF286" s="7">
        <f>ROUND(1034.56,2)</f>
        <v>1034.56</v>
      </c>
      <c r="EG286" s="6"/>
      <c r="EH286" s="7">
        <f>ROUND(330.5,2)</f>
        <v>330.5</v>
      </c>
      <c r="EI286" s="6"/>
      <c r="EJ286" s="6"/>
      <c r="EK286" s="7">
        <f>ROUND(1283.6,2)</f>
        <v>1283.5999999999999</v>
      </c>
      <c r="EL286" s="6"/>
      <c r="EM286" s="6"/>
      <c r="EN286" s="7">
        <f>ROUND(256.72,2)</f>
        <v>256.72000000000003</v>
      </c>
      <c r="EO286" s="7">
        <f>ROUND(19.17,2)</f>
        <v>19.170000000000002</v>
      </c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7">
        <f>ROUND(2319.47,2)</f>
        <v>2319.4699999999998</v>
      </c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7">
        <f>ROUND(3000,2)</f>
        <v>3000</v>
      </c>
      <c r="FU286" s="6"/>
      <c r="FV286" s="6"/>
      <c r="FW286" s="6"/>
      <c r="FX286" s="6"/>
      <c r="FY286" s="7">
        <f>ROUND(71925.9999999999,2)</f>
        <v>71926</v>
      </c>
    </row>
    <row r="287" spans="1:181" x14ac:dyDescent="0.3">
      <c r="A287" s="4" t="s">
        <v>719</v>
      </c>
      <c r="B287" s="5" t="s">
        <v>1029</v>
      </c>
      <c r="C287" s="5" t="s">
        <v>181</v>
      </c>
      <c r="D287" s="5" t="s">
        <v>510</v>
      </c>
      <c r="E287" s="5" t="s">
        <v>720</v>
      </c>
      <c r="F287" s="5" t="s">
        <v>0</v>
      </c>
      <c r="G287" s="5" t="s">
        <v>183</v>
      </c>
      <c r="H287" s="8">
        <v>32.090000000000003</v>
      </c>
      <c r="I287" s="7">
        <f>ROUND(20950.83,2)</f>
        <v>20950.830000000002</v>
      </c>
      <c r="J287" s="6"/>
      <c r="K287" s="6"/>
      <c r="L287" s="6"/>
      <c r="M287" s="6"/>
      <c r="N287" s="7">
        <f>ROUND(463.08,2)</f>
        <v>463.08</v>
      </c>
      <c r="O287" s="6"/>
      <c r="P287" s="6"/>
      <c r="Q287" s="7">
        <f>ROUND(27.5,2)</f>
        <v>27.5</v>
      </c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7">
        <f>ROUND(16,2)</f>
        <v>16</v>
      </c>
      <c r="AV287" s="6"/>
      <c r="AW287" s="6"/>
      <c r="AX287" s="6"/>
      <c r="AY287" s="7">
        <f>ROUND(125.3,2)</f>
        <v>125.3</v>
      </c>
      <c r="AZ287" s="7">
        <f>ROUND(2.7,2)</f>
        <v>2.7</v>
      </c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7">
        <f>ROUND(48,2)</f>
        <v>48</v>
      </c>
      <c r="BT287" s="6"/>
      <c r="BU287" s="6"/>
      <c r="BV287" s="6"/>
      <c r="BW287" s="7">
        <f>ROUND(8,2)</f>
        <v>8</v>
      </c>
      <c r="BX287" s="6"/>
      <c r="BY287" s="7">
        <f>ROUND(24,2)</f>
        <v>24</v>
      </c>
      <c r="BZ287" s="6"/>
      <c r="CA287" s="7">
        <f>ROUND(24,2)</f>
        <v>24</v>
      </c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7">
        <f>ROUND(738.58,2)</f>
        <v>738.58</v>
      </c>
      <c r="CR287" s="6"/>
      <c r="CS287" s="6"/>
      <c r="CT287" s="6"/>
      <c r="CU287" s="6"/>
      <c r="CV287" s="7">
        <f>ROUND(14956.65,2)</f>
        <v>14956.65</v>
      </c>
      <c r="CW287" s="6"/>
      <c r="CX287" s="6"/>
      <c r="CY287" s="7">
        <f>ROUND(1329.9,2)</f>
        <v>1329.9</v>
      </c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7">
        <f>ROUND(513.44,2)</f>
        <v>513.44000000000005</v>
      </c>
      <c r="EE287" s="6"/>
      <c r="EF287" s="6"/>
      <c r="EG287" s="6"/>
      <c r="EH287" s="7">
        <f>ROUND(4020.88,2)</f>
        <v>4020.88</v>
      </c>
      <c r="EI287" s="7">
        <f>ROUND(129.96,2)</f>
        <v>129.96</v>
      </c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7">
        <f>ROUND(20950.83,2)</f>
        <v>20950.830000000002</v>
      </c>
    </row>
    <row r="288" spans="1:181" x14ac:dyDescent="0.3">
      <c r="A288" s="4" t="s">
        <v>721</v>
      </c>
      <c r="B288" s="5" t="s">
        <v>1029</v>
      </c>
      <c r="C288" s="5" t="s">
        <v>181</v>
      </c>
      <c r="D288" s="5" t="s">
        <v>335</v>
      </c>
      <c r="E288" s="5" t="s">
        <v>0</v>
      </c>
      <c r="F288" s="5" t="s">
        <v>0</v>
      </c>
      <c r="G288" s="5" t="s">
        <v>183</v>
      </c>
      <c r="H288" s="6">
        <v>33.380000000000003</v>
      </c>
      <c r="I288" s="7">
        <f>ROUND(79344.67,2)</f>
        <v>79344.67</v>
      </c>
      <c r="J288" s="6"/>
      <c r="K288" s="6"/>
      <c r="L288" s="6"/>
      <c r="M288" s="6"/>
      <c r="N288" s="7">
        <f>ROUND(1343.35999999999,2)</f>
        <v>1343.36</v>
      </c>
      <c r="O288" s="6"/>
      <c r="P288" s="6"/>
      <c r="Q288" s="7">
        <f>ROUND(160.62,2)</f>
        <v>160.62</v>
      </c>
      <c r="R288" s="6"/>
      <c r="S288" s="6"/>
      <c r="T288" s="6"/>
      <c r="U288" s="6"/>
      <c r="V288" s="7">
        <f>ROUND(3.22,2)</f>
        <v>3.22</v>
      </c>
      <c r="W288" s="7">
        <f>ROUND(13.01,2)</f>
        <v>13.01</v>
      </c>
      <c r="X288" s="6"/>
      <c r="Y288" s="7">
        <f>ROUND(0.27,2)</f>
        <v>0.27</v>
      </c>
      <c r="Z288" s="6"/>
      <c r="AA288" s="6"/>
      <c r="AB288" s="6"/>
      <c r="AC288" s="6"/>
      <c r="AD288" s="6"/>
      <c r="AE288" s="7">
        <f>ROUND(167.91,2)</f>
        <v>167.91</v>
      </c>
      <c r="AF288" s="6"/>
      <c r="AG288" s="7">
        <f>ROUND(10,2)</f>
        <v>10</v>
      </c>
      <c r="AH288" s="6"/>
      <c r="AI288" s="6"/>
      <c r="AJ288" s="6"/>
      <c r="AK288" s="6"/>
      <c r="AL288" s="6"/>
      <c r="AM288" s="6"/>
      <c r="AN288" s="6"/>
      <c r="AO288" s="6"/>
      <c r="AP288" s="7">
        <f>ROUND(323.56,2)</f>
        <v>323.56</v>
      </c>
      <c r="AQ288" s="6"/>
      <c r="AR288" s="7">
        <f>ROUND(19.5999999999999,2)</f>
        <v>19.600000000000001</v>
      </c>
      <c r="AS288" s="6"/>
      <c r="AT288" s="6"/>
      <c r="AU288" s="7">
        <f>ROUND(54,2)</f>
        <v>54</v>
      </c>
      <c r="AV288" s="6"/>
      <c r="AW288" s="7">
        <f>ROUND(40,2)</f>
        <v>40</v>
      </c>
      <c r="AX288" s="6"/>
      <c r="AY288" s="7">
        <f>ROUND(16,2)</f>
        <v>16</v>
      </c>
      <c r="AZ288" s="6"/>
      <c r="BA288" s="6"/>
      <c r="BB288" s="7">
        <f>ROUND(24,2)</f>
        <v>24</v>
      </c>
      <c r="BC288" s="6"/>
      <c r="BD288" s="7">
        <f>ROUND(8,2)</f>
        <v>8</v>
      </c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7">
        <f>ROUND(28.5,2)</f>
        <v>28.5</v>
      </c>
      <c r="BP288" s="6"/>
      <c r="BQ288" s="7">
        <f>ROUND(8,2)</f>
        <v>8</v>
      </c>
      <c r="BR288" s="7">
        <f>ROUND(9,2)</f>
        <v>9</v>
      </c>
      <c r="BS288" s="7">
        <f>ROUND(8,2)</f>
        <v>8</v>
      </c>
      <c r="BT288" s="7">
        <f>ROUND(0.6,2)</f>
        <v>0.6</v>
      </c>
      <c r="BU288" s="6"/>
      <c r="BV288" s="6"/>
      <c r="BW288" s="7">
        <f>ROUND(18,2)</f>
        <v>18</v>
      </c>
      <c r="BX288" s="7">
        <f>ROUND(64,2)</f>
        <v>64</v>
      </c>
      <c r="BY288" s="7">
        <f>ROUND(16,2)</f>
        <v>16</v>
      </c>
      <c r="BZ288" s="6"/>
      <c r="CA288" s="7">
        <f>ROUND(56,2)</f>
        <v>56</v>
      </c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7">
        <f>ROUND(2391.65,2)</f>
        <v>2391.65</v>
      </c>
      <c r="CR288" s="6"/>
      <c r="CS288" s="6"/>
      <c r="CT288" s="6"/>
      <c r="CU288" s="6"/>
      <c r="CV288" s="7">
        <f>ROUND(43657.39,2)</f>
        <v>43657.39</v>
      </c>
      <c r="CW288" s="6"/>
      <c r="CX288" s="6"/>
      <c r="CY288" s="7">
        <f>ROUND(7779.22,2)</f>
        <v>7779.22</v>
      </c>
      <c r="CZ288" s="6"/>
      <c r="DA288" s="6"/>
      <c r="DB288" s="6"/>
      <c r="DC288" s="6"/>
      <c r="DD288" s="7">
        <f>ROUND(98.18,2)</f>
        <v>98.18</v>
      </c>
      <c r="DE288" s="7">
        <f>ROUND(596.86,2)</f>
        <v>596.86</v>
      </c>
      <c r="DF288" s="6"/>
      <c r="DG288" s="7">
        <f>ROUND(13.39,2)</f>
        <v>13.39</v>
      </c>
      <c r="DH288" s="6"/>
      <c r="DI288" s="6"/>
      <c r="DJ288" s="6"/>
      <c r="DK288" s="6"/>
      <c r="DL288" s="6"/>
      <c r="DM288" s="6"/>
      <c r="DN288" s="7">
        <f>ROUND(5264.78999999999,2)</f>
        <v>5264.79</v>
      </c>
      <c r="DO288" s="6"/>
      <c r="DP288" s="7">
        <f>ROUND(488.07,2)</f>
        <v>488.07</v>
      </c>
      <c r="DQ288" s="6"/>
      <c r="DR288" s="6"/>
      <c r="DS288" s="6"/>
      <c r="DT288" s="6"/>
      <c r="DU288" s="6"/>
      <c r="DV288" s="6"/>
      <c r="DW288" s="6"/>
      <c r="DX288" s="6"/>
      <c r="DY288" s="7">
        <f>ROUND(10073.79,2)</f>
        <v>10073.790000000001</v>
      </c>
      <c r="DZ288" s="6"/>
      <c r="EA288" s="7">
        <f>ROUND(952.569999999999,2)</f>
        <v>952.57</v>
      </c>
      <c r="EB288" s="6"/>
      <c r="EC288" s="6"/>
      <c r="ED288" s="7">
        <f>ROUND(1720.7,2)</f>
        <v>1720.7</v>
      </c>
      <c r="EE288" s="6"/>
      <c r="EF288" s="7">
        <f>ROUND(1240.08,2)</f>
        <v>1240.08</v>
      </c>
      <c r="EG288" s="6"/>
      <c r="EH288" s="7">
        <f>ROUND(521.12,2)</f>
        <v>521.12</v>
      </c>
      <c r="EI288" s="6"/>
      <c r="EJ288" s="6"/>
      <c r="EK288" s="7">
        <f>ROUND(731.76,2)</f>
        <v>731.76</v>
      </c>
      <c r="EL288" s="6"/>
      <c r="EM288" s="6"/>
      <c r="EN288" s="7">
        <f>ROUND(256.72,2)</f>
        <v>256.72000000000003</v>
      </c>
      <c r="EO288" s="6"/>
      <c r="EP288" s="6"/>
      <c r="EQ288" s="6"/>
      <c r="ER288" s="6"/>
      <c r="ES288" s="6"/>
      <c r="ET288" s="6"/>
      <c r="EU288" s="6"/>
      <c r="EV288" s="7">
        <f>ROUND(500,2)</f>
        <v>500</v>
      </c>
      <c r="EW288" s="6"/>
      <c r="EX288" s="6"/>
      <c r="EY288" s="6"/>
      <c r="EZ288" s="6"/>
      <c r="FA288" s="6"/>
      <c r="FB288" s="7">
        <f>ROUND(889.449999999999,2)</f>
        <v>889.45</v>
      </c>
      <c r="FC288" s="6"/>
      <c r="FD288" s="7">
        <f>ROUND(264.4,2)</f>
        <v>264.39999999999998</v>
      </c>
      <c r="FE288" s="7">
        <f>ROUND(446.18,2)</f>
        <v>446.18</v>
      </c>
      <c r="FF288" s="6"/>
      <c r="FG288" s="6"/>
      <c r="FH288" s="6"/>
      <c r="FI288" s="6"/>
      <c r="FJ288" s="7">
        <f>ROUND(850,2)</f>
        <v>850</v>
      </c>
      <c r="FK288" s="6"/>
      <c r="FL288" s="6"/>
      <c r="FM288" s="6"/>
      <c r="FN288" s="6"/>
      <c r="FO288" s="6"/>
      <c r="FP288" s="6"/>
      <c r="FQ288" s="6"/>
      <c r="FR288" s="6"/>
      <c r="FS288" s="6"/>
      <c r="FT288" s="7">
        <f>ROUND(3000,2)</f>
        <v>3000</v>
      </c>
      <c r="FU288" s="6"/>
      <c r="FV288" s="6"/>
      <c r="FW288" s="6"/>
      <c r="FX288" s="6"/>
      <c r="FY288" s="7">
        <f>ROUND(79344.67,2)</f>
        <v>79344.67</v>
      </c>
    </row>
    <row r="289" spans="1:181" x14ac:dyDescent="0.3">
      <c r="A289" s="4" t="s">
        <v>722</v>
      </c>
      <c r="B289" s="5" t="s">
        <v>1029</v>
      </c>
      <c r="C289" s="5" t="s">
        <v>181</v>
      </c>
      <c r="D289" s="5" t="s">
        <v>301</v>
      </c>
      <c r="E289" s="5" t="s">
        <v>723</v>
      </c>
      <c r="F289" s="5" t="s">
        <v>0</v>
      </c>
      <c r="G289" s="5" t="s">
        <v>183</v>
      </c>
      <c r="H289" s="6">
        <v>31.71</v>
      </c>
      <c r="I289" s="7">
        <f>ROUND(27051.78,2)</f>
        <v>27051.78</v>
      </c>
      <c r="J289" s="6"/>
      <c r="K289" s="6"/>
      <c r="L289" s="6"/>
      <c r="M289" s="6"/>
      <c r="N289" s="7">
        <f>ROUND(520.56,2)</f>
        <v>520.55999999999995</v>
      </c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7">
        <f>ROUND(102,2)</f>
        <v>102</v>
      </c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7">
        <f>ROUND(25,2)</f>
        <v>25</v>
      </c>
      <c r="AV289" s="6"/>
      <c r="AW289" s="6"/>
      <c r="AX289" s="6"/>
      <c r="AY289" s="6"/>
      <c r="AZ289" s="6"/>
      <c r="BA289" s="6"/>
      <c r="BB289" s="7">
        <f>ROUND(5,2)</f>
        <v>5</v>
      </c>
      <c r="BC289" s="6"/>
      <c r="BD289" s="7">
        <f>ROUND(392.9,2)</f>
        <v>392.9</v>
      </c>
      <c r="BE289" s="6"/>
      <c r="BF289" s="7">
        <f>ROUND(11.94,2)</f>
        <v>11.94</v>
      </c>
      <c r="BG289" s="6"/>
      <c r="BH289" s="6"/>
      <c r="BI289" s="7">
        <f>ROUND(17,2)</f>
        <v>17</v>
      </c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7">
        <f>ROUND(10,2)</f>
        <v>10</v>
      </c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7">
        <f>ROUND(10,2)</f>
        <v>10</v>
      </c>
      <c r="CQ289" s="7">
        <f>ROUND(1094.39999999999,2)</f>
        <v>1094.4000000000001</v>
      </c>
      <c r="CR289" s="6"/>
      <c r="CS289" s="6"/>
      <c r="CT289" s="6"/>
      <c r="CU289" s="6"/>
      <c r="CV289" s="7">
        <f>ROUND(13923.69,2)</f>
        <v>13923.69</v>
      </c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7">
        <f>ROUND(2777.75999999999,2)</f>
        <v>2777.76</v>
      </c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7">
        <f>ROUND(589.5,2)</f>
        <v>589.5</v>
      </c>
      <c r="EE289" s="6"/>
      <c r="EF289" s="6"/>
      <c r="EG289" s="6"/>
      <c r="EH289" s="6"/>
      <c r="EI289" s="6"/>
      <c r="EJ289" s="6"/>
      <c r="EK289" s="7">
        <f>ROUND(140.45,2)</f>
        <v>140.44999999999999</v>
      </c>
      <c r="EL289" s="6"/>
      <c r="EM289" s="6"/>
      <c r="EN289" s="7">
        <f>ROUND(6875.75,2)</f>
        <v>6875.75</v>
      </c>
      <c r="EO289" s="6"/>
      <c r="EP289" s="7">
        <f>ROUND(313.43,2)</f>
        <v>313.43</v>
      </c>
      <c r="EQ289" s="6"/>
      <c r="ER289" s="6"/>
      <c r="ES289" s="6"/>
      <c r="ET289" s="7">
        <f>ROUND(297.5,2)</f>
        <v>297.5</v>
      </c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7">
        <f>ROUND(350,2)</f>
        <v>350</v>
      </c>
      <c r="FK289" s="6"/>
      <c r="FL289" s="6"/>
      <c r="FM289" s="6"/>
      <c r="FN289" s="6"/>
      <c r="FO289" s="6"/>
      <c r="FP289" s="6"/>
      <c r="FQ289" s="6"/>
      <c r="FR289" s="6"/>
      <c r="FS289" s="6"/>
      <c r="FT289" s="7">
        <f>ROUND(1500,2)</f>
        <v>1500</v>
      </c>
      <c r="FU289" s="6"/>
      <c r="FV289" s="6"/>
      <c r="FW289" s="6"/>
      <c r="FX289" s="7">
        <f>ROUND(283.7,2)</f>
        <v>283.7</v>
      </c>
      <c r="FY289" s="7">
        <f>ROUND(27051.78,2)</f>
        <v>27051.78</v>
      </c>
    </row>
    <row r="290" spans="1:181" x14ac:dyDescent="0.3">
      <c r="A290" s="4" t="s">
        <v>724</v>
      </c>
      <c r="B290" s="5" t="s">
        <v>1029</v>
      </c>
      <c r="C290" s="5" t="s">
        <v>181</v>
      </c>
      <c r="D290" s="5" t="s">
        <v>725</v>
      </c>
      <c r="E290" s="5" t="s">
        <v>726</v>
      </c>
      <c r="F290" s="5" t="s">
        <v>0</v>
      </c>
      <c r="G290" s="5" t="s">
        <v>183</v>
      </c>
      <c r="H290" s="8">
        <v>32.090000000000003</v>
      </c>
      <c r="I290" s="7">
        <f>ROUND(35381.27,2)</f>
        <v>35381.269999999997</v>
      </c>
      <c r="J290" s="6"/>
      <c r="K290" s="6"/>
      <c r="L290" s="6"/>
      <c r="M290" s="6"/>
      <c r="N290" s="7">
        <f>ROUND(622.17,2)</f>
        <v>622.16999999999996</v>
      </c>
      <c r="O290" s="6"/>
      <c r="P290" s="6"/>
      <c r="Q290" s="7">
        <f>ROUND(127.28,2)</f>
        <v>127.28</v>
      </c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7">
        <f>ROUND(28,2)</f>
        <v>28</v>
      </c>
      <c r="AV290" s="6"/>
      <c r="AW290" s="7">
        <f>ROUND(16,2)</f>
        <v>16</v>
      </c>
      <c r="AX290" s="6"/>
      <c r="AY290" s="7">
        <f>ROUND(32,2)</f>
        <v>32</v>
      </c>
      <c r="AZ290" s="6"/>
      <c r="BA290" s="6"/>
      <c r="BB290" s="7">
        <f>ROUND(40,2)</f>
        <v>40</v>
      </c>
      <c r="BC290" s="6"/>
      <c r="BD290" s="6"/>
      <c r="BE290" s="7">
        <f>ROUND(2.79,2)</f>
        <v>2.79</v>
      </c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7">
        <f>ROUND(1328,2)</f>
        <v>1328</v>
      </c>
      <c r="BT290" s="6"/>
      <c r="BU290" s="6"/>
      <c r="BV290" s="6"/>
      <c r="BW290" s="7">
        <f>ROUND(40,2)</f>
        <v>40</v>
      </c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7">
        <f>ROUND(48,2)</f>
        <v>48</v>
      </c>
      <c r="CQ290" s="7">
        <f>ROUND(2284.24,2)</f>
        <v>2284.2399999999998</v>
      </c>
      <c r="CR290" s="6"/>
      <c r="CS290" s="6"/>
      <c r="CT290" s="6"/>
      <c r="CU290" s="6"/>
      <c r="CV290" s="7">
        <f>ROUND(19965.44,2)</f>
        <v>19965.439999999999</v>
      </c>
      <c r="CW290" s="6"/>
      <c r="CX290" s="6"/>
      <c r="CY290" s="7">
        <f>ROUND(6126.61999999999,2)</f>
        <v>6126.62</v>
      </c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7">
        <f>ROUND(898.52,2)</f>
        <v>898.52</v>
      </c>
      <c r="EE290" s="6"/>
      <c r="EF290" s="7">
        <f>ROUND(513.44,2)</f>
        <v>513.44000000000005</v>
      </c>
      <c r="EG290" s="6"/>
      <c r="EH290" s="7">
        <f>ROUND(1026.88,2)</f>
        <v>1026.8800000000001</v>
      </c>
      <c r="EI290" s="6"/>
      <c r="EJ290" s="6"/>
      <c r="EK290" s="7">
        <f>ROUND(1283.6,2)</f>
        <v>1283.5999999999999</v>
      </c>
      <c r="EL290" s="6"/>
      <c r="EM290" s="6"/>
      <c r="EN290" s="6"/>
      <c r="EO290" s="7">
        <f>ROUND(89.53,2)</f>
        <v>89.53</v>
      </c>
      <c r="EP290" s="6"/>
      <c r="EQ290" s="6"/>
      <c r="ER290" s="6"/>
      <c r="ES290" s="6"/>
      <c r="ET290" s="6"/>
      <c r="EU290" s="6"/>
      <c r="EV290" s="7">
        <f>ROUND(500,2)</f>
        <v>500</v>
      </c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7">
        <f>ROUND(375,2)</f>
        <v>375</v>
      </c>
      <c r="FK290" s="6"/>
      <c r="FL290" s="6"/>
      <c r="FM290" s="6"/>
      <c r="FN290" s="6"/>
      <c r="FO290" s="6"/>
      <c r="FP290" s="6"/>
      <c r="FQ290" s="6"/>
      <c r="FR290" s="6"/>
      <c r="FS290" s="6"/>
      <c r="FT290" s="7">
        <f>ROUND(3000,2)</f>
        <v>3000</v>
      </c>
      <c r="FU290" s="6"/>
      <c r="FV290" s="6"/>
      <c r="FW290" s="6"/>
      <c r="FX290" s="7">
        <f>ROUND(1602.24,2)</f>
        <v>1602.24</v>
      </c>
      <c r="FY290" s="7">
        <f>ROUND(35381.27,2)</f>
        <v>35381.269999999997</v>
      </c>
    </row>
    <row r="291" spans="1:181" x14ac:dyDescent="0.3">
      <c r="A291" s="4" t="s">
        <v>727</v>
      </c>
      <c r="B291" s="5" t="s">
        <v>1029</v>
      </c>
      <c r="C291" s="5" t="s">
        <v>181</v>
      </c>
      <c r="D291" s="5" t="s">
        <v>449</v>
      </c>
      <c r="E291" s="5" t="s">
        <v>0</v>
      </c>
      <c r="F291" s="5" t="s">
        <v>0</v>
      </c>
      <c r="G291" s="5" t="s">
        <v>183</v>
      </c>
      <c r="H291" s="8">
        <v>33.380000000000003</v>
      </c>
      <c r="I291" s="7">
        <f>ROUND(72018.2999999999,2)</f>
        <v>72018.3</v>
      </c>
      <c r="J291" s="6"/>
      <c r="K291" s="6"/>
      <c r="L291" s="6"/>
      <c r="M291" s="6"/>
      <c r="N291" s="7">
        <f>ROUND(1522.97,2)</f>
        <v>1522.97</v>
      </c>
      <c r="O291" s="6"/>
      <c r="P291" s="6"/>
      <c r="Q291" s="7">
        <f>ROUND(121.55,2)</f>
        <v>121.55</v>
      </c>
      <c r="R291" s="6"/>
      <c r="S291" s="6"/>
      <c r="T291" s="6"/>
      <c r="U291" s="6"/>
      <c r="V291" s="7">
        <f>ROUND(10.63,2)</f>
        <v>10.63</v>
      </c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7">
        <f>ROUND(62,2)</f>
        <v>62</v>
      </c>
      <c r="AV291" s="7">
        <f>ROUND(6,2)</f>
        <v>6</v>
      </c>
      <c r="AW291" s="7">
        <f>ROUND(18.67,2)</f>
        <v>18.670000000000002</v>
      </c>
      <c r="AX291" s="7">
        <f>ROUND(5.33,2)</f>
        <v>5.33</v>
      </c>
      <c r="AY291" s="7">
        <f>ROUND(90.52,2)</f>
        <v>90.52</v>
      </c>
      <c r="AZ291" s="7">
        <f>ROUND(21.4799999999999,2)</f>
        <v>21.48</v>
      </c>
      <c r="BA291" s="6"/>
      <c r="BB291" s="7">
        <f>ROUND(32,2)</f>
        <v>32</v>
      </c>
      <c r="BC291" s="6"/>
      <c r="BD291" s="7">
        <f>ROUND(8,2)</f>
        <v>8</v>
      </c>
      <c r="BE291" s="6"/>
      <c r="BF291" s="6"/>
      <c r="BG291" s="6"/>
      <c r="BH291" s="6"/>
      <c r="BI291" s="6"/>
      <c r="BJ291" s="6"/>
      <c r="BK291" s="7">
        <f>ROUND(67.05,2)</f>
        <v>67.05</v>
      </c>
      <c r="BL291" s="7">
        <f>ROUND(1,2)</f>
        <v>1</v>
      </c>
      <c r="BM291" s="6"/>
      <c r="BN291" s="6"/>
      <c r="BO291" s="6"/>
      <c r="BP291" s="6"/>
      <c r="BQ291" s="6"/>
      <c r="BR291" s="6"/>
      <c r="BS291" s="6"/>
      <c r="BT291" s="7">
        <f>ROUND(10.49,2)</f>
        <v>10.49</v>
      </c>
      <c r="BU291" s="6"/>
      <c r="BV291" s="6"/>
      <c r="BW291" s="6"/>
      <c r="BX291" s="6"/>
      <c r="BY291" s="7">
        <f>ROUND(8,2)</f>
        <v>8</v>
      </c>
      <c r="BZ291" s="6"/>
      <c r="CA291" s="7">
        <f>ROUND(16,2)</f>
        <v>16</v>
      </c>
      <c r="CB291" s="7">
        <f>ROUND(414.88,2)</f>
        <v>414.88</v>
      </c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7">
        <f>ROUND(24,2)</f>
        <v>24</v>
      </c>
      <c r="CQ291" s="7">
        <f>ROUND(2440.56999999999,2)</f>
        <v>2440.5700000000002</v>
      </c>
      <c r="CR291" s="6"/>
      <c r="CS291" s="6"/>
      <c r="CT291" s="6"/>
      <c r="CU291" s="6"/>
      <c r="CV291" s="7">
        <f>ROUND(49763.3699999999,2)</f>
        <v>49763.37</v>
      </c>
      <c r="CW291" s="6"/>
      <c r="CX291" s="6"/>
      <c r="CY291" s="7">
        <f>ROUND(5965.78999999999,2)</f>
        <v>5965.79</v>
      </c>
      <c r="CZ291" s="6"/>
      <c r="DA291" s="6"/>
      <c r="DB291" s="6"/>
      <c r="DC291" s="6"/>
      <c r="DD291" s="7">
        <f>ROUND(352.92,2)</f>
        <v>352.92</v>
      </c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7">
        <f>ROUND(2019.82,2)</f>
        <v>2019.82</v>
      </c>
      <c r="EE291" s="7">
        <f>ROUND(297.48,2)</f>
        <v>297.48</v>
      </c>
      <c r="EF291" s="7">
        <f>ROUND(614.48,2)</f>
        <v>614.48</v>
      </c>
      <c r="EG291" s="7">
        <f>ROUND(256.56,2)</f>
        <v>256.56</v>
      </c>
      <c r="EH291" s="7">
        <f>ROUND(2966.34,2)</f>
        <v>2966.34</v>
      </c>
      <c r="EI291" s="7">
        <f>ROUND(1049.62999999999,2)</f>
        <v>1049.6300000000001</v>
      </c>
      <c r="EJ291" s="6"/>
      <c r="EK291" s="7">
        <f>ROUND(1026.88,2)</f>
        <v>1026.8800000000001</v>
      </c>
      <c r="EL291" s="6"/>
      <c r="EM291" s="6"/>
      <c r="EN291" s="7">
        <f>ROUND(256.72,2)</f>
        <v>256.72000000000003</v>
      </c>
      <c r="EO291" s="6"/>
      <c r="EP291" s="6"/>
      <c r="EQ291" s="6"/>
      <c r="ER291" s="6"/>
      <c r="ES291" s="6"/>
      <c r="ET291" s="6"/>
      <c r="EU291" s="6"/>
      <c r="EV291" s="7">
        <f>ROUND(500,2)</f>
        <v>500</v>
      </c>
      <c r="EW291" s="6"/>
      <c r="EX291" s="7">
        <f>ROUND(2190.91,2)</f>
        <v>2190.91</v>
      </c>
      <c r="EY291" s="7">
        <f>ROUND(48.36,2)</f>
        <v>48.36</v>
      </c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7">
        <f>ROUND(900,2)</f>
        <v>900</v>
      </c>
      <c r="FK291" s="6"/>
      <c r="FL291" s="6"/>
      <c r="FM291" s="6"/>
      <c r="FN291" s="6"/>
      <c r="FO291" s="6"/>
      <c r="FP291" s="6"/>
      <c r="FQ291" s="6"/>
      <c r="FR291" s="6"/>
      <c r="FS291" s="6"/>
      <c r="FT291" s="7">
        <f>ROUND(3000,2)</f>
        <v>3000</v>
      </c>
      <c r="FU291" s="6"/>
      <c r="FV291" s="6"/>
      <c r="FW291" s="6"/>
      <c r="FX291" s="7">
        <f>ROUND(809.04,2)</f>
        <v>809.04</v>
      </c>
      <c r="FY291" s="7">
        <f>ROUND(72018.2999999999,2)</f>
        <v>72018.3</v>
      </c>
    </row>
    <row r="292" spans="1:181" x14ac:dyDescent="0.3">
      <c r="A292" s="4" t="s">
        <v>728</v>
      </c>
      <c r="B292" s="5" t="s">
        <v>1029</v>
      </c>
      <c r="C292" s="5" t="s">
        <v>181</v>
      </c>
      <c r="D292" s="5" t="s">
        <v>354</v>
      </c>
      <c r="E292" s="5" t="s">
        <v>0</v>
      </c>
      <c r="F292" s="5" t="s">
        <v>0</v>
      </c>
      <c r="G292" s="5" t="s">
        <v>183</v>
      </c>
      <c r="H292" s="6">
        <v>33.380000000000003</v>
      </c>
      <c r="I292" s="7">
        <f>ROUND(42354.85,2)</f>
        <v>42354.85</v>
      </c>
      <c r="J292" s="6"/>
      <c r="K292" s="6"/>
      <c r="L292" s="6"/>
      <c r="M292" s="6"/>
      <c r="N292" s="7">
        <f>ROUND(1318.53,2)</f>
        <v>1318.53</v>
      </c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7">
        <f>ROUND(40,2)</f>
        <v>40</v>
      </c>
      <c r="AV292" s="6"/>
      <c r="AW292" s="7">
        <f>ROUND(5,2)</f>
        <v>5</v>
      </c>
      <c r="AX292" s="6"/>
      <c r="AY292" s="7">
        <f>ROUND(5,2)</f>
        <v>5</v>
      </c>
      <c r="AZ292" s="6"/>
      <c r="BA292" s="6"/>
      <c r="BB292" s="7">
        <f>ROUND(10,2)</f>
        <v>10</v>
      </c>
      <c r="BC292" s="6"/>
      <c r="BD292" s="7">
        <f>ROUND(8,2)</f>
        <v>8</v>
      </c>
      <c r="BE292" s="7">
        <f>ROUND(2.01,2)</f>
        <v>2.0099999999999998</v>
      </c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7">
        <f>ROUND(10,2)</f>
        <v>10</v>
      </c>
      <c r="BT292" s="7">
        <f>ROUND(4.17,2)</f>
        <v>4.17</v>
      </c>
      <c r="BU292" s="6"/>
      <c r="BV292" s="6"/>
      <c r="BW292" s="6"/>
      <c r="BX292" s="6"/>
      <c r="BY292" s="6"/>
      <c r="BZ292" s="6"/>
      <c r="CA292" s="7">
        <f>ROUND(5,2)</f>
        <v>5</v>
      </c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7">
        <f>ROUND(10,2)</f>
        <v>10</v>
      </c>
      <c r="CQ292" s="7">
        <f>ROUND(1417.70999999999,2)</f>
        <v>1417.71</v>
      </c>
      <c r="CR292" s="6"/>
      <c r="CS292" s="6"/>
      <c r="CT292" s="6"/>
      <c r="CU292" s="6"/>
      <c r="CV292" s="7">
        <f>ROUND(37798.58,2)</f>
        <v>37798.58</v>
      </c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7">
        <f>ROUND(1158.65,2)</f>
        <v>1158.6500000000001</v>
      </c>
      <c r="EE292" s="6"/>
      <c r="EF292" s="7">
        <f>ROUND(148.75,2)</f>
        <v>148.75</v>
      </c>
      <c r="EG292" s="6"/>
      <c r="EH292" s="7">
        <f>ROUND(148.75,2)</f>
        <v>148.75</v>
      </c>
      <c r="EI292" s="6"/>
      <c r="EJ292" s="6"/>
      <c r="EK292" s="7">
        <f>ROUND(285.15,2)</f>
        <v>285.14999999999998</v>
      </c>
      <c r="EL292" s="6"/>
      <c r="EM292" s="6"/>
      <c r="EN292" s="7">
        <f>ROUND(218.24,2)</f>
        <v>218.24</v>
      </c>
      <c r="EO292" s="7">
        <f>ROUND(54.83,2)</f>
        <v>54.83</v>
      </c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7">
        <f>ROUND(725,2)</f>
        <v>725</v>
      </c>
      <c r="FK292" s="6"/>
      <c r="FL292" s="6"/>
      <c r="FM292" s="6"/>
      <c r="FN292" s="6"/>
      <c r="FO292" s="6"/>
      <c r="FP292" s="6"/>
      <c r="FQ292" s="6"/>
      <c r="FR292" s="6"/>
      <c r="FS292" s="6"/>
      <c r="FT292" s="7">
        <f>ROUND(1500,2)</f>
        <v>1500</v>
      </c>
      <c r="FU292" s="6"/>
      <c r="FV292" s="6"/>
      <c r="FW292" s="6"/>
      <c r="FX292" s="7">
        <f>ROUND(316.9,2)</f>
        <v>316.89999999999998</v>
      </c>
      <c r="FY292" s="7">
        <f>ROUND(42354.85,2)</f>
        <v>42354.85</v>
      </c>
    </row>
    <row r="293" spans="1:181" x14ac:dyDescent="0.3">
      <c r="A293" s="4" t="s">
        <v>729</v>
      </c>
      <c r="B293" s="5" t="s">
        <v>1029</v>
      </c>
      <c r="C293" s="5" t="s">
        <v>181</v>
      </c>
      <c r="D293" s="5" t="s">
        <v>196</v>
      </c>
      <c r="E293" s="5" t="s">
        <v>0</v>
      </c>
      <c r="F293" s="5" t="s">
        <v>0</v>
      </c>
      <c r="G293" s="5" t="s">
        <v>183</v>
      </c>
      <c r="H293" s="8">
        <v>33.380000000000003</v>
      </c>
      <c r="I293" s="7">
        <f>ROUND(92396.7399999999,2)</f>
        <v>92396.74</v>
      </c>
      <c r="J293" s="6"/>
      <c r="K293" s="6"/>
      <c r="L293" s="6"/>
      <c r="M293" s="6"/>
      <c r="N293" s="7">
        <f>ROUND(961.59,2)</f>
        <v>961.59</v>
      </c>
      <c r="O293" s="6"/>
      <c r="P293" s="6"/>
      <c r="Q293" s="7">
        <f>ROUND(256.5,2)</f>
        <v>256.5</v>
      </c>
      <c r="R293" s="6"/>
      <c r="S293" s="6"/>
      <c r="T293" s="6"/>
      <c r="U293" s="6"/>
      <c r="V293" s="7">
        <f>ROUND(9.16,2)</f>
        <v>9.16</v>
      </c>
      <c r="W293" s="7">
        <f>ROUND(8.08,2)</f>
        <v>8.08</v>
      </c>
      <c r="X293" s="7">
        <f>ROUND(3.89,2)</f>
        <v>3.89</v>
      </c>
      <c r="Y293" s="7">
        <f>ROUND(1.94,2)</f>
        <v>1.94</v>
      </c>
      <c r="Z293" s="6"/>
      <c r="AA293" s="6"/>
      <c r="AB293" s="6"/>
      <c r="AC293" s="6"/>
      <c r="AD293" s="6"/>
      <c r="AE293" s="7">
        <f>ROUND(363.64,2)</f>
        <v>363.64</v>
      </c>
      <c r="AF293" s="6"/>
      <c r="AG293" s="7">
        <f>ROUND(31.28,2)</f>
        <v>31.28</v>
      </c>
      <c r="AH293" s="6"/>
      <c r="AI293" s="6"/>
      <c r="AJ293" s="6"/>
      <c r="AK293" s="6"/>
      <c r="AL293" s="6"/>
      <c r="AM293" s="6"/>
      <c r="AN293" s="6"/>
      <c r="AO293" s="6"/>
      <c r="AP293" s="7">
        <f>ROUND(601.64,2)</f>
        <v>601.64</v>
      </c>
      <c r="AQ293" s="6"/>
      <c r="AR293" s="7">
        <f>ROUND(53.56,2)</f>
        <v>53.56</v>
      </c>
      <c r="AS293" s="6"/>
      <c r="AT293" s="6"/>
      <c r="AU293" s="7">
        <f>ROUND(74.75,2)</f>
        <v>74.75</v>
      </c>
      <c r="AV293" s="7">
        <f>ROUND(1.25,2)</f>
        <v>1.25</v>
      </c>
      <c r="AW293" s="7">
        <f>ROUND(6.85,2)</f>
        <v>6.85</v>
      </c>
      <c r="AX293" s="7">
        <f>ROUND(9.15,2)</f>
        <v>9.15</v>
      </c>
      <c r="AY293" s="7">
        <f>ROUND(40,2)</f>
        <v>40</v>
      </c>
      <c r="AZ293" s="6"/>
      <c r="BA293" s="6"/>
      <c r="BB293" s="7">
        <f>ROUND(16,2)</f>
        <v>16</v>
      </c>
      <c r="BC293" s="6"/>
      <c r="BD293" s="7">
        <f>ROUND(8,2)</f>
        <v>8</v>
      </c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7">
        <f>ROUND(35.17,2)</f>
        <v>35.17</v>
      </c>
      <c r="BP293" s="7">
        <f>ROUND(5,2)</f>
        <v>5</v>
      </c>
      <c r="BQ293" s="7">
        <f>ROUND(6.13,2)</f>
        <v>6.13</v>
      </c>
      <c r="BR293" s="7">
        <f>ROUND(3.87,2)</f>
        <v>3.87</v>
      </c>
      <c r="BS293" s="6"/>
      <c r="BT293" s="7">
        <f>ROUND(1.9,2)</f>
        <v>1.9</v>
      </c>
      <c r="BU293" s="6"/>
      <c r="BV293" s="6"/>
      <c r="BW293" s="6"/>
      <c r="BX293" s="6"/>
      <c r="BY293" s="6"/>
      <c r="BZ293" s="6"/>
      <c r="CA293" s="7">
        <f>ROUND(16,2)</f>
        <v>16</v>
      </c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7">
        <f>ROUND(24,2)</f>
        <v>24</v>
      </c>
      <c r="CQ293" s="7">
        <f>ROUND(2539.35,2)</f>
        <v>2539.35</v>
      </c>
      <c r="CR293" s="6"/>
      <c r="CS293" s="6"/>
      <c r="CT293" s="6"/>
      <c r="CU293" s="6"/>
      <c r="CV293" s="7">
        <f>ROUND(31405.61,2)</f>
        <v>31405.61</v>
      </c>
      <c r="CW293" s="6"/>
      <c r="CX293" s="6"/>
      <c r="CY293" s="7">
        <f>ROUND(12567.42,2)</f>
        <v>12567.42</v>
      </c>
      <c r="CZ293" s="6"/>
      <c r="DA293" s="6"/>
      <c r="DB293" s="6"/>
      <c r="DC293" s="6"/>
      <c r="DD293" s="7">
        <f>ROUND(297.44,2)</f>
        <v>297.44</v>
      </c>
      <c r="DE293" s="7">
        <f>ROUND(400.57,2)</f>
        <v>400.57</v>
      </c>
      <c r="DF293" s="7">
        <f>ROUND(126.38,2)</f>
        <v>126.38</v>
      </c>
      <c r="DG293" s="7">
        <f>ROUND(94.82,2)</f>
        <v>94.82</v>
      </c>
      <c r="DH293" s="6"/>
      <c r="DI293" s="6"/>
      <c r="DJ293" s="6"/>
      <c r="DK293" s="6"/>
      <c r="DL293" s="6"/>
      <c r="DM293" s="6"/>
      <c r="DN293" s="7">
        <f>ROUND(11878.4099999999,2)</f>
        <v>11878.41</v>
      </c>
      <c r="DO293" s="6"/>
      <c r="DP293" s="7">
        <f>ROUND(1521.1,2)</f>
        <v>1521.1</v>
      </c>
      <c r="DQ293" s="6"/>
      <c r="DR293" s="6"/>
      <c r="DS293" s="6"/>
      <c r="DT293" s="6"/>
      <c r="DU293" s="6"/>
      <c r="DV293" s="6"/>
      <c r="DW293" s="6"/>
      <c r="DX293" s="6"/>
      <c r="DY293" s="7">
        <f>ROUND(19610.11,2)</f>
        <v>19610.11</v>
      </c>
      <c r="DZ293" s="6"/>
      <c r="EA293" s="7">
        <f>ROUND(2626.53999999999,2)</f>
        <v>2626.54</v>
      </c>
      <c r="EB293" s="6"/>
      <c r="EC293" s="6"/>
      <c r="ED293" s="7">
        <f>ROUND(2435.39,2)</f>
        <v>2435.39</v>
      </c>
      <c r="EE293" s="7">
        <f>ROUND(61.98,2)</f>
        <v>61.98</v>
      </c>
      <c r="EF293" s="7">
        <f>ROUND(219.82,2)</f>
        <v>219.82</v>
      </c>
      <c r="EG293" s="7">
        <f>ROUND(440.439999999999,2)</f>
        <v>440.44</v>
      </c>
      <c r="EH293" s="7">
        <f>ROUND(1283.6,2)</f>
        <v>1283.5999999999999</v>
      </c>
      <c r="EI293" s="6"/>
      <c r="EJ293" s="6"/>
      <c r="EK293" s="7">
        <f>ROUND(521.12,2)</f>
        <v>521.12</v>
      </c>
      <c r="EL293" s="6"/>
      <c r="EM293" s="6"/>
      <c r="EN293" s="7">
        <f>ROUND(256.72,2)</f>
        <v>256.72000000000003</v>
      </c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7">
        <f>ROUND(1154.69,2)</f>
        <v>1154.69</v>
      </c>
      <c r="FC293" s="7">
        <f>ROUND(249,2)</f>
        <v>249</v>
      </c>
      <c r="FD293" s="7">
        <f>ROUND(202.6,2)</f>
        <v>202.6</v>
      </c>
      <c r="FE293" s="7">
        <f>ROUND(191.86,2)</f>
        <v>191.86</v>
      </c>
      <c r="FF293" s="6"/>
      <c r="FG293" s="6"/>
      <c r="FH293" s="6"/>
      <c r="FI293" s="6"/>
      <c r="FJ293" s="7">
        <f>ROUND(1050,2)</f>
        <v>1050</v>
      </c>
      <c r="FK293" s="6"/>
      <c r="FL293" s="6"/>
      <c r="FM293" s="6"/>
      <c r="FN293" s="6"/>
      <c r="FO293" s="6"/>
      <c r="FP293" s="6"/>
      <c r="FQ293" s="6"/>
      <c r="FR293" s="6"/>
      <c r="FS293" s="6"/>
      <c r="FT293" s="7">
        <f>ROUND(3000,2)</f>
        <v>3000</v>
      </c>
      <c r="FU293" s="6"/>
      <c r="FV293" s="6"/>
      <c r="FW293" s="6"/>
      <c r="FX293" s="7">
        <f>ROUND(801.12,2)</f>
        <v>801.12</v>
      </c>
      <c r="FY293" s="7">
        <f>ROUND(92396.74,2)</f>
        <v>92396.74</v>
      </c>
    </row>
    <row r="294" spans="1:181" x14ac:dyDescent="0.3">
      <c r="A294" s="4" t="s">
        <v>733</v>
      </c>
      <c r="B294" s="5" t="s">
        <v>1029</v>
      </c>
      <c r="C294" s="5" t="s">
        <v>181</v>
      </c>
      <c r="D294" s="5" t="s">
        <v>734</v>
      </c>
      <c r="E294" s="5" t="s">
        <v>735</v>
      </c>
      <c r="F294" s="5" t="s">
        <v>0</v>
      </c>
      <c r="G294" s="5" t="s">
        <v>183</v>
      </c>
      <c r="H294" s="8">
        <v>33.380000000000003</v>
      </c>
      <c r="I294" s="7">
        <f>ROUND(92575.43,2)</f>
        <v>92575.43</v>
      </c>
      <c r="J294" s="6"/>
      <c r="K294" s="6"/>
      <c r="L294" s="6"/>
      <c r="M294" s="6"/>
      <c r="N294" s="7">
        <f>ROUND(1748.54,2)</f>
        <v>1748.54</v>
      </c>
      <c r="O294" s="6"/>
      <c r="P294" s="6"/>
      <c r="Q294" s="7">
        <f>ROUND(372.159999999999,2)</f>
        <v>372.16</v>
      </c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7">
        <f>ROUND(62.55,2)</f>
        <v>62.55</v>
      </c>
      <c r="AV294" s="7">
        <f>ROUND(5.45,2)</f>
        <v>5.45</v>
      </c>
      <c r="AW294" s="7">
        <f>ROUND(33.85,2)</f>
        <v>33.85</v>
      </c>
      <c r="AX294" s="7">
        <f>ROUND(14.1499999999999,2)</f>
        <v>14.15</v>
      </c>
      <c r="AY294" s="7">
        <f>ROUND(242.929999999999,2)</f>
        <v>242.93</v>
      </c>
      <c r="AZ294" s="7">
        <f>ROUND(13.07,2)</f>
        <v>13.07</v>
      </c>
      <c r="BA294" s="6"/>
      <c r="BB294" s="7">
        <f>ROUND(16,2)</f>
        <v>16</v>
      </c>
      <c r="BC294" s="6"/>
      <c r="BD294" s="7">
        <f>ROUND(8,2)</f>
        <v>8</v>
      </c>
      <c r="BE294" s="7">
        <f>ROUND(0.82,2)</f>
        <v>0.82</v>
      </c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7">
        <f>ROUND(8,2)</f>
        <v>8</v>
      </c>
      <c r="BT294" s="7">
        <f>ROUND(3.75,2)</f>
        <v>3.75</v>
      </c>
      <c r="BU294" s="6"/>
      <c r="BV294" s="6"/>
      <c r="BW294" s="6"/>
      <c r="BX294" s="6"/>
      <c r="BY294" s="7">
        <f>ROUND(24,2)</f>
        <v>24</v>
      </c>
      <c r="BZ294" s="6"/>
      <c r="CA294" s="7">
        <f>ROUND(16,2)</f>
        <v>16</v>
      </c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7">
        <f>ROUND(2569.26999999999,2)</f>
        <v>2569.27</v>
      </c>
      <c r="CR294" s="6"/>
      <c r="CS294" s="6"/>
      <c r="CT294" s="6"/>
      <c r="CU294" s="6"/>
      <c r="CV294" s="7">
        <f>ROUND(57025.8799999999,2)</f>
        <v>57025.88</v>
      </c>
      <c r="CW294" s="6"/>
      <c r="CX294" s="6"/>
      <c r="CY294" s="7">
        <f>ROUND(18149.8499999999,2)</f>
        <v>18149.849999999999</v>
      </c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7">
        <f>ROUND(2040.64,2)</f>
        <v>2040.64</v>
      </c>
      <c r="EE294" s="7">
        <f>ROUND(270.21,2)</f>
        <v>270.20999999999998</v>
      </c>
      <c r="EF294" s="7">
        <f>ROUND(1114.5,2)</f>
        <v>1114.5</v>
      </c>
      <c r="EG294" s="7">
        <f>ROUND(697.05,2)</f>
        <v>697.05</v>
      </c>
      <c r="EH294" s="7">
        <f>ROUND(7865.45,2)</f>
        <v>7865.45</v>
      </c>
      <c r="EI294" s="7">
        <f>ROUND(639.59,2)</f>
        <v>639.59</v>
      </c>
      <c r="EJ294" s="6"/>
      <c r="EK294" s="7">
        <f>ROUND(513.44,2)</f>
        <v>513.44000000000005</v>
      </c>
      <c r="EL294" s="6"/>
      <c r="EM294" s="6"/>
      <c r="EN294" s="7">
        <f>ROUND(256.72,2)</f>
        <v>256.72000000000003</v>
      </c>
      <c r="EO294" s="7">
        <f>ROUND(27.1,2)</f>
        <v>27.1</v>
      </c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7">
        <f>ROUND(975,2)</f>
        <v>975</v>
      </c>
      <c r="FK294" s="6"/>
      <c r="FL294" s="6"/>
      <c r="FM294" s="6"/>
      <c r="FN294" s="6"/>
      <c r="FO294" s="6"/>
      <c r="FP294" s="6"/>
      <c r="FQ294" s="6"/>
      <c r="FR294" s="6"/>
      <c r="FS294" s="6"/>
      <c r="FT294" s="7">
        <f>ROUND(3000,2)</f>
        <v>3000</v>
      </c>
      <c r="FU294" s="6"/>
      <c r="FV294" s="6"/>
      <c r="FW294" s="6"/>
      <c r="FX294" s="6"/>
      <c r="FY294" s="7">
        <f>ROUND(92575.43,2)</f>
        <v>92575.43</v>
      </c>
    </row>
    <row r="295" spans="1:181" x14ac:dyDescent="0.3">
      <c r="A295" s="4" t="s">
        <v>738</v>
      </c>
      <c r="B295" s="5" t="s">
        <v>1029</v>
      </c>
      <c r="C295" s="5" t="s">
        <v>181</v>
      </c>
      <c r="D295" s="5" t="s">
        <v>739</v>
      </c>
      <c r="E295" s="5" t="s">
        <v>0</v>
      </c>
      <c r="F295" s="5" t="s">
        <v>0</v>
      </c>
      <c r="G295" s="5" t="s">
        <v>183</v>
      </c>
      <c r="H295" s="8">
        <v>33.380000000000003</v>
      </c>
      <c r="I295" s="7">
        <f>ROUND(87377.0999999999,2)</f>
        <v>87377.1</v>
      </c>
      <c r="J295" s="6"/>
      <c r="K295" s="6"/>
      <c r="L295" s="6"/>
      <c r="M295" s="6"/>
      <c r="N295" s="7">
        <f>ROUND(1546.69999999999,2)</f>
        <v>1546.7</v>
      </c>
      <c r="O295" s="6"/>
      <c r="P295" s="6"/>
      <c r="Q295" s="7">
        <f>ROUND(302.039999999999,2)</f>
        <v>302.04000000000002</v>
      </c>
      <c r="R295" s="6"/>
      <c r="S295" s="6"/>
      <c r="T295" s="6"/>
      <c r="U295" s="6"/>
      <c r="V295" s="7">
        <f>ROUND(5.23,2)</f>
        <v>5.23</v>
      </c>
      <c r="W295" s="7">
        <f>ROUND(6.27,2)</f>
        <v>6.27</v>
      </c>
      <c r="X295" s="7">
        <f>ROUND(0.56,2)</f>
        <v>0.56000000000000005</v>
      </c>
      <c r="Y295" s="7">
        <f>ROUND(0.08,2)</f>
        <v>0.08</v>
      </c>
      <c r="Z295" s="6"/>
      <c r="AA295" s="6"/>
      <c r="AB295" s="6"/>
      <c r="AC295" s="6"/>
      <c r="AD295" s="6"/>
      <c r="AE295" s="7">
        <f>ROUND(53.82,2)</f>
        <v>53.82</v>
      </c>
      <c r="AF295" s="6"/>
      <c r="AG295" s="7">
        <f>ROUND(10.58,2)</f>
        <v>10.58</v>
      </c>
      <c r="AH295" s="6"/>
      <c r="AI295" s="6"/>
      <c r="AJ295" s="6"/>
      <c r="AK295" s="6"/>
      <c r="AL295" s="6"/>
      <c r="AM295" s="6"/>
      <c r="AN295" s="6"/>
      <c r="AO295" s="6"/>
      <c r="AP295" s="7">
        <f>ROUND(135.44,2)</f>
        <v>135.44</v>
      </c>
      <c r="AQ295" s="6"/>
      <c r="AR295" s="7">
        <f>ROUND(26.5,2)</f>
        <v>26.5</v>
      </c>
      <c r="AS295" s="6"/>
      <c r="AT295" s="6"/>
      <c r="AU295" s="7">
        <f>ROUND(66,2)</f>
        <v>66</v>
      </c>
      <c r="AV295" s="6"/>
      <c r="AW295" s="7">
        <f>ROUND(20.75,2)</f>
        <v>20.75</v>
      </c>
      <c r="AX295" s="7">
        <f>ROUND(11.25,2)</f>
        <v>11.25</v>
      </c>
      <c r="AY295" s="7">
        <f>ROUND(46,2)</f>
        <v>46</v>
      </c>
      <c r="AZ295" s="6"/>
      <c r="BA295" s="6"/>
      <c r="BB295" s="7">
        <f>ROUND(48,2)</f>
        <v>48</v>
      </c>
      <c r="BC295" s="6"/>
      <c r="BD295" s="7">
        <f>ROUND(8,2)</f>
        <v>8</v>
      </c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7">
        <f>ROUND(5,2)</f>
        <v>5</v>
      </c>
      <c r="BP295" s="6"/>
      <c r="BQ295" s="7">
        <f>ROUND(56.2699999999999,2)</f>
        <v>56.27</v>
      </c>
      <c r="BR295" s="7">
        <f>ROUND(24.73,2)</f>
        <v>24.73</v>
      </c>
      <c r="BS295" s="6"/>
      <c r="BT295" s="7">
        <f>ROUND(12.35,2)</f>
        <v>12.35</v>
      </c>
      <c r="BU295" s="7">
        <f>ROUND(27.83,2)</f>
        <v>27.83</v>
      </c>
      <c r="BV295" s="6"/>
      <c r="BW295" s="7">
        <f>ROUND(8,2)</f>
        <v>8</v>
      </c>
      <c r="BX295" s="6"/>
      <c r="BY295" s="6"/>
      <c r="BZ295" s="7">
        <f>ROUND(136,2)</f>
        <v>136</v>
      </c>
      <c r="CA295" s="7">
        <f>ROUND(29.78,2)</f>
        <v>29.78</v>
      </c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7">
        <f>ROUND(2587.18,2)</f>
        <v>2587.1799999999998</v>
      </c>
      <c r="CR295" s="6"/>
      <c r="CS295" s="6"/>
      <c r="CT295" s="6"/>
      <c r="CU295" s="6"/>
      <c r="CV295" s="7">
        <f>ROUND(50291.8899999999,2)</f>
        <v>50291.89</v>
      </c>
      <c r="CW295" s="6"/>
      <c r="CX295" s="6"/>
      <c r="CY295" s="7">
        <f>ROUND(14764.4299999999,2)</f>
        <v>14764.43</v>
      </c>
      <c r="CZ295" s="6"/>
      <c r="DA295" s="6"/>
      <c r="DB295" s="6"/>
      <c r="DC295" s="6"/>
      <c r="DD295" s="7">
        <f>ROUND(173.64,2)</f>
        <v>173.64</v>
      </c>
      <c r="DE295" s="7">
        <f>ROUND(303.93,2)</f>
        <v>303.93</v>
      </c>
      <c r="DF295" s="7">
        <f>ROUND(18.46,2)</f>
        <v>18.46</v>
      </c>
      <c r="DG295" s="7">
        <f>ROUND(3.97,2)</f>
        <v>3.97</v>
      </c>
      <c r="DH295" s="6"/>
      <c r="DI295" s="6"/>
      <c r="DJ295" s="6"/>
      <c r="DK295" s="6"/>
      <c r="DL295" s="6"/>
      <c r="DM295" s="6"/>
      <c r="DN295" s="7">
        <f>ROUND(1743.57,2)</f>
        <v>1743.57</v>
      </c>
      <c r="DO295" s="6"/>
      <c r="DP295" s="7">
        <f>ROUND(528.88,2)</f>
        <v>528.88</v>
      </c>
      <c r="DQ295" s="6"/>
      <c r="DR295" s="6"/>
      <c r="DS295" s="6"/>
      <c r="DT295" s="6"/>
      <c r="DU295" s="6"/>
      <c r="DV295" s="6"/>
      <c r="DW295" s="6"/>
      <c r="DX295" s="6"/>
      <c r="DY295" s="7">
        <f>ROUND(4422.94,2)</f>
        <v>4422.9399999999996</v>
      </c>
      <c r="DZ295" s="6"/>
      <c r="EA295" s="7">
        <f>ROUND(1281.88,2)</f>
        <v>1281.8800000000001</v>
      </c>
      <c r="EB295" s="6"/>
      <c r="EC295" s="6"/>
      <c r="ED295" s="7">
        <f>ROUND(2140.98,2)</f>
        <v>2140.98</v>
      </c>
      <c r="EE295" s="6"/>
      <c r="EF295" s="7">
        <f>ROUND(665.87,2)</f>
        <v>665.87</v>
      </c>
      <c r="EG295" s="7">
        <f>ROUND(541.53,2)</f>
        <v>541.53</v>
      </c>
      <c r="EH295" s="7">
        <f>ROUND(1504.94,2)</f>
        <v>1504.94</v>
      </c>
      <c r="EI295" s="6"/>
      <c r="EJ295" s="6"/>
      <c r="EK295" s="7">
        <f>ROUND(1540.32,2)</f>
        <v>1540.32</v>
      </c>
      <c r="EL295" s="6"/>
      <c r="EM295" s="6"/>
      <c r="EN295" s="7">
        <f>ROUND(256.72,2)</f>
        <v>256.72000000000003</v>
      </c>
      <c r="EO295" s="6"/>
      <c r="EP295" s="6"/>
      <c r="EQ295" s="6"/>
      <c r="ER295" s="7">
        <f>ROUND(344,2)</f>
        <v>344</v>
      </c>
      <c r="ES295" s="6"/>
      <c r="ET295" s="6"/>
      <c r="EU295" s="6"/>
      <c r="EV295" s="6"/>
      <c r="EW295" s="6"/>
      <c r="EX295" s="6"/>
      <c r="EY295" s="6"/>
      <c r="EZ295" s="6"/>
      <c r="FA295" s="6"/>
      <c r="FB295" s="7">
        <f>ROUND(160.45,2)</f>
        <v>160.44999999999999</v>
      </c>
      <c r="FC295" s="6"/>
      <c r="FD295" s="7">
        <f>ROUND(1862.7,2)</f>
        <v>1862.7</v>
      </c>
      <c r="FE295" s="7">
        <f>ROUND(1226,2)</f>
        <v>1226</v>
      </c>
      <c r="FF295" s="6"/>
      <c r="FG295" s="6"/>
      <c r="FH295" s="6"/>
      <c r="FI295" s="6"/>
      <c r="FJ295" s="7">
        <f>ROUND(600,2)</f>
        <v>600</v>
      </c>
      <c r="FK295" s="6"/>
      <c r="FL295" s="6"/>
      <c r="FM295" s="6"/>
      <c r="FN295" s="6"/>
      <c r="FO295" s="6"/>
      <c r="FP295" s="6"/>
      <c r="FQ295" s="6"/>
      <c r="FR295" s="6"/>
      <c r="FS295" s="6"/>
      <c r="FT295" s="7">
        <f>ROUND(3000,2)</f>
        <v>3000</v>
      </c>
      <c r="FU295" s="6"/>
      <c r="FV295" s="6"/>
      <c r="FW295" s="6"/>
      <c r="FX295" s="6"/>
      <c r="FY295" s="7">
        <f>ROUND(87377.0999999999,2)</f>
        <v>87377.1</v>
      </c>
    </row>
    <row r="296" spans="1:181" x14ac:dyDescent="0.3">
      <c r="A296" s="4" t="s">
        <v>745</v>
      </c>
      <c r="B296" s="5" t="s">
        <v>1029</v>
      </c>
      <c r="C296" s="5" t="s">
        <v>181</v>
      </c>
      <c r="D296" s="5" t="s">
        <v>194</v>
      </c>
      <c r="E296" s="5" t="s">
        <v>746</v>
      </c>
      <c r="F296" s="5" t="s">
        <v>0</v>
      </c>
      <c r="G296" s="5" t="s">
        <v>183</v>
      </c>
      <c r="H296" s="8">
        <v>33.380000000000003</v>
      </c>
      <c r="I296" s="7">
        <f>ROUND(89930.4399999999,2)</f>
        <v>89930.44</v>
      </c>
      <c r="J296" s="6"/>
      <c r="K296" s="6"/>
      <c r="L296" s="6"/>
      <c r="M296" s="6"/>
      <c r="N296" s="7">
        <f>ROUND(1552.53,2)</f>
        <v>1552.53</v>
      </c>
      <c r="O296" s="6"/>
      <c r="P296" s="6"/>
      <c r="Q296" s="7">
        <f>ROUND(133.35,2)</f>
        <v>133.35</v>
      </c>
      <c r="R296" s="6"/>
      <c r="S296" s="6"/>
      <c r="T296" s="6"/>
      <c r="U296" s="6"/>
      <c r="V296" s="7">
        <f>ROUND(4.2,2)</f>
        <v>4.2</v>
      </c>
      <c r="W296" s="7">
        <f>ROUND(7.6,2)</f>
        <v>7.6</v>
      </c>
      <c r="X296" s="7">
        <f>ROUND(1.79,2)</f>
        <v>1.79</v>
      </c>
      <c r="Y296" s="6"/>
      <c r="Z296" s="6"/>
      <c r="AA296" s="6"/>
      <c r="AB296" s="6"/>
      <c r="AC296" s="6"/>
      <c r="AD296" s="6"/>
      <c r="AE296" s="7">
        <f>ROUND(173.049999999999,2)</f>
        <v>173.05</v>
      </c>
      <c r="AF296" s="6"/>
      <c r="AG296" s="7">
        <f>ROUND(210.45,2)</f>
        <v>210.45</v>
      </c>
      <c r="AH296" s="6"/>
      <c r="AI296" s="6"/>
      <c r="AJ296" s="6"/>
      <c r="AK296" s="6"/>
      <c r="AL296" s="6"/>
      <c r="AM296" s="6"/>
      <c r="AN296" s="6"/>
      <c r="AO296" s="6"/>
      <c r="AP296" s="7">
        <f>ROUND(57.63,2)</f>
        <v>57.63</v>
      </c>
      <c r="AQ296" s="6"/>
      <c r="AR296" s="7">
        <f>ROUND(62.2499999999999,2)</f>
        <v>62.25</v>
      </c>
      <c r="AS296" s="6"/>
      <c r="AT296" s="6"/>
      <c r="AU296" s="7">
        <f>ROUND(66.2,2)</f>
        <v>66.2</v>
      </c>
      <c r="AV296" s="7">
        <f>ROUND(3.8,2)</f>
        <v>3.8</v>
      </c>
      <c r="AW296" s="7">
        <f>ROUND(14.28,2)</f>
        <v>14.28</v>
      </c>
      <c r="AX296" s="7">
        <f>ROUND(9.71999999999999,2)</f>
        <v>9.7200000000000006</v>
      </c>
      <c r="AY296" s="7">
        <f>ROUND(52.6299999999999,2)</f>
        <v>52.63</v>
      </c>
      <c r="AZ296" s="7">
        <f>ROUND(11.37,2)</f>
        <v>11.37</v>
      </c>
      <c r="BA296" s="6"/>
      <c r="BB296" s="6"/>
      <c r="BC296" s="6"/>
      <c r="BD296" s="7">
        <f>ROUND(17,2)</f>
        <v>17</v>
      </c>
      <c r="BE296" s="7">
        <f>ROUND(0.67,2)</f>
        <v>0.67</v>
      </c>
      <c r="BF296" s="6"/>
      <c r="BG296" s="6"/>
      <c r="BH296" s="6"/>
      <c r="BI296" s="6"/>
      <c r="BJ296" s="6"/>
      <c r="BK296" s="6"/>
      <c r="BL296" s="6"/>
      <c r="BM296" s="6"/>
      <c r="BN296" s="6"/>
      <c r="BO296" s="7">
        <f>ROUND(5,2)</f>
        <v>5</v>
      </c>
      <c r="BP296" s="6"/>
      <c r="BQ296" s="7">
        <f>ROUND(12.45,2)</f>
        <v>12.45</v>
      </c>
      <c r="BR296" s="6"/>
      <c r="BS296" s="7">
        <f>ROUND(56,2)</f>
        <v>56</v>
      </c>
      <c r="BT296" s="7">
        <f>ROUND(9.08,2)</f>
        <v>9.08</v>
      </c>
      <c r="BU296" s="7">
        <f>ROUND(128,2)</f>
        <v>128</v>
      </c>
      <c r="BV296" s="6"/>
      <c r="BW296" s="6"/>
      <c r="BX296" s="6"/>
      <c r="BY296" s="7">
        <f>ROUND(24,2)</f>
        <v>24</v>
      </c>
      <c r="BZ296" s="6"/>
      <c r="CA296" s="7">
        <f>ROUND(35.83,2)</f>
        <v>35.83</v>
      </c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7">
        <f>ROUND(2648.88,2)</f>
        <v>2648.88</v>
      </c>
      <c r="CR296" s="6"/>
      <c r="CS296" s="6"/>
      <c r="CT296" s="6"/>
      <c r="CU296" s="6"/>
      <c r="CV296" s="7">
        <f>ROUND(50905.5699999999,2)</f>
        <v>50905.57</v>
      </c>
      <c r="CW296" s="6"/>
      <c r="CX296" s="6"/>
      <c r="CY296" s="7">
        <f>ROUND(6550.84,2)</f>
        <v>6550.84</v>
      </c>
      <c r="CZ296" s="6"/>
      <c r="DA296" s="6"/>
      <c r="DB296" s="6"/>
      <c r="DC296" s="6"/>
      <c r="DD296" s="7">
        <f>ROUND(135.41,2)</f>
        <v>135.41</v>
      </c>
      <c r="DE296" s="7">
        <f>ROUND(366.13,2)</f>
        <v>366.13</v>
      </c>
      <c r="DF296" s="7">
        <f>ROUND(57.77,2)</f>
        <v>57.77</v>
      </c>
      <c r="DG296" s="6"/>
      <c r="DH296" s="6"/>
      <c r="DI296" s="6"/>
      <c r="DJ296" s="6"/>
      <c r="DK296" s="6"/>
      <c r="DL296" s="6"/>
      <c r="DM296" s="6"/>
      <c r="DN296" s="7">
        <f>ROUND(5664.58,2)</f>
        <v>5664.58</v>
      </c>
      <c r="DO296" s="6"/>
      <c r="DP296" s="7">
        <f>ROUND(10310.2899999999,2)</f>
        <v>10310.290000000001</v>
      </c>
      <c r="DQ296" s="6"/>
      <c r="DR296" s="6"/>
      <c r="DS296" s="6"/>
      <c r="DT296" s="6"/>
      <c r="DU296" s="6"/>
      <c r="DV296" s="6"/>
      <c r="DW296" s="6"/>
      <c r="DX296" s="6"/>
      <c r="DY296" s="7">
        <f>ROUND(1901.41999999999,2)</f>
        <v>1901.42</v>
      </c>
      <c r="DZ296" s="6"/>
      <c r="EA296" s="7">
        <f>ROUND(3065.45,2)</f>
        <v>3065.45</v>
      </c>
      <c r="EB296" s="6"/>
      <c r="EC296" s="6"/>
      <c r="ED296" s="7">
        <f>ROUND(2156.65,2)</f>
        <v>2156.65</v>
      </c>
      <c r="EE296" s="7">
        <f>ROUND(188.4,2)</f>
        <v>188.4</v>
      </c>
      <c r="EF296" s="7">
        <f>ROUND(465.929999999999,2)</f>
        <v>465.93</v>
      </c>
      <c r="EG296" s="7">
        <f>ROUND(467.87,2)</f>
        <v>467.87</v>
      </c>
      <c r="EH296" s="7">
        <f>ROUND(1709.82,2)</f>
        <v>1709.82</v>
      </c>
      <c r="EI296" s="7">
        <f>ROUND(561.98,2)</f>
        <v>561.98</v>
      </c>
      <c r="EJ296" s="6"/>
      <c r="EK296" s="6"/>
      <c r="EL296" s="6"/>
      <c r="EM296" s="6"/>
      <c r="EN296" s="7">
        <f>ROUND(554.17,2)</f>
        <v>554.16999999999996</v>
      </c>
      <c r="EO296" s="7">
        <f>ROUND(22.24,2)</f>
        <v>22.24</v>
      </c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7">
        <f>ROUND(166.9,2)</f>
        <v>166.9</v>
      </c>
      <c r="FC296" s="6"/>
      <c r="FD296" s="7">
        <f>ROUND(415.58,2)</f>
        <v>415.58</v>
      </c>
      <c r="FE296" s="6"/>
      <c r="FF296" s="7">
        <f>ROUND(513.44,2)</f>
        <v>513.44000000000005</v>
      </c>
      <c r="FG296" s="6"/>
      <c r="FH296" s="6"/>
      <c r="FI296" s="6"/>
      <c r="FJ296" s="7">
        <f>ROUND(750,2)</f>
        <v>750</v>
      </c>
      <c r="FK296" s="6"/>
      <c r="FL296" s="6"/>
      <c r="FM296" s="6"/>
      <c r="FN296" s="6"/>
      <c r="FO296" s="6"/>
      <c r="FP296" s="6"/>
      <c r="FQ296" s="6"/>
      <c r="FR296" s="6"/>
      <c r="FS296" s="6"/>
      <c r="FT296" s="7">
        <f>ROUND(3000,2)</f>
        <v>3000</v>
      </c>
      <c r="FU296" s="6"/>
      <c r="FV296" s="6"/>
      <c r="FW296" s="6"/>
      <c r="FX296" s="6"/>
      <c r="FY296" s="7">
        <f>ROUND(89930.4399999999,2)</f>
        <v>89930.44</v>
      </c>
    </row>
    <row r="297" spans="1:181" x14ac:dyDescent="0.3">
      <c r="A297" s="4" t="s">
        <v>748</v>
      </c>
      <c r="B297" s="5" t="s">
        <v>1029</v>
      </c>
      <c r="C297" s="5" t="s">
        <v>181</v>
      </c>
      <c r="D297" s="5" t="s">
        <v>658</v>
      </c>
      <c r="E297" s="5" t="s">
        <v>0</v>
      </c>
      <c r="F297" s="5" t="s">
        <v>0</v>
      </c>
      <c r="G297" s="5" t="s">
        <v>183</v>
      </c>
      <c r="H297" s="8">
        <v>33.880000000000003</v>
      </c>
      <c r="I297" s="7">
        <f>ROUND(50853.9,2)</f>
        <v>50853.9</v>
      </c>
      <c r="J297" s="6"/>
      <c r="K297" s="6"/>
      <c r="L297" s="6"/>
      <c r="M297" s="6"/>
      <c r="N297" s="7">
        <f>ROUND(1377.68,2)</f>
        <v>1377.68</v>
      </c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7">
        <f>ROUND(40,2)</f>
        <v>40</v>
      </c>
      <c r="AV297" s="6"/>
      <c r="AW297" s="7">
        <f>ROUND(5,2)</f>
        <v>5</v>
      </c>
      <c r="AX297" s="6"/>
      <c r="AY297" s="7">
        <f>ROUND(45,2)</f>
        <v>45</v>
      </c>
      <c r="AZ297" s="6"/>
      <c r="BA297" s="6"/>
      <c r="BB297" s="6"/>
      <c r="BC297" s="6"/>
      <c r="BD297" s="7">
        <f t="shared" ref="BD297:BD304" si="22">ROUND(8,2)</f>
        <v>8</v>
      </c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7">
        <f>ROUND(20,2)</f>
        <v>20</v>
      </c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7">
        <f>ROUND(15,2)</f>
        <v>15</v>
      </c>
      <c r="CQ297" s="7">
        <f>ROUND(1510.68,2)</f>
        <v>1510.68</v>
      </c>
      <c r="CR297" s="6"/>
      <c r="CS297" s="6"/>
      <c r="CT297" s="6"/>
      <c r="CU297" s="6"/>
      <c r="CV297" s="7">
        <f>ROUND(44888.53,2)</f>
        <v>44888.53</v>
      </c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7">
        <f>ROUND(1304.45,2)</f>
        <v>1304.45</v>
      </c>
      <c r="EE297" s="6"/>
      <c r="EF297" s="7">
        <f>ROUND(160.45,2)</f>
        <v>160.44999999999999</v>
      </c>
      <c r="EG297" s="6"/>
      <c r="EH297" s="7">
        <f>ROUND(1468.05,2)</f>
        <v>1468.05</v>
      </c>
      <c r="EI297" s="6"/>
      <c r="EJ297" s="6"/>
      <c r="EK297" s="6"/>
      <c r="EL297" s="6"/>
      <c r="EM297" s="6"/>
      <c r="EN297" s="7">
        <f>ROUND(256.72,2)</f>
        <v>256.72000000000003</v>
      </c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7">
        <f>ROUND(775,2)</f>
        <v>775</v>
      </c>
      <c r="FK297" s="6"/>
      <c r="FL297" s="6"/>
      <c r="FM297" s="6"/>
      <c r="FN297" s="6"/>
      <c r="FO297" s="6"/>
      <c r="FP297" s="6"/>
      <c r="FQ297" s="6"/>
      <c r="FR297" s="6"/>
      <c r="FS297" s="6"/>
      <c r="FT297" s="7">
        <f>ROUND(1500,2)</f>
        <v>1500</v>
      </c>
      <c r="FU297" s="6"/>
      <c r="FV297" s="6"/>
      <c r="FW297" s="6"/>
      <c r="FX297" s="7">
        <f>ROUND(500.7,2)</f>
        <v>500.7</v>
      </c>
      <c r="FY297" s="7">
        <f>ROUND(50853.9,2)</f>
        <v>50853.9</v>
      </c>
    </row>
    <row r="298" spans="1:181" x14ac:dyDescent="0.3">
      <c r="A298" s="4" t="s">
        <v>749</v>
      </c>
      <c r="B298" s="5" t="s">
        <v>1029</v>
      </c>
      <c r="C298" s="5" t="s">
        <v>181</v>
      </c>
      <c r="D298" s="5" t="s">
        <v>390</v>
      </c>
      <c r="E298" s="5" t="s">
        <v>0</v>
      </c>
      <c r="F298" s="5" t="s">
        <v>0</v>
      </c>
      <c r="G298" s="5" t="s">
        <v>183</v>
      </c>
      <c r="H298" s="6">
        <v>33.380000000000003</v>
      </c>
      <c r="I298" s="7">
        <f>ROUND(49061.35,2)</f>
        <v>49061.35</v>
      </c>
      <c r="J298" s="6"/>
      <c r="K298" s="6"/>
      <c r="L298" s="6"/>
      <c r="M298" s="6"/>
      <c r="N298" s="7">
        <f>ROUND(1355.91,2)</f>
        <v>1355.91</v>
      </c>
      <c r="O298" s="6"/>
      <c r="P298" s="6"/>
      <c r="Q298" s="6"/>
      <c r="R298" s="6"/>
      <c r="S298" s="6"/>
      <c r="T298" s="6"/>
      <c r="U298" s="6"/>
      <c r="V298" s="6"/>
      <c r="W298" s="6"/>
      <c r="X298" s="7">
        <f>ROUND(0.57,2)</f>
        <v>0.56999999999999995</v>
      </c>
      <c r="Y298" s="6"/>
      <c r="Z298" s="6"/>
      <c r="AA298" s="6"/>
      <c r="AB298" s="6"/>
      <c r="AC298" s="6"/>
      <c r="AD298" s="6"/>
      <c r="AE298" s="7">
        <f>ROUND(6,2)</f>
        <v>6</v>
      </c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7">
        <f>ROUND(24,2)</f>
        <v>24</v>
      </c>
      <c r="AQ298" s="6"/>
      <c r="AR298" s="6"/>
      <c r="AS298" s="6"/>
      <c r="AT298" s="6"/>
      <c r="AU298" s="7">
        <f>ROUND(40,2)</f>
        <v>40</v>
      </c>
      <c r="AV298" s="6"/>
      <c r="AW298" s="7">
        <f>ROUND(5,2)</f>
        <v>5</v>
      </c>
      <c r="AX298" s="6"/>
      <c r="AY298" s="7">
        <f>ROUND(15,2)</f>
        <v>15</v>
      </c>
      <c r="AZ298" s="6"/>
      <c r="BA298" s="6"/>
      <c r="BB298" s="7">
        <f>ROUND(10,2)</f>
        <v>10</v>
      </c>
      <c r="BC298" s="6"/>
      <c r="BD298" s="7">
        <f t="shared" si="22"/>
        <v>8</v>
      </c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7">
        <f>ROUND(15,2)</f>
        <v>15</v>
      </c>
      <c r="BP298" s="6"/>
      <c r="BQ298" s="6"/>
      <c r="BR298" s="6"/>
      <c r="BS298" s="6"/>
      <c r="BT298" s="7">
        <f>ROUND(0.08,2)</f>
        <v>0.08</v>
      </c>
      <c r="BU298" s="6"/>
      <c r="BV298" s="6"/>
      <c r="BW298" s="6"/>
      <c r="BX298" s="6"/>
      <c r="BY298" s="7">
        <f>ROUND(10,2)</f>
        <v>10</v>
      </c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7">
        <f>ROUND(1489.56,2)</f>
        <v>1489.56</v>
      </c>
      <c r="CR298" s="6"/>
      <c r="CS298" s="6"/>
      <c r="CT298" s="6"/>
      <c r="CU298" s="6"/>
      <c r="CV298" s="7">
        <f>ROUND(42991.54,2)</f>
        <v>42991.54</v>
      </c>
      <c r="CW298" s="6"/>
      <c r="CX298" s="6"/>
      <c r="CY298" s="6"/>
      <c r="CZ298" s="6"/>
      <c r="DA298" s="6"/>
      <c r="DB298" s="6"/>
      <c r="DC298" s="6"/>
      <c r="DD298" s="6"/>
      <c r="DE298" s="6"/>
      <c r="DF298" s="7">
        <f>ROUND(17.38,2)</f>
        <v>17.38</v>
      </c>
      <c r="DG298" s="6"/>
      <c r="DH298" s="6"/>
      <c r="DI298" s="6"/>
      <c r="DJ298" s="6"/>
      <c r="DK298" s="6"/>
      <c r="DL298" s="6"/>
      <c r="DM298" s="6"/>
      <c r="DN298" s="7">
        <f>ROUND(200.28,2)</f>
        <v>200.28</v>
      </c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7">
        <f>ROUND(762.48,2)</f>
        <v>762.48</v>
      </c>
      <c r="DZ298" s="6"/>
      <c r="EA298" s="6"/>
      <c r="EB298" s="6"/>
      <c r="EC298" s="6"/>
      <c r="ED298" s="7">
        <f>ROUND(1248.1,2)</f>
        <v>1248.0999999999999</v>
      </c>
      <c r="EE298" s="6"/>
      <c r="EF298" s="7">
        <f>ROUND(152.45,2)</f>
        <v>152.44999999999999</v>
      </c>
      <c r="EG298" s="6"/>
      <c r="EH298" s="7">
        <f>ROUND(470.15,2)</f>
        <v>470.15</v>
      </c>
      <c r="EI298" s="6"/>
      <c r="EJ298" s="6"/>
      <c r="EK298" s="7">
        <f>ROUND(304.9,2)</f>
        <v>304.89999999999998</v>
      </c>
      <c r="EL298" s="6"/>
      <c r="EM298" s="6"/>
      <c r="EN298" s="7">
        <f>ROUND(243.92,2)</f>
        <v>243.92</v>
      </c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7">
        <f>ROUND(470.15,2)</f>
        <v>470.15</v>
      </c>
      <c r="FC298" s="6"/>
      <c r="FD298" s="6"/>
      <c r="FE298" s="6"/>
      <c r="FF298" s="6"/>
      <c r="FG298" s="6"/>
      <c r="FH298" s="6"/>
      <c r="FI298" s="6"/>
      <c r="FJ298" s="7">
        <f>ROUND(700,2)</f>
        <v>700</v>
      </c>
      <c r="FK298" s="6"/>
      <c r="FL298" s="6"/>
      <c r="FM298" s="6"/>
      <c r="FN298" s="6"/>
      <c r="FO298" s="6"/>
      <c r="FP298" s="6"/>
      <c r="FQ298" s="6"/>
      <c r="FR298" s="6"/>
      <c r="FS298" s="6"/>
      <c r="FT298" s="7">
        <f>ROUND(1500,2)</f>
        <v>1500</v>
      </c>
      <c r="FU298" s="6"/>
      <c r="FV298" s="6"/>
      <c r="FW298" s="6"/>
      <c r="FX298" s="6"/>
      <c r="FY298" s="7">
        <f>ROUND(49061.35,2)</f>
        <v>49061.35</v>
      </c>
    </row>
    <row r="299" spans="1:181" x14ac:dyDescent="0.3">
      <c r="A299" s="4" t="s">
        <v>750</v>
      </c>
      <c r="B299" s="5" t="s">
        <v>1029</v>
      </c>
      <c r="C299" s="5" t="s">
        <v>181</v>
      </c>
      <c r="D299" s="5" t="s">
        <v>217</v>
      </c>
      <c r="E299" s="5" t="s">
        <v>751</v>
      </c>
      <c r="F299" s="5" t="s">
        <v>0</v>
      </c>
      <c r="G299" s="5" t="s">
        <v>183</v>
      </c>
      <c r="H299" s="8">
        <v>33.380000000000003</v>
      </c>
      <c r="I299" s="7">
        <f>ROUND(53650.6899999999,2)</f>
        <v>53650.69</v>
      </c>
      <c r="J299" s="6"/>
      <c r="K299" s="6"/>
      <c r="L299" s="6"/>
      <c r="M299" s="6"/>
      <c r="N299" s="7">
        <f>ROUND(6,2)</f>
        <v>6</v>
      </c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7">
        <f>ROUND(932.58,2)</f>
        <v>932.58</v>
      </c>
      <c r="AF299" s="6"/>
      <c r="AG299" s="7">
        <f>ROUND(81.49,2)</f>
        <v>81.489999999999995</v>
      </c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7">
        <f>ROUND(38,2)</f>
        <v>38</v>
      </c>
      <c r="AV299" s="6"/>
      <c r="AW299" s="7">
        <f>ROUND(32,2)</f>
        <v>32</v>
      </c>
      <c r="AX299" s="6"/>
      <c r="AY299" s="7">
        <f>ROUND(42.42,2)</f>
        <v>42.42</v>
      </c>
      <c r="AZ299" s="7">
        <f>ROUND(7.58,2)</f>
        <v>7.58</v>
      </c>
      <c r="BA299" s="6"/>
      <c r="BB299" s="7">
        <f>ROUND(32,2)</f>
        <v>32</v>
      </c>
      <c r="BC299" s="6"/>
      <c r="BD299" s="7">
        <f t="shared" si="22"/>
        <v>8</v>
      </c>
      <c r="BE299" s="7">
        <f>ROUND(2.75,2)</f>
        <v>2.75</v>
      </c>
      <c r="BF299" s="6"/>
      <c r="BG299" s="7">
        <f>ROUND(51.67,2)</f>
        <v>51.67</v>
      </c>
      <c r="BH299" s="6"/>
      <c r="BI299" s="6"/>
      <c r="BJ299" s="6"/>
      <c r="BK299" s="6"/>
      <c r="BL299" s="6"/>
      <c r="BM299" s="6"/>
      <c r="BN299" s="6"/>
      <c r="BO299" s="6"/>
      <c r="BP299" s="6"/>
      <c r="BQ299" s="7">
        <f>ROUND(240,2)</f>
        <v>240</v>
      </c>
      <c r="BR299" s="6"/>
      <c r="BS299" s="7">
        <f>ROUND(264,2)</f>
        <v>264</v>
      </c>
      <c r="BT299" s="6"/>
      <c r="BU299" s="6"/>
      <c r="BV299" s="6"/>
      <c r="BW299" s="7">
        <f>ROUND(32,2)</f>
        <v>32</v>
      </c>
      <c r="BX299" s="6"/>
      <c r="BY299" s="7">
        <f>ROUND(8,2)</f>
        <v>8</v>
      </c>
      <c r="BZ299" s="6"/>
      <c r="CA299" s="7">
        <f>ROUND(238,2)</f>
        <v>238</v>
      </c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7">
        <f>ROUND(40,2)</f>
        <v>40</v>
      </c>
      <c r="CQ299" s="7">
        <f>ROUND(2056.49,2)</f>
        <v>2056.4899999999998</v>
      </c>
      <c r="CR299" s="6"/>
      <c r="CS299" s="6"/>
      <c r="CT299" s="6"/>
      <c r="CU299" s="6"/>
      <c r="CV299" s="7">
        <f>ROUND(192.54,2)</f>
        <v>192.54</v>
      </c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7">
        <f>ROUND(30173.69,2)</f>
        <v>30173.69</v>
      </c>
      <c r="DO299" s="6"/>
      <c r="DP299" s="7">
        <f>ROUND(3938.14,2)</f>
        <v>3938.14</v>
      </c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7">
        <f>ROUND(1236.7,2)</f>
        <v>1236.7</v>
      </c>
      <c r="EE299" s="6"/>
      <c r="EF299" s="7">
        <f>ROUND(1026.88,2)</f>
        <v>1026.8800000000001</v>
      </c>
      <c r="EG299" s="6"/>
      <c r="EH299" s="7">
        <f>ROUND(1376.62,2)</f>
        <v>1376.62</v>
      </c>
      <c r="EI299" s="7">
        <f>ROUND(364.86,2)</f>
        <v>364.86</v>
      </c>
      <c r="EJ299" s="6"/>
      <c r="EK299" s="7">
        <f>ROUND(1026.88,2)</f>
        <v>1026.8800000000001</v>
      </c>
      <c r="EL299" s="6"/>
      <c r="EM299" s="6"/>
      <c r="EN299" s="7">
        <f t="shared" ref="EN299:EN304" si="23">ROUND(256.72,2)</f>
        <v>256.72000000000003</v>
      </c>
      <c r="EO299" s="7">
        <f>ROUND(132.37,2)</f>
        <v>132.37</v>
      </c>
      <c r="EP299" s="6"/>
      <c r="EQ299" s="7">
        <f>ROUND(1658.09,2)</f>
        <v>1658.09</v>
      </c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7">
        <f>ROUND(7932,2)</f>
        <v>7932</v>
      </c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7">
        <f t="shared" ref="FT299:FT304" si="24">ROUND(3000,2)</f>
        <v>3000</v>
      </c>
      <c r="FU299" s="6"/>
      <c r="FV299" s="6"/>
      <c r="FW299" s="6"/>
      <c r="FX299" s="7">
        <f>ROUND(1335.2,2)</f>
        <v>1335.2</v>
      </c>
      <c r="FY299" s="7">
        <f>ROUND(53650.6899999999,2)</f>
        <v>53650.69</v>
      </c>
    </row>
    <row r="300" spans="1:181" x14ac:dyDescent="0.3">
      <c r="A300" s="4" t="s">
        <v>758</v>
      </c>
      <c r="B300" s="5" t="s">
        <v>1029</v>
      </c>
      <c r="C300" s="5" t="s">
        <v>181</v>
      </c>
      <c r="D300" s="5" t="s">
        <v>499</v>
      </c>
      <c r="E300" s="5" t="s">
        <v>0</v>
      </c>
      <c r="F300" s="5" t="s">
        <v>0</v>
      </c>
      <c r="G300" s="5" t="s">
        <v>183</v>
      </c>
      <c r="H300" s="8">
        <v>33.880000000000003</v>
      </c>
      <c r="I300" s="7">
        <f>ROUND(75187.79,2)</f>
        <v>75187.789999999994</v>
      </c>
      <c r="J300" s="6"/>
      <c r="K300" s="6"/>
      <c r="L300" s="6"/>
      <c r="M300" s="6"/>
      <c r="N300" s="7">
        <f>ROUND(1302.7,2)</f>
        <v>1302.7</v>
      </c>
      <c r="O300" s="6"/>
      <c r="P300" s="6"/>
      <c r="Q300" s="7">
        <f>ROUND(216.87,2)</f>
        <v>216.87</v>
      </c>
      <c r="R300" s="6"/>
      <c r="S300" s="6"/>
      <c r="T300" s="6"/>
      <c r="U300" s="6"/>
      <c r="V300" s="7">
        <f>ROUND(8,2)</f>
        <v>8</v>
      </c>
      <c r="W300" s="7">
        <f>ROUND(21.9399999999999,2)</f>
        <v>21.94</v>
      </c>
      <c r="X300" s="7">
        <f>ROUND(0.98,2)</f>
        <v>0.98</v>
      </c>
      <c r="Y300" s="6"/>
      <c r="Z300" s="6"/>
      <c r="AA300" s="6"/>
      <c r="AB300" s="6"/>
      <c r="AC300" s="6"/>
      <c r="AD300" s="6"/>
      <c r="AE300" s="7">
        <f>ROUND(150.329999999999,2)</f>
        <v>150.33000000000001</v>
      </c>
      <c r="AF300" s="6"/>
      <c r="AG300" s="7">
        <f>ROUND(28.7499999999999,2)</f>
        <v>28.75</v>
      </c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7">
        <f>ROUND(12,2)</f>
        <v>12</v>
      </c>
      <c r="AS300" s="6"/>
      <c r="AT300" s="6"/>
      <c r="AU300" s="7">
        <f>ROUND(52,2)</f>
        <v>52</v>
      </c>
      <c r="AV300" s="6"/>
      <c r="AW300" s="7">
        <f>ROUND(24,2)</f>
        <v>24</v>
      </c>
      <c r="AX300" s="6"/>
      <c r="AY300" s="7">
        <f>ROUND(49.6,2)</f>
        <v>49.6</v>
      </c>
      <c r="AZ300" s="7">
        <f>ROUND(6.4,2)</f>
        <v>6.4</v>
      </c>
      <c r="BA300" s="6"/>
      <c r="BB300" s="7">
        <f>ROUND(40,2)</f>
        <v>40</v>
      </c>
      <c r="BC300" s="6"/>
      <c r="BD300" s="7">
        <f t="shared" si="22"/>
        <v>8</v>
      </c>
      <c r="BE300" s="7">
        <f>ROUND(1.78,2)</f>
        <v>1.78</v>
      </c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7">
        <f>ROUND(360,2)</f>
        <v>360</v>
      </c>
      <c r="BT300" s="6"/>
      <c r="BU300" s="6"/>
      <c r="BV300" s="6"/>
      <c r="BW300" s="7">
        <f>ROUND(16,2)</f>
        <v>16</v>
      </c>
      <c r="BX300" s="6"/>
      <c r="BY300" s="6"/>
      <c r="BZ300" s="6"/>
      <c r="CA300" s="7">
        <f>ROUND(24,2)</f>
        <v>24</v>
      </c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7">
        <f>ROUND(120,2)</f>
        <v>120</v>
      </c>
      <c r="CQ300" s="7">
        <f>ROUND(2443.34999999999,2)</f>
        <v>2443.35</v>
      </c>
      <c r="CR300" s="6"/>
      <c r="CS300" s="6"/>
      <c r="CT300" s="6"/>
      <c r="CU300" s="6"/>
      <c r="CV300" s="7">
        <f>ROUND(42272.0799999999,2)</f>
        <v>42272.08</v>
      </c>
      <c r="CW300" s="6"/>
      <c r="CX300" s="6"/>
      <c r="CY300" s="7">
        <f>ROUND(10573.7699999999,2)</f>
        <v>10573.77</v>
      </c>
      <c r="CZ300" s="6"/>
      <c r="DA300" s="6"/>
      <c r="DB300" s="6"/>
      <c r="DC300" s="6"/>
      <c r="DD300" s="7">
        <f>ROUND(265,2)</f>
        <v>265</v>
      </c>
      <c r="DE300" s="7">
        <f>ROUND(1090.62,2)</f>
        <v>1090.6199999999999</v>
      </c>
      <c r="DF300" s="7">
        <f>ROUND(31.83,2)</f>
        <v>31.83</v>
      </c>
      <c r="DG300" s="6"/>
      <c r="DH300" s="6"/>
      <c r="DI300" s="6"/>
      <c r="DJ300" s="6"/>
      <c r="DK300" s="6"/>
      <c r="DL300" s="6"/>
      <c r="DM300" s="6"/>
      <c r="DN300" s="7">
        <f>ROUND(4968.41,2)</f>
        <v>4968.41</v>
      </c>
      <c r="DO300" s="6"/>
      <c r="DP300" s="7">
        <f>ROUND(1425.28,2)</f>
        <v>1425.28</v>
      </c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7">
        <f>ROUND(577.62,2)</f>
        <v>577.62</v>
      </c>
      <c r="EB300" s="6"/>
      <c r="EC300" s="6"/>
      <c r="ED300" s="7">
        <f>ROUND(1690.67999999999,2)</f>
        <v>1690.68</v>
      </c>
      <c r="EE300" s="6"/>
      <c r="EF300" s="7">
        <f>ROUND(777.84,2)</f>
        <v>777.84</v>
      </c>
      <c r="EG300" s="6"/>
      <c r="EH300" s="7">
        <f>ROUND(1598.82,2)</f>
        <v>1598.82</v>
      </c>
      <c r="EI300" s="7">
        <f>ROUND(318.8,2)</f>
        <v>318.8</v>
      </c>
      <c r="EJ300" s="6"/>
      <c r="EK300" s="7">
        <f>ROUND(1283.6,2)</f>
        <v>1283.5999999999999</v>
      </c>
      <c r="EL300" s="6"/>
      <c r="EM300" s="6"/>
      <c r="EN300" s="7">
        <f t="shared" si="23"/>
        <v>256.72000000000003</v>
      </c>
      <c r="EO300" s="7">
        <f>ROUND(57.12,2)</f>
        <v>57.12</v>
      </c>
      <c r="EP300" s="6"/>
      <c r="EQ300" s="6"/>
      <c r="ER300" s="7">
        <f>ROUND(159,2)</f>
        <v>159</v>
      </c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7">
        <f>ROUND(775,2)</f>
        <v>775</v>
      </c>
      <c r="FK300" s="6"/>
      <c r="FL300" s="6"/>
      <c r="FM300" s="6"/>
      <c r="FN300" s="6"/>
      <c r="FO300" s="6"/>
      <c r="FP300" s="6"/>
      <c r="FQ300" s="6"/>
      <c r="FR300" s="6"/>
      <c r="FS300" s="6"/>
      <c r="FT300" s="7">
        <f t="shared" si="24"/>
        <v>3000</v>
      </c>
      <c r="FU300" s="6"/>
      <c r="FV300" s="6"/>
      <c r="FW300" s="6"/>
      <c r="FX300" s="7">
        <f>ROUND(4065.6,2)</f>
        <v>4065.6</v>
      </c>
      <c r="FY300" s="7">
        <f>ROUND(75187.79,2)</f>
        <v>75187.789999999994</v>
      </c>
    </row>
    <row r="301" spans="1:181" x14ac:dyDescent="0.3">
      <c r="A301" s="4" t="s">
        <v>759</v>
      </c>
      <c r="B301" s="5" t="s">
        <v>1029</v>
      </c>
      <c r="C301" s="5" t="s">
        <v>181</v>
      </c>
      <c r="D301" s="5" t="s">
        <v>276</v>
      </c>
      <c r="E301" s="5" t="s">
        <v>0</v>
      </c>
      <c r="F301" s="5" t="s">
        <v>0</v>
      </c>
      <c r="G301" s="5" t="s">
        <v>183</v>
      </c>
      <c r="H301" s="8">
        <v>33.380000000000003</v>
      </c>
      <c r="I301" s="7">
        <f>ROUND(78781.3999999999,2)</f>
        <v>78781.399999999994</v>
      </c>
      <c r="J301" s="6"/>
      <c r="K301" s="6"/>
      <c r="L301" s="6"/>
      <c r="M301" s="6"/>
      <c r="N301" s="7">
        <f>ROUND(1433.52,2)</f>
        <v>1433.52</v>
      </c>
      <c r="O301" s="6"/>
      <c r="P301" s="6"/>
      <c r="Q301" s="7">
        <f>ROUND(153.049999999999,2)</f>
        <v>153.05000000000001</v>
      </c>
      <c r="R301" s="6"/>
      <c r="S301" s="6"/>
      <c r="T301" s="6"/>
      <c r="U301" s="6"/>
      <c r="V301" s="7">
        <f>ROUND(17.03,2)</f>
        <v>17.03</v>
      </c>
      <c r="W301" s="6"/>
      <c r="X301" s="6"/>
      <c r="Y301" s="6"/>
      <c r="Z301" s="7">
        <f>ROUND(0.25,2)</f>
        <v>0.25</v>
      </c>
      <c r="AA301" s="6"/>
      <c r="AB301" s="6"/>
      <c r="AC301" s="6"/>
      <c r="AD301" s="6"/>
      <c r="AE301" s="7">
        <f>ROUND(115.51,2)</f>
        <v>115.51</v>
      </c>
      <c r="AF301" s="6"/>
      <c r="AG301" s="7">
        <f>ROUND(2.58,2)</f>
        <v>2.58</v>
      </c>
      <c r="AH301" s="6"/>
      <c r="AI301" s="6"/>
      <c r="AJ301" s="6"/>
      <c r="AK301" s="6"/>
      <c r="AL301" s="6"/>
      <c r="AM301" s="6"/>
      <c r="AN301" s="6"/>
      <c r="AO301" s="6"/>
      <c r="AP301" s="7">
        <f>ROUND(250.899999999999,2)</f>
        <v>250.9</v>
      </c>
      <c r="AQ301" s="6"/>
      <c r="AR301" s="7">
        <f>ROUND(7.6,2)</f>
        <v>7.6</v>
      </c>
      <c r="AS301" s="6"/>
      <c r="AT301" s="6"/>
      <c r="AU301" s="7">
        <f>ROUND(70,2)</f>
        <v>70</v>
      </c>
      <c r="AV301" s="6"/>
      <c r="AW301" s="7">
        <f>ROUND(42,2)</f>
        <v>42</v>
      </c>
      <c r="AX301" s="6"/>
      <c r="AY301" s="7">
        <f>ROUND(48,2)</f>
        <v>48</v>
      </c>
      <c r="AZ301" s="6"/>
      <c r="BA301" s="6"/>
      <c r="BB301" s="7">
        <f>ROUND(40,2)</f>
        <v>40</v>
      </c>
      <c r="BC301" s="6"/>
      <c r="BD301" s="7">
        <f t="shared" si="22"/>
        <v>8</v>
      </c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7">
        <f>ROUND(13.77,2)</f>
        <v>13.77</v>
      </c>
      <c r="BP301" s="7">
        <f>ROUND(4.23,2)</f>
        <v>4.2300000000000004</v>
      </c>
      <c r="BQ301" s="7">
        <f>ROUND(8,2)</f>
        <v>8</v>
      </c>
      <c r="BR301" s="6"/>
      <c r="BS301" s="7">
        <f>ROUND(18,2)</f>
        <v>18</v>
      </c>
      <c r="BT301" s="7">
        <f>ROUND(7.67,2)</f>
        <v>7.67</v>
      </c>
      <c r="BU301" s="6"/>
      <c r="BV301" s="6"/>
      <c r="BW301" s="6"/>
      <c r="BX301" s="6"/>
      <c r="BY301" s="6"/>
      <c r="BZ301" s="6"/>
      <c r="CA301" s="7">
        <f>ROUND(58,2)</f>
        <v>58</v>
      </c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7">
        <f>ROUND(2298.11,2)</f>
        <v>2298.11</v>
      </c>
      <c r="CR301" s="6"/>
      <c r="CS301" s="6"/>
      <c r="CT301" s="6"/>
      <c r="CU301" s="6"/>
      <c r="CV301" s="7">
        <f>ROUND(46898.71,2)</f>
        <v>46898.71</v>
      </c>
      <c r="CW301" s="6"/>
      <c r="CX301" s="6"/>
      <c r="CY301" s="7">
        <f>ROUND(7521.28999999999,2)</f>
        <v>7521.29</v>
      </c>
      <c r="CZ301" s="6"/>
      <c r="DA301" s="6"/>
      <c r="DB301" s="6"/>
      <c r="DC301" s="6"/>
      <c r="DD301" s="7">
        <f>ROUND(546.49,2)</f>
        <v>546.49</v>
      </c>
      <c r="DE301" s="6"/>
      <c r="DF301" s="6"/>
      <c r="DG301" s="6"/>
      <c r="DH301" s="7">
        <f>ROUND(16.53,2)</f>
        <v>16.53</v>
      </c>
      <c r="DI301" s="6"/>
      <c r="DJ301" s="6"/>
      <c r="DK301" s="6"/>
      <c r="DL301" s="6"/>
      <c r="DM301" s="6"/>
      <c r="DN301" s="7">
        <f>ROUND(3737.19,2)</f>
        <v>3737.19</v>
      </c>
      <c r="DO301" s="6"/>
      <c r="DP301" s="7">
        <f>ROUND(124.19,2)</f>
        <v>124.19</v>
      </c>
      <c r="DQ301" s="6"/>
      <c r="DR301" s="6"/>
      <c r="DS301" s="6"/>
      <c r="DT301" s="6"/>
      <c r="DU301" s="6"/>
      <c r="DV301" s="6"/>
      <c r="DW301" s="6"/>
      <c r="DX301" s="6"/>
      <c r="DY301" s="7">
        <f>ROUND(8149.00999999999,2)</f>
        <v>8149.01</v>
      </c>
      <c r="DZ301" s="6"/>
      <c r="EA301" s="7">
        <f>ROUND(367.46,2)</f>
        <v>367.46</v>
      </c>
      <c r="EB301" s="6"/>
      <c r="EC301" s="6"/>
      <c r="ED301" s="7">
        <f>ROUND(2281.58,2)</f>
        <v>2281.58</v>
      </c>
      <c r="EE301" s="6"/>
      <c r="EF301" s="7">
        <f>ROUND(1373.46,2)</f>
        <v>1373.46</v>
      </c>
      <c r="EG301" s="6"/>
      <c r="EH301" s="7">
        <f>ROUND(1563.36,2)</f>
        <v>1563.36</v>
      </c>
      <c r="EI301" s="6"/>
      <c r="EJ301" s="6"/>
      <c r="EK301" s="7">
        <f>ROUND(1283.6,2)</f>
        <v>1283.5999999999999</v>
      </c>
      <c r="EL301" s="6"/>
      <c r="EM301" s="6"/>
      <c r="EN301" s="7">
        <f t="shared" si="23"/>
        <v>256.72000000000003</v>
      </c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7">
        <f>ROUND(451.48,2)</f>
        <v>451.48</v>
      </c>
      <c r="FC301" s="7">
        <f>ROUND(203.61,2)</f>
        <v>203.61</v>
      </c>
      <c r="FD301" s="7">
        <f>ROUND(256.72,2)</f>
        <v>256.72000000000003</v>
      </c>
      <c r="FE301" s="6"/>
      <c r="FF301" s="6"/>
      <c r="FG301" s="6"/>
      <c r="FH301" s="6"/>
      <c r="FI301" s="6"/>
      <c r="FJ301" s="7">
        <f>ROUND(750,2)</f>
        <v>750</v>
      </c>
      <c r="FK301" s="6"/>
      <c r="FL301" s="6"/>
      <c r="FM301" s="6"/>
      <c r="FN301" s="6"/>
      <c r="FO301" s="6"/>
      <c r="FP301" s="6"/>
      <c r="FQ301" s="6"/>
      <c r="FR301" s="6"/>
      <c r="FS301" s="6"/>
      <c r="FT301" s="7">
        <f t="shared" si="24"/>
        <v>3000</v>
      </c>
      <c r="FU301" s="6"/>
      <c r="FV301" s="6"/>
      <c r="FW301" s="6"/>
      <c r="FX301" s="6"/>
      <c r="FY301" s="7">
        <f>ROUND(78781.3999999999,2)</f>
        <v>78781.399999999994</v>
      </c>
    </row>
    <row r="302" spans="1:181" x14ac:dyDescent="0.3">
      <c r="A302" s="4" t="s">
        <v>761</v>
      </c>
      <c r="B302" s="5" t="s">
        <v>1029</v>
      </c>
      <c r="C302" s="5" t="s">
        <v>181</v>
      </c>
      <c r="D302" s="5" t="s">
        <v>439</v>
      </c>
      <c r="E302" s="5" t="s">
        <v>0</v>
      </c>
      <c r="F302" s="5" t="s">
        <v>0</v>
      </c>
      <c r="G302" s="5" t="s">
        <v>183</v>
      </c>
      <c r="H302" s="8">
        <v>33.880000000000003</v>
      </c>
      <c r="I302" s="7">
        <f>ROUND(94966.7299999999,2)</f>
        <v>94966.73</v>
      </c>
      <c r="J302" s="6"/>
      <c r="K302" s="6"/>
      <c r="L302" s="6"/>
      <c r="M302" s="6"/>
      <c r="N302" s="7">
        <f>ROUND(2,2)</f>
        <v>2</v>
      </c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7">
        <f>ROUND(1906.78,2)</f>
        <v>1906.78</v>
      </c>
      <c r="AF302" s="6"/>
      <c r="AG302" s="7">
        <f>ROUND(372.82,2)</f>
        <v>372.82</v>
      </c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7">
        <f>ROUND(18,2)</f>
        <v>18</v>
      </c>
      <c r="AS302" s="6"/>
      <c r="AT302" s="6"/>
      <c r="AU302" s="7">
        <f>ROUND(64,2)</f>
        <v>64</v>
      </c>
      <c r="AV302" s="7">
        <f>ROUND(8,2)</f>
        <v>8</v>
      </c>
      <c r="AW302" s="6"/>
      <c r="AX302" s="6"/>
      <c r="AY302" s="7">
        <f>ROUND(132,2)</f>
        <v>132</v>
      </c>
      <c r="AZ302" s="7">
        <f>ROUND(20,2)</f>
        <v>20</v>
      </c>
      <c r="BA302" s="6"/>
      <c r="BB302" s="7">
        <f>ROUND(42,2)</f>
        <v>42</v>
      </c>
      <c r="BC302" s="6"/>
      <c r="BD302" s="7">
        <f t="shared" si="22"/>
        <v>8</v>
      </c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7">
        <f>ROUND(24.88,2)</f>
        <v>24.88</v>
      </c>
      <c r="BU302" s="7">
        <f>ROUND(15.62,2)</f>
        <v>15.62</v>
      </c>
      <c r="BV302" s="6"/>
      <c r="BW302" s="6"/>
      <c r="BX302" s="6"/>
      <c r="BY302" s="6"/>
      <c r="BZ302" s="6"/>
      <c r="CA302" s="7">
        <f>ROUND(8,2)</f>
        <v>8</v>
      </c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7">
        <f>ROUND(2622.1,2)</f>
        <v>2622.1</v>
      </c>
      <c r="CR302" s="6"/>
      <c r="CS302" s="6"/>
      <c r="CT302" s="6"/>
      <c r="CU302" s="6"/>
      <c r="CV302" s="7">
        <f>ROUND(64.18,2)</f>
        <v>64.180000000000007</v>
      </c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7">
        <f>ROUND(62142.2799999999,2)</f>
        <v>62142.28</v>
      </c>
      <c r="DO302" s="6"/>
      <c r="DP302" s="7">
        <f>ROUND(18215.67,2)</f>
        <v>18215.669999999998</v>
      </c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7">
        <f>ROUND(867.78,2)</f>
        <v>867.78</v>
      </c>
      <c r="EB302" s="6"/>
      <c r="EC302" s="6"/>
      <c r="ED302" s="7">
        <f>ROUND(2083.44,2)</f>
        <v>2083.44</v>
      </c>
      <c r="EE302" s="7">
        <f>ROUND(396.64,2)</f>
        <v>396.64</v>
      </c>
      <c r="EF302" s="6"/>
      <c r="EG302" s="6"/>
      <c r="EH302" s="7">
        <f>ROUND(4305.62,2)</f>
        <v>4305.62</v>
      </c>
      <c r="EI302" s="7">
        <f>ROUND(993.21,2)</f>
        <v>993.21</v>
      </c>
      <c r="EJ302" s="6"/>
      <c r="EK302" s="7">
        <f>ROUND(1355.46,2)</f>
        <v>1355.46</v>
      </c>
      <c r="EL302" s="6"/>
      <c r="EM302" s="6"/>
      <c r="EN302" s="7">
        <f t="shared" si="23"/>
        <v>256.72000000000003</v>
      </c>
      <c r="EO302" s="6"/>
      <c r="EP302" s="6"/>
      <c r="EQ302" s="6"/>
      <c r="ER302" s="7">
        <f>ROUND(344,2)</f>
        <v>344</v>
      </c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7">
        <f>ROUND(316.73,2)</f>
        <v>316.73</v>
      </c>
      <c r="FG302" s="6"/>
      <c r="FH302" s="6"/>
      <c r="FI302" s="6"/>
      <c r="FJ302" s="7">
        <f>ROUND(625,2)</f>
        <v>625</v>
      </c>
      <c r="FK302" s="6"/>
      <c r="FL302" s="6"/>
      <c r="FM302" s="6"/>
      <c r="FN302" s="6"/>
      <c r="FO302" s="6"/>
      <c r="FP302" s="6"/>
      <c r="FQ302" s="6"/>
      <c r="FR302" s="6"/>
      <c r="FS302" s="6"/>
      <c r="FT302" s="7">
        <f t="shared" si="24"/>
        <v>3000</v>
      </c>
      <c r="FU302" s="6"/>
      <c r="FV302" s="6"/>
      <c r="FW302" s="6"/>
      <c r="FX302" s="6"/>
      <c r="FY302" s="7">
        <f>ROUND(94966.7299999999,2)</f>
        <v>94966.73</v>
      </c>
    </row>
    <row r="303" spans="1:181" x14ac:dyDescent="0.3">
      <c r="A303" s="4" t="s">
        <v>763</v>
      </c>
      <c r="B303" s="5" t="s">
        <v>1029</v>
      </c>
      <c r="C303" s="5" t="s">
        <v>181</v>
      </c>
      <c r="D303" s="5" t="s">
        <v>420</v>
      </c>
      <c r="E303" s="5" t="s">
        <v>0</v>
      </c>
      <c r="F303" s="5" t="s">
        <v>0</v>
      </c>
      <c r="G303" s="5" t="s">
        <v>183</v>
      </c>
      <c r="H303" s="8">
        <v>33.380000000000003</v>
      </c>
      <c r="I303" s="7">
        <f>ROUND(87427,2)</f>
        <v>87427</v>
      </c>
      <c r="J303" s="6"/>
      <c r="K303" s="6"/>
      <c r="L303" s="6"/>
      <c r="M303" s="6"/>
      <c r="N303" s="7">
        <f>ROUND(1456.29,2)</f>
        <v>1456.29</v>
      </c>
      <c r="O303" s="6"/>
      <c r="P303" s="6"/>
      <c r="Q303" s="7">
        <f>ROUND(180.649999999999,2)</f>
        <v>180.65</v>
      </c>
      <c r="R303" s="6"/>
      <c r="S303" s="6"/>
      <c r="T303" s="6"/>
      <c r="U303" s="6"/>
      <c r="V303" s="7">
        <f>ROUND(14.16,2)</f>
        <v>14.16</v>
      </c>
      <c r="W303" s="6"/>
      <c r="X303" s="6"/>
      <c r="Y303" s="6"/>
      <c r="Z303" s="6"/>
      <c r="AA303" s="6"/>
      <c r="AB303" s="6"/>
      <c r="AC303" s="6"/>
      <c r="AD303" s="6"/>
      <c r="AE303" s="7">
        <f>ROUND(387.36,2)</f>
        <v>387.36</v>
      </c>
      <c r="AF303" s="6"/>
      <c r="AG303" s="7">
        <f>ROUND(105.33,2)</f>
        <v>105.33</v>
      </c>
      <c r="AH303" s="6"/>
      <c r="AI303" s="6"/>
      <c r="AJ303" s="6"/>
      <c r="AK303" s="6"/>
      <c r="AL303" s="6"/>
      <c r="AM303" s="6"/>
      <c r="AN303" s="6"/>
      <c r="AO303" s="6"/>
      <c r="AP303" s="7">
        <f>ROUND(12,2)</f>
        <v>12</v>
      </c>
      <c r="AQ303" s="6"/>
      <c r="AR303" s="6"/>
      <c r="AS303" s="6"/>
      <c r="AT303" s="6"/>
      <c r="AU303" s="7">
        <f>ROUND(58,2)</f>
        <v>58</v>
      </c>
      <c r="AV303" s="6"/>
      <c r="AW303" s="7">
        <f>ROUND(56.4,2)</f>
        <v>56.4</v>
      </c>
      <c r="AX303" s="7">
        <f>ROUND(7.6,2)</f>
        <v>7.6</v>
      </c>
      <c r="AY303" s="7">
        <f>ROUND(39.22,2)</f>
        <v>39.22</v>
      </c>
      <c r="AZ303" s="7">
        <f>ROUND(10.78,2)</f>
        <v>10.78</v>
      </c>
      <c r="BA303" s="6"/>
      <c r="BB303" s="7">
        <f>ROUND(36,2)</f>
        <v>36</v>
      </c>
      <c r="BC303" s="6"/>
      <c r="BD303" s="7">
        <f t="shared" si="22"/>
        <v>8</v>
      </c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7">
        <f>ROUND(25,2)</f>
        <v>25</v>
      </c>
      <c r="BP303" s="6"/>
      <c r="BQ303" s="7">
        <f>ROUND(9,2)</f>
        <v>9</v>
      </c>
      <c r="BR303" s="6"/>
      <c r="BS303" s="7">
        <f>ROUND(8,2)</f>
        <v>8</v>
      </c>
      <c r="BT303" s="7">
        <f>ROUND(0.93,2)</f>
        <v>0.93</v>
      </c>
      <c r="BU303" s="6"/>
      <c r="BV303" s="6"/>
      <c r="BW303" s="7">
        <f>ROUND(8,2)</f>
        <v>8</v>
      </c>
      <c r="BX303" s="6"/>
      <c r="BY303" s="7">
        <f>ROUND(8,2)</f>
        <v>8</v>
      </c>
      <c r="BZ303" s="6"/>
      <c r="CA303" s="7">
        <f>ROUND(16,2)</f>
        <v>16</v>
      </c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7">
        <f>ROUND(2446.72,2)</f>
        <v>2446.7199999999998</v>
      </c>
      <c r="CR303" s="6"/>
      <c r="CS303" s="6"/>
      <c r="CT303" s="6"/>
      <c r="CU303" s="6"/>
      <c r="CV303" s="7">
        <f>ROUND(47636.83,2)</f>
        <v>47636.83</v>
      </c>
      <c r="CW303" s="6"/>
      <c r="CX303" s="6"/>
      <c r="CY303" s="7">
        <f>ROUND(8900.05,2)</f>
        <v>8900.0499999999993</v>
      </c>
      <c r="CZ303" s="6"/>
      <c r="DA303" s="6"/>
      <c r="DB303" s="6"/>
      <c r="DC303" s="6"/>
      <c r="DD303" s="7">
        <f>ROUND(469.57,2)</f>
        <v>469.57</v>
      </c>
      <c r="DE303" s="6"/>
      <c r="DF303" s="6"/>
      <c r="DG303" s="6"/>
      <c r="DH303" s="6"/>
      <c r="DI303" s="6"/>
      <c r="DJ303" s="6"/>
      <c r="DK303" s="6"/>
      <c r="DL303" s="6"/>
      <c r="DM303" s="6"/>
      <c r="DN303" s="7">
        <f>ROUND(12440.8699999999,2)</f>
        <v>12440.87</v>
      </c>
      <c r="DO303" s="6"/>
      <c r="DP303" s="7">
        <f>ROUND(5070.07,2)</f>
        <v>5070.07</v>
      </c>
      <c r="DQ303" s="6"/>
      <c r="DR303" s="6"/>
      <c r="DS303" s="6"/>
      <c r="DT303" s="6"/>
      <c r="DU303" s="6"/>
      <c r="DV303" s="6"/>
      <c r="DW303" s="6"/>
      <c r="DX303" s="6"/>
      <c r="DY303" s="7">
        <f>ROUND(385.08,2)</f>
        <v>385.08</v>
      </c>
      <c r="DZ303" s="6"/>
      <c r="EA303" s="6"/>
      <c r="EB303" s="6"/>
      <c r="EC303" s="6"/>
      <c r="ED303" s="7">
        <f>ROUND(1886.9,2)</f>
        <v>1886.9</v>
      </c>
      <c r="EE303" s="6"/>
      <c r="EF303" s="7">
        <f>ROUND(1849.09,2)</f>
        <v>1849.09</v>
      </c>
      <c r="EG303" s="7">
        <f>ROUND(368.92,2)</f>
        <v>368.92</v>
      </c>
      <c r="EH303" s="7">
        <f>ROUND(1266.25,2)</f>
        <v>1266.25</v>
      </c>
      <c r="EI303" s="7">
        <f>ROUND(518.9,2)</f>
        <v>518.9</v>
      </c>
      <c r="EJ303" s="6"/>
      <c r="EK303" s="7">
        <f>ROUND(1155.24,2)</f>
        <v>1155.24</v>
      </c>
      <c r="EL303" s="6"/>
      <c r="EM303" s="6"/>
      <c r="EN303" s="7">
        <f t="shared" si="23"/>
        <v>256.72000000000003</v>
      </c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7">
        <f>ROUND(808.7,2)</f>
        <v>808.7</v>
      </c>
      <c r="FC303" s="6"/>
      <c r="FD303" s="7">
        <f>ROUND(288.81,2)</f>
        <v>288.81</v>
      </c>
      <c r="FE303" s="6"/>
      <c r="FF303" s="6"/>
      <c r="FG303" s="6"/>
      <c r="FH303" s="6"/>
      <c r="FI303" s="6"/>
      <c r="FJ303" s="7">
        <f>ROUND(1125,2)</f>
        <v>1125</v>
      </c>
      <c r="FK303" s="6"/>
      <c r="FL303" s="6"/>
      <c r="FM303" s="6"/>
      <c r="FN303" s="6"/>
      <c r="FO303" s="6"/>
      <c r="FP303" s="6"/>
      <c r="FQ303" s="6"/>
      <c r="FR303" s="6"/>
      <c r="FS303" s="6"/>
      <c r="FT303" s="7">
        <f t="shared" si="24"/>
        <v>3000</v>
      </c>
      <c r="FU303" s="6"/>
      <c r="FV303" s="6"/>
      <c r="FW303" s="6"/>
      <c r="FX303" s="6"/>
      <c r="FY303" s="7">
        <f>ROUND(87427,2)</f>
        <v>87427</v>
      </c>
    </row>
    <row r="304" spans="1:181" x14ac:dyDescent="0.3">
      <c r="A304" s="4" t="s">
        <v>767</v>
      </c>
      <c r="B304" s="5" t="s">
        <v>1029</v>
      </c>
      <c r="C304" s="5" t="s">
        <v>181</v>
      </c>
      <c r="D304" s="5" t="s">
        <v>768</v>
      </c>
      <c r="E304" s="5" t="s">
        <v>0</v>
      </c>
      <c r="F304" s="5" t="s">
        <v>0</v>
      </c>
      <c r="G304" s="5" t="s">
        <v>183</v>
      </c>
      <c r="H304" s="8">
        <v>33.880000000000003</v>
      </c>
      <c r="I304" s="7">
        <f>ROUND(66239.42,2)</f>
        <v>66239.42</v>
      </c>
      <c r="J304" s="6"/>
      <c r="K304" s="6"/>
      <c r="L304" s="6"/>
      <c r="M304" s="6"/>
      <c r="N304" s="7">
        <f>ROUND(1164.28999999999,2)</f>
        <v>1164.29</v>
      </c>
      <c r="O304" s="6"/>
      <c r="P304" s="6"/>
      <c r="Q304" s="7">
        <f>ROUND(152.859999999999,2)</f>
        <v>152.86000000000001</v>
      </c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7">
        <f>ROUND(63.67,2)</f>
        <v>63.67</v>
      </c>
      <c r="AF304" s="6"/>
      <c r="AG304" s="7">
        <f>ROUND(2,2)</f>
        <v>2</v>
      </c>
      <c r="AH304" s="6"/>
      <c r="AI304" s="6"/>
      <c r="AJ304" s="6"/>
      <c r="AK304" s="6"/>
      <c r="AL304" s="6"/>
      <c r="AM304" s="6"/>
      <c r="AN304" s="6"/>
      <c r="AO304" s="6"/>
      <c r="AP304" s="7">
        <f>ROUND(238.49,2)</f>
        <v>238.49</v>
      </c>
      <c r="AQ304" s="6"/>
      <c r="AR304" s="7">
        <f>ROUND(0.83,2)</f>
        <v>0.83</v>
      </c>
      <c r="AS304" s="6"/>
      <c r="AT304" s="6"/>
      <c r="AU304" s="7">
        <f>ROUND(38,2)</f>
        <v>38</v>
      </c>
      <c r="AV304" s="7">
        <f>ROUND(8,2)</f>
        <v>8</v>
      </c>
      <c r="AW304" s="7">
        <f>ROUND(18,2)</f>
        <v>18</v>
      </c>
      <c r="AX304" s="6"/>
      <c r="AY304" s="7">
        <f>ROUND(80,2)</f>
        <v>80</v>
      </c>
      <c r="AZ304" s="6"/>
      <c r="BA304" s="6"/>
      <c r="BB304" s="7">
        <f>ROUND(32,2)</f>
        <v>32</v>
      </c>
      <c r="BC304" s="6"/>
      <c r="BD304" s="7">
        <f t="shared" si="22"/>
        <v>8</v>
      </c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7">
        <f>ROUND(2,2)</f>
        <v>2</v>
      </c>
      <c r="BP304" s="6"/>
      <c r="BQ304" s="7">
        <f>ROUND(9.5,2)</f>
        <v>9.5</v>
      </c>
      <c r="BR304" s="7">
        <f>ROUND(0.5,2)</f>
        <v>0.5</v>
      </c>
      <c r="BS304" s="7">
        <f>ROUND(18.08,2)</f>
        <v>18.079999999999998</v>
      </c>
      <c r="BT304" s="7">
        <f>ROUND(1.67,2)</f>
        <v>1.67</v>
      </c>
      <c r="BU304" s="6"/>
      <c r="BV304" s="6"/>
      <c r="BW304" s="7">
        <f>ROUND(24,2)</f>
        <v>24</v>
      </c>
      <c r="BX304" s="6"/>
      <c r="BY304" s="6"/>
      <c r="BZ304" s="6"/>
      <c r="CA304" s="7">
        <f>ROUND(8,2)</f>
        <v>8</v>
      </c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7">
        <f>ROUND(8,2)</f>
        <v>8</v>
      </c>
      <c r="CQ304" s="7">
        <f>ROUND(1877.88999999999,2)</f>
        <v>1877.89</v>
      </c>
      <c r="CR304" s="6"/>
      <c r="CS304" s="6"/>
      <c r="CT304" s="6"/>
      <c r="CU304" s="6"/>
      <c r="CV304" s="7">
        <f>ROUND(37955.39,2)</f>
        <v>37955.39</v>
      </c>
      <c r="CW304" s="6"/>
      <c r="CX304" s="6"/>
      <c r="CY304" s="7">
        <f>ROUND(7449.24,2)</f>
        <v>7449.24</v>
      </c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7">
        <f>ROUND(2083.31,2)</f>
        <v>2083.31</v>
      </c>
      <c r="DO304" s="6"/>
      <c r="DP304" s="7">
        <f>ROUND(99.15,2)</f>
        <v>99.15</v>
      </c>
      <c r="DQ304" s="6"/>
      <c r="DR304" s="6"/>
      <c r="DS304" s="6"/>
      <c r="DT304" s="6"/>
      <c r="DU304" s="6"/>
      <c r="DV304" s="6"/>
      <c r="DW304" s="6"/>
      <c r="DX304" s="6"/>
      <c r="DY304" s="7">
        <f>ROUND(7742.88999999999,2)</f>
        <v>7742.89</v>
      </c>
      <c r="DZ304" s="6"/>
      <c r="EA304" s="7">
        <f>ROUND(39.95,2)</f>
        <v>39.950000000000003</v>
      </c>
      <c r="EB304" s="6"/>
      <c r="EC304" s="6"/>
      <c r="ED304" s="7">
        <f>ROUND(1240,2)</f>
        <v>1240</v>
      </c>
      <c r="EE304" s="7">
        <f>ROUND(396.64,2)</f>
        <v>396.64</v>
      </c>
      <c r="EF304" s="7">
        <f>ROUND(587.22,2)</f>
        <v>587.22</v>
      </c>
      <c r="EG304" s="6"/>
      <c r="EH304" s="7">
        <f>ROUND(2644,2)</f>
        <v>2644</v>
      </c>
      <c r="EI304" s="6"/>
      <c r="EJ304" s="6"/>
      <c r="EK304" s="7">
        <f>ROUND(1049.92,2)</f>
        <v>1049.92</v>
      </c>
      <c r="EL304" s="6"/>
      <c r="EM304" s="6"/>
      <c r="EN304" s="7">
        <f t="shared" si="23"/>
        <v>256.72000000000003</v>
      </c>
      <c r="EO304" s="6"/>
      <c r="EP304" s="6"/>
      <c r="EQ304" s="6"/>
      <c r="ER304" s="6"/>
      <c r="ES304" s="6"/>
      <c r="ET304" s="6"/>
      <c r="EU304" s="6"/>
      <c r="EV304" s="7">
        <f>ROUND(500,2)</f>
        <v>500</v>
      </c>
      <c r="EW304" s="6"/>
      <c r="EX304" s="6"/>
      <c r="EY304" s="6"/>
      <c r="EZ304" s="6"/>
      <c r="FA304" s="6"/>
      <c r="FB304" s="7">
        <f>ROUND(64.18,2)</f>
        <v>64.180000000000007</v>
      </c>
      <c r="FC304" s="6"/>
      <c r="FD304" s="7">
        <f>ROUND(313.98,2)</f>
        <v>313.98</v>
      </c>
      <c r="FE304" s="7">
        <f>ROUND(24.79,2)</f>
        <v>24.79</v>
      </c>
      <c r="FF304" s="6"/>
      <c r="FG304" s="6"/>
      <c r="FH304" s="6"/>
      <c r="FI304" s="6"/>
      <c r="FJ304" s="7">
        <f>ROUND(525,2)</f>
        <v>525</v>
      </c>
      <c r="FK304" s="6"/>
      <c r="FL304" s="6"/>
      <c r="FM304" s="6"/>
      <c r="FN304" s="6"/>
      <c r="FO304" s="6"/>
      <c r="FP304" s="6"/>
      <c r="FQ304" s="6"/>
      <c r="FR304" s="6"/>
      <c r="FS304" s="6"/>
      <c r="FT304" s="7">
        <f t="shared" si="24"/>
        <v>3000</v>
      </c>
      <c r="FU304" s="6"/>
      <c r="FV304" s="6"/>
      <c r="FW304" s="6"/>
      <c r="FX304" s="7">
        <f>ROUND(267.04,2)</f>
        <v>267.04000000000002</v>
      </c>
      <c r="FY304" s="7">
        <f>ROUND(66239.42,2)</f>
        <v>66239.42</v>
      </c>
    </row>
    <row r="305" spans="1:181" x14ac:dyDescent="0.3">
      <c r="A305" s="4" t="s">
        <v>773</v>
      </c>
      <c r="B305" s="5" t="s">
        <v>1029</v>
      </c>
      <c r="C305" s="5" t="s">
        <v>181</v>
      </c>
      <c r="D305" s="5" t="s">
        <v>249</v>
      </c>
      <c r="E305" s="5" t="s">
        <v>774</v>
      </c>
      <c r="F305" s="5" t="s">
        <v>0</v>
      </c>
      <c r="G305" s="5" t="s">
        <v>183</v>
      </c>
      <c r="H305" s="8">
        <v>32.090000000000003</v>
      </c>
      <c r="I305" s="7">
        <f>ROUND(2438.84,2)</f>
        <v>2438.84</v>
      </c>
      <c r="J305" s="6"/>
      <c r="K305" s="6"/>
      <c r="L305" s="6"/>
      <c r="M305" s="6"/>
      <c r="N305" s="7">
        <f>ROUND(16,2)</f>
        <v>16</v>
      </c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7">
        <f>ROUND(5,2)</f>
        <v>5</v>
      </c>
      <c r="AV305" s="6"/>
      <c r="AW305" s="6"/>
      <c r="AX305" s="6"/>
      <c r="AY305" s="7">
        <f>ROUND(5,2)</f>
        <v>5</v>
      </c>
      <c r="AZ305" s="6"/>
      <c r="BA305" s="6"/>
      <c r="BB305" s="7">
        <f>ROUND(20,2)</f>
        <v>20</v>
      </c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7">
        <f>ROUND(5,2)</f>
        <v>5</v>
      </c>
      <c r="BT305" s="6"/>
      <c r="BU305" s="6"/>
      <c r="BV305" s="6"/>
      <c r="BW305" s="7">
        <f>ROUND(5,2)</f>
        <v>5</v>
      </c>
      <c r="BX305" s="6"/>
      <c r="BY305" s="7">
        <f>ROUND(5,2)</f>
        <v>5</v>
      </c>
      <c r="BZ305" s="6"/>
      <c r="CA305" s="7">
        <f>ROUND(15,2)</f>
        <v>15</v>
      </c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7">
        <f>ROUND(8,2)</f>
        <v>8</v>
      </c>
      <c r="CQ305" s="7">
        <f>ROUND(84,2)</f>
        <v>84</v>
      </c>
      <c r="CR305" s="6"/>
      <c r="CS305" s="6"/>
      <c r="CT305" s="6"/>
      <c r="CU305" s="6"/>
      <c r="CV305" s="7">
        <f>ROUND(513.439999999999,2)</f>
        <v>513.44000000000005</v>
      </c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7">
        <f>ROUND(160.45,2)</f>
        <v>160.44999999999999</v>
      </c>
      <c r="EE305" s="6"/>
      <c r="EF305" s="6"/>
      <c r="EG305" s="6"/>
      <c r="EH305" s="7">
        <f>ROUND(160.45,2)</f>
        <v>160.44999999999999</v>
      </c>
      <c r="EI305" s="6"/>
      <c r="EJ305" s="6"/>
      <c r="EK305" s="7">
        <f>ROUND(641.8,2)</f>
        <v>641.79999999999995</v>
      </c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7">
        <f>ROUND(962.7,2)</f>
        <v>962.7</v>
      </c>
      <c r="FY305" s="7">
        <f>ROUND(2438.84,2)</f>
        <v>2438.84</v>
      </c>
    </row>
    <row r="306" spans="1:181" x14ac:dyDescent="0.3">
      <c r="A306" s="4" t="s">
        <v>782</v>
      </c>
      <c r="B306" s="5" t="s">
        <v>1029</v>
      </c>
      <c r="C306" s="5" t="s">
        <v>181</v>
      </c>
      <c r="D306" s="5" t="s">
        <v>206</v>
      </c>
      <c r="E306" s="5" t="s">
        <v>0</v>
      </c>
      <c r="F306" s="5" t="s">
        <v>0</v>
      </c>
      <c r="G306" s="5" t="s">
        <v>183</v>
      </c>
      <c r="H306" s="8">
        <v>33.880000000000003</v>
      </c>
      <c r="I306" s="7">
        <f>ROUND(67875.87,2)</f>
        <v>67875.87</v>
      </c>
      <c r="J306" s="6"/>
      <c r="K306" s="6"/>
      <c r="L306" s="6"/>
      <c r="M306" s="6"/>
      <c r="N306" s="7">
        <f>ROUND(175.81,2)</f>
        <v>175.81</v>
      </c>
      <c r="O306" s="6"/>
      <c r="P306" s="6"/>
      <c r="Q306" s="7">
        <f>ROUND(9.46,2)</f>
        <v>9.4600000000000009</v>
      </c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7">
        <f>ROUND(1281.37,2)</f>
        <v>1281.3699999999999</v>
      </c>
      <c r="AF306" s="6"/>
      <c r="AG306" s="7">
        <f>ROUND(1.2,2)</f>
        <v>1.2</v>
      </c>
      <c r="AH306" s="6"/>
      <c r="AI306" s="6"/>
      <c r="AJ306" s="6"/>
      <c r="AK306" s="6"/>
      <c r="AL306" s="6"/>
      <c r="AM306" s="6"/>
      <c r="AN306" s="6"/>
      <c r="AO306" s="6"/>
      <c r="AP306" s="7">
        <f>ROUND(184.459999999999,2)</f>
        <v>184.46</v>
      </c>
      <c r="AQ306" s="6"/>
      <c r="AR306" s="7">
        <f>ROUND(1.04,2)</f>
        <v>1.04</v>
      </c>
      <c r="AS306" s="6"/>
      <c r="AT306" s="6"/>
      <c r="AU306" s="7">
        <f>ROUND(66,2)</f>
        <v>66</v>
      </c>
      <c r="AV306" s="7">
        <f>ROUND(8,2)</f>
        <v>8</v>
      </c>
      <c r="AW306" s="7">
        <f>ROUND(40,2)</f>
        <v>40</v>
      </c>
      <c r="AX306" s="6"/>
      <c r="AY306" s="7">
        <f>ROUND(127.92,2)</f>
        <v>127.92</v>
      </c>
      <c r="AZ306" s="7">
        <f>ROUND(0.08,2)</f>
        <v>0.08</v>
      </c>
      <c r="BA306" s="6"/>
      <c r="BB306" s="6"/>
      <c r="BC306" s="6"/>
      <c r="BD306" s="7">
        <f>ROUND(8,2)</f>
        <v>8</v>
      </c>
      <c r="BE306" s="7">
        <f>ROUND(1.15,2)</f>
        <v>1.1499999999999999</v>
      </c>
      <c r="BF306" s="6"/>
      <c r="BG306" s="7">
        <f>ROUND(40,2)</f>
        <v>40</v>
      </c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7">
        <f>ROUND(32,2)</f>
        <v>32</v>
      </c>
      <c r="BT306" s="6"/>
      <c r="BU306" s="6"/>
      <c r="BV306" s="6"/>
      <c r="BW306" s="6"/>
      <c r="BX306" s="6"/>
      <c r="BY306" s="7">
        <f>ROUND(40,2)</f>
        <v>40</v>
      </c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7">
        <f>ROUND(2016.48999999999,2)</f>
        <v>2016.49</v>
      </c>
      <c r="CR306" s="6"/>
      <c r="CS306" s="6"/>
      <c r="CT306" s="6"/>
      <c r="CU306" s="6"/>
      <c r="CV306" s="7">
        <f>ROUND(5663.22,2)</f>
        <v>5663.22</v>
      </c>
      <c r="CW306" s="6"/>
      <c r="CX306" s="6"/>
      <c r="CY306" s="7">
        <f>ROUND(456.43,2)</f>
        <v>456.43</v>
      </c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7">
        <f>ROUND(42146.17,2)</f>
        <v>42146.17</v>
      </c>
      <c r="DO306" s="6"/>
      <c r="DP306" s="7">
        <f>ROUND(58.46,2)</f>
        <v>58.46</v>
      </c>
      <c r="DQ306" s="6"/>
      <c r="DR306" s="6"/>
      <c r="DS306" s="6"/>
      <c r="DT306" s="6"/>
      <c r="DU306" s="6"/>
      <c r="DV306" s="6"/>
      <c r="DW306" s="6"/>
      <c r="DX306" s="6"/>
      <c r="DY306" s="7">
        <f>ROUND(5925.32,2)</f>
        <v>5925.32</v>
      </c>
      <c r="DZ306" s="6"/>
      <c r="EA306" s="7">
        <f>ROUND(50.06,2)</f>
        <v>50.06</v>
      </c>
      <c r="EB306" s="6"/>
      <c r="EC306" s="6"/>
      <c r="ED306" s="7">
        <f>ROUND(2143.62,2)</f>
        <v>2143.62</v>
      </c>
      <c r="EE306" s="7">
        <f>ROUND(396.64,2)</f>
        <v>396.64</v>
      </c>
      <c r="EF306" s="7">
        <f>ROUND(1291.28,2)</f>
        <v>1291.28</v>
      </c>
      <c r="EG306" s="6"/>
      <c r="EH306" s="7">
        <f>ROUND(4135.6,2)</f>
        <v>4135.6000000000004</v>
      </c>
      <c r="EI306" s="7">
        <f>ROUND(3.97,2)</f>
        <v>3.97</v>
      </c>
      <c r="EJ306" s="6"/>
      <c r="EK306" s="6"/>
      <c r="EL306" s="6"/>
      <c r="EM306" s="6"/>
      <c r="EN306" s="7">
        <f>ROUND(256.72,2)</f>
        <v>256.72000000000003</v>
      </c>
      <c r="EO306" s="7">
        <f>ROUND(38.18,2)</f>
        <v>38.18</v>
      </c>
      <c r="EP306" s="6"/>
      <c r="EQ306" s="7">
        <f>ROUND(1335.2,2)</f>
        <v>1335.2</v>
      </c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7">
        <f>ROUND(975,2)</f>
        <v>975</v>
      </c>
      <c r="FK306" s="6"/>
      <c r="FL306" s="6"/>
      <c r="FM306" s="6"/>
      <c r="FN306" s="6"/>
      <c r="FO306" s="6"/>
      <c r="FP306" s="6"/>
      <c r="FQ306" s="6"/>
      <c r="FR306" s="6"/>
      <c r="FS306" s="6"/>
      <c r="FT306" s="7">
        <f>ROUND(3000,2)</f>
        <v>3000</v>
      </c>
      <c r="FU306" s="6"/>
      <c r="FV306" s="6"/>
      <c r="FW306" s="6"/>
      <c r="FX306" s="6"/>
      <c r="FY306" s="7">
        <f>ROUND(67875.87,2)</f>
        <v>67875.87</v>
      </c>
    </row>
    <row r="307" spans="1:181" x14ac:dyDescent="0.3">
      <c r="A307" s="4" t="s">
        <v>786</v>
      </c>
      <c r="B307" s="5" t="s">
        <v>1029</v>
      </c>
      <c r="C307" s="5" t="s">
        <v>181</v>
      </c>
      <c r="D307" s="5" t="s">
        <v>335</v>
      </c>
      <c r="E307" s="5" t="s">
        <v>0</v>
      </c>
      <c r="F307" s="5" t="s">
        <v>0</v>
      </c>
      <c r="G307" s="5" t="s">
        <v>183</v>
      </c>
      <c r="H307" s="6">
        <v>33.380000000000003</v>
      </c>
      <c r="I307" s="7">
        <f>ROUND(105511.619999999,2)</f>
        <v>105511.62</v>
      </c>
      <c r="J307" s="6"/>
      <c r="K307" s="6"/>
      <c r="L307" s="6"/>
      <c r="M307" s="6"/>
      <c r="N307" s="7">
        <f>ROUND(1069.29,2)</f>
        <v>1069.29</v>
      </c>
      <c r="O307" s="6"/>
      <c r="P307" s="6"/>
      <c r="Q307" s="7">
        <f>ROUND(326.77,2)</f>
        <v>326.77</v>
      </c>
      <c r="R307" s="6"/>
      <c r="S307" s="6"/>
      <c r="T307" s="6"/>
      <c r="U307" s="6"/>
      <c r="V307" s="7">
        <f>ROUND(13.93,2)</f>
        <v>13.93</v>
      </c>
      <c r="W307" s="7">
        <f>ROUND(68.86,2)</f>
        <v>68.86</v>
      </c>
      <c r="X307" s="7">
        <f>ROUND(2.37,2)</f>
        <v>2.37</v>
      </c>
      <c r="Y307" s="7">
        <f>ROUND(1.26,2)</f>
        <v>1.26</v>
      </c>
      <c r="Z307" s="6"/>
      <c r="AA307" s="6"/>
      <c r="AB307" s="6"/>
      <c r="AC307" s="6"/>
      <c r="AD307" s="6"/>
      <c r="AE307" s="7">
        <f>ROUND(366.369999999999,2)</f>
        <v>366.37</v>
      </c>
      <c r="AF307" s="6"/>
      <c r="AG307" s="7">
        <f>ROUND(116.519999999999,2)</f>
        <v>116.52</v>
      </c>
      <c r="AH307" s="6"/>
      <c r="AI307" s="6"/>
      <c r="AJ307" s="6"/>
      <c r="AK307" s="6"/>
      <c r="AL307" s="6"/>
      <c r="AM307" s="6"/>
      <c r="AN307" s="6"/>
      <c r="AO307" s="6"/>
      <c r="AP307" s="7">
        <f>ROUND(549.4,2)</f>
        <v>549.4</v>
      </c>
      <c r="AQ307" s="6"/>
      <c r="AR307" s="7">
        <f>ROUND(111.73,2)</f>
        <v>111.73</v>
      </c>
      <c r="AS307" s="6"/>
      <c r="AT307" s="6"/>
      <c r="AU307" s="7">
        <f>ROUND(56,2)</f>
        <v>56</v>
      </c>
      <c r="AV307" s="6"/>
      <c r="AW307" s="7">
        <f>ROUND(10,2)</f>
        <v>10</v>
      </c>
      <c r="AX307" s="7">
        <f>ROUND(24,2)</f>
        <v>24</v>
      </c>
      <c r="AY307" s="6"/>
      <c r="AZ307" s="6"/>
      <c r="BA307" s="6"/>
      <c r="BB307" s="6"/>
      <c r="BC307" s="6"/>
      <c r="BD307" s="7">
        <f>ROUND(8,2)</f>
        <v>8</v>
      </c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7">
        <f>ROUND(25.92,2)</f>
        <v>25.92</v>
      </c>
      <c r="BP307" s="6"/>
      <c r="BQ307" s="7">
        <f>ROUND(25.92,2)</f>
        <v>25.92</v>
      </c>
      <c r="BR307" s="7">
        <f>ROUND(1.42,2)</f>
        <v>1.42</v>
      </c>
      <c r="BS307" s="6"/>
      <c r="BT307" s="7">
        <f>ROUND(0.17,2)</f>
        <v>0.17</v>
      </c>
      <c r="BU307" s="7">
        <f>ROUND(8,2)</f>
        <v>8</v>
      </c>
      <c r="BV307" s="6"/>
      <c r="BW307" s="7">
        <f>ROUND(16,2)</f>
        <v>16</v>
      </c>
      <c r="BX307" s="6"/>
      <c r="BY307" s="6"/>
      <c r="BZ307" s="6"/>
      <c r="CA307" s="7">
        <f>ROUND(8,2)</f>
        <v>8</v>
      </c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7">
        <f>ROUND(40,2)</f>
        <v>40</v>
      </c>
      <c r="CQ307" s="7">
        <f>ROUND(2849.92999999999,2)</f>
        <v>2849.93</v>
      </c>
      <c r="CR307" s="6"/>
      <c r="CS307" s="6"/>
      <c r="CT307" s="6"/>
      <c r="CU307" s="6"/>
      <c r="CV307" s="7">
        <f>ROUND(34152.42,2)</f>
        <v>34152.42</v>
      </c>
      <c r="CW307" s="6"/>
      <c r="CX307" s="6"/>
      <c r="CY307" s="7">
        <f>ROUND(15707.13,2)</f>
        <v>15707.13</v>
      </c>
      <c r="CZ307" s="6"/>
      <c r="DA307" s="6"/>
      <c r="DB307" s="6"/>
      <c r="DC307" s="6"/>
      <c r="DD307" s="7">
        <f>ROUND(453.12,2)</f>
        <v>453.12</v>
      </c>
      <c r="DE307" s="7">
        <f>ROUND(3354.12,2)</f>
        <v>3354.12</v>
      </c>
      <c r="DF307" s="7">
        <f>ROUND(77.49,2)</f>
        <v>77.489999999999995</v>
      </c>
      <c r="DG307" s="7">
        <f>ROUND(62.2,2)</f>
        <v>62.2</v>
      </c>
      <c r="DH307" s="6"/>
      <c r="DI307" s="6"/>
      <c r="DJ307" s="6"/>
      <c r="DK307" s="6"/>
      <c r="DL307" s="6"/>
      <c r="DM307" s="6"/>
      <c r="DN307" s="7">
        <f>ROUND(11866.3199999999,2)</f>
        <v>11866.32</v>
      </c>
      <c r="DO307" s="6"/>
      <c r="DP307" s="7">
        <f>ROUND(5615.69,2)</f>
        <v>5615.69</v>
      </c>
      <c r="DQ307" s="6"/>
      <c r="DR307" s="6"/>
      <c r="DS307" s="6"/>
      <c r="DT307" s="6"/>
      <c r="DU307" s="6"/>
      <c r="DV307" s="6"/>
      <c r="DW307" s="6"/>
      <c r="DX307" s="6"/>
      <c r="DY307" s="7">
        <f>ROUND(17561.52,2)</f>
        <v>17561.52</v>
      </c>
      <c r="DZ307" s="6"/>
      <c r="EA307" s="7">
        <f>ROUND(5356.34999999999,2)</f>
        <v>5356.35</v>
      </c>
      <c r="EB307" s="6"/>
      <c r="EC307" s="6"/>
      <c r="ED307" s="7">
        <f>ROUND(1813.12,2)</f>
        <v>1813.12</v>
      </c>
      <c r="EE307" s="6"/>
      <c r="EF307" s="7">
        <f>ROUND(320.9,2)</f>
        <v>320.89999999999998</v>
      </c>
      <c r="EG307" s="7">
        <f>ROUND(1159.08,2)</f>
        <v>1159.08</v>
      </c>
      <c r="EH307" s="6"/>
      <c r="EI307" s="6"/>
      <c r="EJ307" s="6"/>
      <c r="EK307" s="6"/>
      <c r="EL307" s="6"/>
      <c r="EM307" s="6"/>
      <c r="EN307" s="7">
        <f>ROUND(256.72,2)</f>
        <v>256.72000000000003</v>
      </c>
      <c r="EO307" s="6"/>
      <c r="EP307" s="6"/>
      <c r="EQ307" s="6"/>
      <c r="ER307" s="6"/>
      <c r="ES307" s="6"/>
      <c r="ET307" s="6"/>
      <c r="EU307" s="6"/>
      <c r="EV307" s="7">
        <f>ROUND(500,2)</f>
        <v>500</v>
      </c>
      <c r="EW307" s="6"/>
      <c r="EX307" s="6"/>
      <c r="EY307" s="6"/>
      <c r="EZ307" s="6"/>
      <c r="FA307" s="6"/>
      <c r="FB307" s="7">
        <f>ROUND(814.7,2)</f>
        <v>814.7</v>
      </c>
      <c r="FC307" s="6"/>
      <c r="FD307" s="7">
        <f>ROUND(809.819999999999,2)</f>
        <v>809.82</v>
      </c>
      <c r="FE307" s="7">
        <f>ROUND(70.72,2)</f>
        <v>70.72</v>
      </c>
      <c r="FF307" s="6"/>
      <c r="FG307" s="6"/>
      <c r="FH307" s="6"/>
      <c r="FI307" s="6"/>
      <c r="FJ307" s="7">
        <f>ROUND(1225,2)</f>
        <v>1225</v>
      </c>
      <c r="FK307" s="6"/>
      <c r="FL307" s="6"/>
      <c r="FM307" s="6"/>
      <c r="FN307" s="6"/>
      <c r="FO307" s="6"/>
      <c r="FP307" s="6"/>
      <c r="FQ307" s="6"/>
      <c r="FR307" s="6"/>
      <c r="FS307" s="6"/>
      <c r="FT307" s="7">
        <f>ROUND(3000,2)</f>
        <v>3000</v>
      </c>
      <c r="FU307" s="6"/>
      <c r="FV307" s="6"/>
      <c r="FW307" s="6"/>
      <c r="FX307" s="7">
        <f>ROUND(1335.2,2)</f>
        <v>1335.2</v>
      </c>
      <c r="FY307" s="7">
        <f>ROUND(105511.619999999,2)</f>
        <v>105511.62</v>
      </c>
    </row>
    <row r="308" spans="1:181" x14ac:dyDescent="0.3">
      <c r="A308" s="4" t="s">
        <v>787</v>
      </c>
      <c r="B308" s="5" t="s">
        <v>1029</v>
      </c>
      <c r="C308" s="5" t="s">
        <v>181</v>
      </c>
      <c r="D308" s="5" t="s">
        <v>261</v>
      </c>
      <c r="E308" s="5" t="s">
        <v>788</v>
      </c>
      <c r="F308" s="5" t="s">
        <v>0</v>
      </c>
      <c r="G308" s="5" t="s">
        <v>183</v>
      </c>
      <c r="H308" s="8">
        <v>33.380000000000003</v>
      </c>
      <c r="I308" s="7">
        <f>ROUND(49415.3299999999,2)</f>
        <v>49415.33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7">
        <f>ROUND(40,2)</f>
        <v>40</v>
      </c>
      <c r="AV308" s="6"/>
      <c r="AW308" s="7">
        <f>ROUND(5,2)</f>
        <v>5</v>
      </c>
      <c r="AX308" s="6"/>
      <c r="AY308" s="7">
        <f>ROUND(70,2)</f>
        <v>70</v>
      </c>
      <c r="AZ308" s="6"/>
      <c r="BA308" s="6"/>
      <c r="BB308" s="6"/>
      <c r="BC308" s="6"/>
      <c r="BD308" s="7">
        <f>ROUND(8,2)</f>
        <v>8</v>
      </c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7">
        <f>ROUND(1311.41,2)</f>
        <v>1311.41</v>
      </c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7">
        <f>ROUND(1434.41,2)</f>
        <v>1434.41</v>
      </c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7">
        <f>ROUND(1304.45,2)</f>
        <v>1304.45</v>
      </c>
      <c r="EE308" s="6"/>
      <c r="EF308" s="7">
        <f>ROUND(165.25,2)</f>
        <v>165.25</v>
      </c>
      <c r="EG308" s="6"/>
      <c r="EH308" s="7">
        <f>ROUND(2305.55,2)</f>
        <v>2305.5500000000002</v>
      </c>
      <c r="EI308" s="6"/>
      <c r="EJ308" s="6"/>
      <c r="EK308" s="6"/>
      <c r="EL308" s="6"/>
      <c r="EM308" s="6"/>
      <c r="EN308" s="7">
        <f>ROUND(256.72,2)</f>
        <v>256.72000000000003</v>
      </c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7">
        <f>ROUND(42683.3599999999,2)</f>
        <v>42683.360000000001</v>
      </c>
      <c r="FE308" s="6"/>
      <c r="FF308" s="6"/>
      <c r="FG308" s="6"/>
      <c r="FH308" s="6"/>
      <c r="FI308" s="6"/>
      <c r="FJ308" s="7">
        <f>ROUND(1200,2)</f>
        <v>1200</v>
      </c>
      <c r="FK308" s="6"/>
      <c r="FL308" s="6"/>
      <c r="FM308" s="6"/>
      <c r="FN308" s="6"/>
      <c r="FO308" s="6"/>
      <c r="FP308" s="6"/>
      <c r="FQ308" s="6"/>
      <c r="FR308" s="6"/>
      <c r="FS308" s="6"/>
      <c r="FT308" s="7">
        <f>ROUND(1500,2)</f>
        <v>1500</v>
      </c>
      <c r="FU308" s="6"/>
      <c r="FV308" s="6"/>
      <c r="FW308" s="6"/>
      <c r="FX308" s="6"/>
      <c r="FY308" s="7">
        <f>ROUND(49415.3299999999,2)</f>
        <v>49415.33</v>
      </c>
    </row>
    <row r="309" spans="1:181" x14ac:dyDescent="0.3">
      <c r="A309" s="4" t="s">
        <v>789</v>
      </c>
      <c r="B309" s="5" t="s">
        <v>1029</v>
      </c>
      <c r="C309" s="5" t="s">
        <v>181</v>
      </c>
      <c r="D309" s="5" t="s">
        <v>278</v>
      </c>
      <c r="E309" s="5" t="s">
        <v>246</v>
      </c>
      <c r="F309" s="5" t="s">
        <v>0</v>
      </c>
      <c r="G309" s="5" t="s">
        <v>183</v>
      </c>
      <c r="H309" s="9">
        <v>17.5</v>
      </c>
      <c r="I309" s="7">
        <f>ROUND(3080,2)</f>
        <v>3080</v>
      </c>
      <c r="J309" s="6"/>
      <c r="K309" s="6"/>
      <c r="L309" s="6"/>
      <c r="M309" s="6"/>
      <c r="N309" s="7">
        <f>ROUND(16,2)</f>
        <v>16</v>
      </c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7">
        <f>ROUND(160,2)</f>
        <v>160</v>
      </c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7">
        <f>ROUND(5,2)</f>
        <v>5</v>
      </c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7">
        <f>ROUND(181,2)</f>
        <v>181</v>
      </c>
      <c r="CR309" s="6"/>
      <c r="CS309" s="6"/>
      <c r="CT309" s="6"/>
      <c r="CU309" s="6"/>
      <c r="CV309" s="7">
        <f>ROUND(280,2)</f>
        <v>280</v>
      </c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7">
        <f>ROUND(2800,2)</f>
        <v>2800</v>
      </c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7">
        <f>ROUND(3080,2)</f>
        <v>3080</v>
      </c>
    </row>
    <row r="310" spans="1:181" x14ac:dyDescent="0.3">
      <c r="A310" s="4" t="s">
        <v>790</v>
      </c>
      <c r="B310" s="5" t="s">
        <v>1029</v>
      </c>
      <c r="C310" s="5" t="s">
        <v>181</v>
      </c>
      <c r="D310" s="5" t="s">
        <v>194</v>
      </c>
      <c r="E310" s="5" t="s">
        <v>0</v>
      </c>
      <c r="F310" s="5" t="s">
        <v>0</v>
      </c>
      <c r="G310" s="5" t="s">
        <v>183</v>
      </c>
      <c r="H310" s="8">
        <v>33.880000000000003</v>
      </c>
      <c r="I310" s="7">
        <f>ROUND(53139.0999999999,2)</f>
        <v>53139.1</v>
      </c>
      <c r="J310" s="6"/>
      <c r="K310" s="6"/>
      <c r="L310" s="6"/>
      <c r="M310" s="6"/>
      <c r="N310" s="7">
        <f>ROUND(1317.06,2)</f>
        <v>1317.06</v>
      </c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7">
        <f>ROUND(30.75,2)</f>
        <v>30.75</v>
      </c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7">
        <f>ROUND(40,2)</f>
        <v>40</v>
      </c>
      <c r="AV310" s="6"/>
      <c r="AW310" s="7">
        <f>ROUND(5,2)</f>
        <v>5</v>
      </c>
      <c r="AX310" s="6"/>
      <c r="AY310" s="7">
        <f>ROUND(35,2)</f>
        <v>35</v>
      </c>
      <c r="AZ310" s="6"/>
      <c r="BA310" s="6"/>
      <c r="BB310" s="6"/>
      <c r="BC310" s="6"/>
      <c r="BD310" s="7">
        <f>ROUND(8,2)</f>
        <v>8</v>
      </c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7">
        <f>ROUND(96.9299999999999,2)</f>
        <v>96.93</v>
      </c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7">
        <f>ROUND(15,2)</f>
        <v>15</v>
      </c>
      <c r="CQ310" s="7">
        <f>ROUND(1547.74,2)</f>
        <v>1547.74</v>
      </c>
      <c r="CR310" s="6"/>
      <c r="CS310" s="6"/>
      <c r="CT310" s="6"/>
      <c r="CU310" s="6"/>
      <c r="CV310" s="7">
        <f>ROUND(42919.3599999999,2)</f>
        <v>42919.360000000001</v>
      </c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7">
        <f>ROUND(1002.36,2)</f>
        <v>1002.36</v>
      </c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7">
        <f>ROUND(1304.45,2)</f>
        <v>1304.45</v>
      </c>
      <c r="EE310" s="6"/>
      <c r="EF310" s="7">
        <f>ROUND(160.45,2)</f>
        <v>160.44999999999999</v>
      </c>
      <c r="EG310" s="6"/>
      <c r="EH310" s="7">
        <f>ROUND(1127.95,2)</f>
        <v>1127.95</v>
      </c>
      <c r="EI310" s="6"/>
      <c r="EJ310" s="6"/>
      <c r="EK310" s="6"/>
      <c r="EL310" s="6"/>
      <c r="EM310" s="6"/>
      <c r="EN310" s="7">
        <f>ROUND(256.72,2)</f>
        <v>256.72000000000003</v>
      </c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7">
        <f>ROUND(3167.11,2)</f>
        <v>3167.11</v>
      </c>
      <c r="FE310" s="6"/>
      <c r="FF310" s="6"/>
      <c r="FG310" s="6"/>
      <c r="FH310" s="6"/>
      <c r="FI310" s="6"/>
      <c r="FJ310" s="7">
        <f>ROUND(1200,2)</f>
        <v>1200</v>
      </c>
      <c r="FK310" s="6"/>
      <c r="FL310" s="6"/>
      <c r="FM310" s="6"/>
      <c r="FN310" s="6"/>
      <c r="FO310" s="6"/>
      <c r="FP310" s="6"/>
      <c r="FQ310" s="6"/>
      <c r="FR310" s="6"/>
      <c r="FS310" s="6"/>
      <c r="FT310" s="7">
        <f>ROUND(1500,2)</f>
        <v>1500</v>
      </c>
      <c r="FU310" s="6"/>
      <c r="FV310" s="6"/>
      <c r="FW310" s="6"/>
      <c r="FX310" s="7">
        <f>ROUND(500.7,2)</f>
        <v>500.7</v>
      </c>
      <c r="FY310" s="7">
        <f>ROUND(53139.0999999999,2)</f>
        <v>53139.1</v>
      </c>
    </row>
    <row r="311" spans="1:181" x14ac:dyDescent="0.3">
      <c r="A311" s="4" t="s">
        <v>791</v>
      </c>
      <c r="B311" s="5" t="s">
        <v>1029</v>
      </c>
      <c r="C311" s="5" t="s">
        <v>181</v>
      </c>
      <c r="D311" s="5" t="s">
        <v>792</v>
      </c>
      <c r="E311" s="5" t="s">
        <v>0</v>
      </c>
      <c r="F311" s="5" t="s">
        <v>0</v>
      </c>
      <c r="G311" s="5" t="s">
        <v>183</v>
      </c>
      <c r="H311" s="8">
        <v>33.880000000000003</v>
      </c>
      <c r="I311" s="7">
        <f>ROUND(100202.83,2)</f>
        <v>100202.83</v>
      </c>
      <c r="J311" s="6"/>
      <c r="K311" s="6"/>
      <c r="L311" s="6"/>
      <c r="M311" s="6"/>
      <c r="N311" s="7">
        <f>ROUND(1654,2)</f>
        <v>1654</v>
      </c>
      <c r="O311" s="6"/>
      <c r="P311" s="6"/>
      <c r="Q311" s="7">
        <f>ROUND(329.85,2)</f>
        <v>329.85</v>
      </c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7">
        <f>ROUND(344,2)</f>
        <v>344</v>
      </c>
      <c r="AF311" s="6"/>
      <c r="AG311" s="7">
        <f>ROUND(66,2)</f>
        <v>66</v>
      </c>
      <c r="AH311" s="6"/>
      <c r="AI311" s="6"/>
      <c r="AJ311" s="6"/>
      <c r="AK311" s="6"/>
      <c r="AL311" s="6"/>
      <c r="AM311" s="6"/>
      <c r="AN311" s="6"/>
      <c r="AO311" s="6"/>
      <c r="AP311" s="7">
        <f>ROUND(10.16,2)</f>
        <v>10.16</v>
      </c>
      <c r="AQ311" s="6"/>
      <c r="AR311" s="6"/>
      <c r="AS311" s="6"/>
      <c r="AT311" s="6"/>
      <c r="AU311" s="7">
        <f>ROUND(70,2)</f>
        <v>70</v>
      </c>
      <c r="AV311" s="6"/>
      <c r="AW311" s="7">
        <f>ROUND(17.05,2)</f>
        <v>17.05</v>
      </c>
      <c r="AX311" s="7">
        <f>ROUND(34.95,2)</f>
        <v>34.950000000000003</v>
      </c>
      <c r="AY311" s="7">
        <f>ROUND(14.34,2)</f>
        <v>14.34</v>
      </c>
      <c r="AZ311" s="7">
        <f>ROUND(5.66,2)</f>
        <v>5.66</v>
      </c>
      <c r="BA311" s="6"/>
      <c r="BB311" s="6"/>
      <c r="BC311" s="6"/>
      <c r="BD311" s="7">
        <f>ROUND(8,2)</f>
        <v>8</v>
      </c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7">
        <f>ROUND(13.45,2)</f>
        <v>13.45</v>
      </c>
      <c r="BR311" s="7">
        <f>ROUND(4.55,2)</f>
        <v>4.55</v>
      </c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7">
        <f>ROUND(104,2)</f>
        <v>104</v>
      </c>
      <c r="CQ311" s="7">
        <f>ROUND(2676.01,2)</f>
        <v>2676.01</v>
      </c>
      <c r="CR311" s="6"/>
      <c r="CS311" s="6"/>
      <c r="CT311" s="6"/>
      <c r="CU311" s="6"/>
      <c r="CV311" s="7">
        <f>ROUND(54212.3799999999,2)</f>
        <v>54212.38</v>
      </c>
      <c r="CW311" s="6"/>
      <c r="CX311" s="6"/>
      <c r="CY311" s="7">
        <f>ROUND(16265.73,2)</f>
        <v>16265.73</v>
      </c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7">
        <f>ROUND(11042.56,2)</f>
        <v>11042.56</v>
      </c>
      <c r="DO311" s="6"/>
      <c r="DP311" s="7">
        <f>ROUND(3176.93,2)</f>
        <v>3176.93</v>
      </c>
      <c r="DQ311" s="6"/>
      <c r="DR311" s="6"/>
      <c r="DS311" s="6"/>
      <c r="DT311" s="6"/>
      <c r="DU311" s="6"/>
      <c r="DV311" s="6"/>
      <c r="DW311" s="6"/>
      <c r="DX311" s="6"/>
      <c r="DY311" s="7">
        <f>ROUND(327.56,2)</f>
        <v>327.56</v>
      </c>
      <c r="DZ311" s="6"/>
      <c r="EA311" s="6"/>
      <c r="EB311" s="6"/>
      <c r="EC311" s="6"/>
      <c r="ED311" s="7">
        <f>ROUND(2281.58,2)</f>
        <v>2281.58</v>
      </c>
      <c r="EE311" s="6"/>
      <c r="EF311" s="7">
        <f>ROUND(551.07,2)</f>
        <v>551.07000000000005</v>
      </c>
      <c r="EG311" s="7">
        <f>ROUND(1707.38,2)</f>
        <v>1707.38</v>
      </c>
      <c r="EH311" s="7">
        <f>ROUND(460.18,2)</f>
        <v>460.18</v>
      </c>
      <c r="EI311" s="7">
        <f>ROUND(272.44,2)</f>
        <v>272.44</v>
      </c>
      <c r="EJ311" s="6"/>
      <c r="EK311" s="6"/>
      <c r="EL311" s="6"/>
      <c r="EM311" s="6"/>
      <c r="EN311" s="7">
        <f>ROUND(256.72,2)</f>
        <v>256.72000000000003</v>
      </c>
      <c r="EO311" s="6"/>
      <c r="EP311" s="6"/>
      <c r="EQ311" s="6"/>
      <c r="ER311" s="6"/>
      <c r="ES311" s="6"/>
      <c r="ET311" s="6"/>
      <c r="EU311" s="6"/>
      <c r="EV311" s="7">
        <f>ROUND(500,2)</f>
        <v>500</v>
      </c>
      <c r="EW311" s="6"/>
      <c r="EX311" s="6"/>
      <c r="EY311" s="6"/>
      <c r="EZ311" s="6"/>
      <c r="FA311" s="6"/>
      <c r="FB311" s="6"/>
      <c r="FC311" s="6"/>
      <c r="FD311" s="7">
        <f>ROUND(448.96,2)</f>
        <v>448.96</v>
      </c>
      <c r="FE311" s="7">
        <f>ROUND(227.82,2)</f>
        <v>227.82</v>
      </c>
      <c r="FF311" s="6"/>
      <c r="FG311" s="6"/>
      <c r="FH311" s="6"/>
      <c r="FI311" s="6"/>
      <c r="FJ311" s="7">
        <f>ROUND(2000,2)</f>
        <v>2000</v>
      </c>
      <c r="FK311" s="6"/>
      <c r="FL311" s="6"/>
      <c r="FM311" s="6"/>
      <c r="FN311" s="6"/>
      <c r="FO311" s="6"/>
      <c r="FP311" s="6"/>
      <c r="FQ311" s="6"/>
      <c r="FR311" s="6"/>
      <c r="FS311" s="6"/>
      <c r="FT311" s="7">
        <f>ROUND(3000,2)</f>
        <v>3000</v>
      </c>
      <c r="FU311" s="6"/>
      <c r="FV311" s="6"/>
      <c r="FW311" s="6"/>
      <c r="FX311" s="7">
        <f>ROUND(3471.52,2)</f>
        <v>3471.52</v>
      </c>
      <c r="FY311" s="7">
        <f>ROUND(100202.83,2)</f>
        <v>100202.83</v>
      </c>
    </row>
    <row r="312" spans="1:181" x14ac:dyDescent="0.3">
      <c r="A312" s="4" t="s">
        <v>806</v>
      </c>
      <c r="B312" s="5" t="s">
        <v>1029</v>
      </c>
      <c r="C312" s="5" t="s">
        <v>181</v>
      </c>
      <c r="D312" s="5" t="s">
        <v>807</v>
      </c>
      <c r="E312" s="5" t="s">
        <v>0</v>
      </c>
      <c r="F312" s="5" t="s">
        <v>0</v>
      </c>
      <c r="G312" s="5" t="s">
        <v>183</v>
      </c>
      <c r="H312" s="8">
        <v>33.880000000000003</v>
      </c>
      <c r="I312" s="7">
        <f>ROUND(73217.85,2)</f>
        <v>73217.850000000006</v>
      </c>
      <c r="J312" s="6"/>
      <c r="K312" s="6"/>
      <c r="L312" s="6"/>
      <c r="M312" s="6"/>
      <c r="N312" s="7">
        <f>ROUND(1799.42999999999,2)</f>
        <v>1799.43</v>
      </c>
      <c r="O312" s="6"/>
      <c r="P312" s="6"/>
      <c r="Q312" s="7">
        <f>ROUND(28.14,2)</f>
        <v>28.14</v>
      </c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7">
        <f>ROUND(68,2)</f>
        <v>68</v>
      </c>
      <c r="AV312" s="6"/>
      <c r="AW312" s="7">
        <f>ROUND(32,2)</f>
        <v>32</v>
      </c>
      <c r="AX312" s="6"/>
      <c r="AY312" s="7">
        <f>ROUND(102.5,2)</f>
        <v>102.5</v>
      </c>
      <c r="AZ312" s="7">
        <f>ROUND(1.5,2)</f>
        <v>1.5</v>
      </c>
      <c r="BA312" s="6"/>
      <c r="BB312" s="7">
        <f>ROUND(40,2)</f>
        <v>40</v>
      </c>
      <c r="BC312" s="6"/>
      <c r="BD312" s="7">
        <f>ROUND(8,2)</f>
        <v>8</v>
      </c>
      <c r="BE312" s="7">
        <f>ROUND(4.1,2)</f>
        <v>4.0999999999999996</v>
      </c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7">
        <f>ROUND(40,2)</f>
        <v>40</v>
      </c>
      <c r="BT312" s="7">
        <f>ROUND(10.04,2)</f>
        <v>10.039999999999999</v>
      </c>
      <c r="BU312" s="6"/>
      <c r="BV312" s="6"/>
      <c r="BW312" s="6"/>
      <c r="BX312" s="6"/>
      <c r="BY312" s="6"/>
      <c r="BZ312" s="6"/>
      <c r="CA312" s="7">
        <f>ROUND(31.92,2)</f>
        <v>31.92</v>
      </c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7">
        <f>ROUND(16,2)</f>
        <v>16</v>
      </c>
      <c r="CQ312" s="7">
        <f>ROUND(2181.63,2)</f>
        <v>2181.63</v>
      </c>
      <c r="CR312" s="6"/>
      <c r="CS312" s="6"/>
      <c r="CT312" s="6"/>
      <c r="CU312" s="6"/>
      <c r="CV312" s="7">
        <f>ROUND(59028.2499999999,2)</f>
        <v>59028.25</v>
      </c>
      <c r="CW312" s="6"/>
      <c r="CX312" s="6"/>
      <c r="CY312" s="7">
        <f>ROUND(1398.79,2)</f>
        <v>1398.79</v>
      </c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7">
        <f>ROUND(2218.12,2)</f>
        <v>2218.12</v>
      </c>
      <c r="EE312" s="6"/>
      <c r="EF312" s="7">
        <f>ROUND(1026.88,2)</f>
        <v>1026.8800000000001</v>
      </c>
      <c r="EG312" s="6"/>
      <c r="EH312" s="7">
        <f>ROUND(3326.19,2)</f>
        <v>3326.19</v>
      </c>
      <c r="EI312" s="7">
        <f>ROUND(74.36,2)</f>
        <v>74.36</v>
      </c>
      <c r="EJ312" s="6"/>
      <c r="EK312" s="7">
        <f>ROUND(1291.28,2)</f>
        <v>1291.28</v>
      </c>
      <c r="EL312" s="6"/>
      <c r="EM312" s="6"/>
      <c r="EN312" s="7">
        <f>ROUND(256.72,2)</f>
        <v>256.72000000000003</v>
      </c>
      <c r="EO312" s="7">
        <f>ROUND(132.9,2)</f>
        <v>132.9</v>
      </c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7">
        <f>ROUND(925,2)</f>
        <v>925</v>
      </c>
      <c r="FK312" s="6"/>
      <c r="FL312" s="6"/>
      <c r="FM312" s="6"/>
      <c r="FN312" s="6"/>
      <c r="FO312" s="6"/>
      <c r="FP312" s="6"/>
      <c r="FQ312" s="6"/>
      <c r="FR312" s="6"/>
      <c r="FS312" s="6"/>
      <c r="FT312" s="7">
        <f>ROUND(3000,2)</f>
        <v>3000</v>
      </c>
      <c r="FU312" s="6"/>
      <c r="FV312" s="6"/>
      <c r="FW312" s="6"/>
      <c r="FX312" s="7">
        <f>ROUND(539.36,2)</f>
        <v>539.36</v>
      </c>
      <c r="FY312" s="7">
        <f>ROUND(73217.85,2)</f>
        <v>73217.850000000006</v>
      </c>
    </row>
    <row r="313" spans="1:181" x14ac:dyDescent="0.3">
      <c r="A313" s="4" t="s">
        <v>812</v>
      </c>
      <c r="B313" s="5" t="s">
        <v>1029</v>
      </c>
      <c r="C313" s="5" t="s">
        <v>181</v>
      </c>
      <c r="D313" s="5" t="s">
        <v>289</v>
      </c>
      <c r="E313" s="5" t="s">
        <v>0</v>
      </c>
      <c r="F313" s="5" t="s">
        <v>0</v>
      </c>
      <c r="G313" s="5" t="s">
        <v>183</v>
      </c>
      <c r="H313" s="8">
        <v>33.380000000000003</v>
      </c>
      <c r="I313" s="7">
        <f>ROUND(96731.61,2)</f>
        <v>96731.61</v>
      </c>
      <c r="J313" s="6"/>
      <c r="K313" s="6"/>
      <c r="L313" s="6"/>
      <c r="M313" s="6"/>
      <c r="N313" s="7">
        <f>ROUND(948.259999999999,2)</f>
        <v>948.26</v>
      </c>
      <c r="O313" s="6"/>
      <c r="P313" s="6"/>
      <c r="Q313" s="7">
        <f>ROUND(222.35,2)</f>
        <v>222.35</v>
      </c>
      <c r="R313" s="6"/>
      <c r="S313" s="6"/>
      <c r="T313" s="6"/>
      <c r="U313" s="6"/>
      <c r="V313" s="7">
        <f>ROUND(13.13,2)</f>
        <v>13.13</v>
      </c>
      <c r="W313" s="7">
        <f>ROUND(29.5499999999999,2)</f>
        <v>29.55</v>
      </c>
      <c r="X313" s="7">
        <f>ROUND(2.83,2)</f>
        <v>2.83</v>
      </c>
      <c r="Y313" s="7">
        <f>ROUND(0.17,2)</f>
        <v>0.17</v>
      </c>
      <c r="Z313" s="6"/>
      <c r="AA313" s="6"/>
      <c r="AB313" s="6"/>
      <c r="AC313" s="6"/>
      <c r="AD313" s="6"/>
      <c r="AE313" s="7">
        <f>ROUND(369.71,2)</f>
        <v>369.71</v>
      </c>
      <c r="AF313" s="6"/>
      <c r="AG313" s="7">
        <f>ROUND(86.1999999999999,2)</f>
        <v>86.2</v>
      </c>
      <c r="AH313" s="6"/>
      <c r="AI313" s="6"/>
      <c r="AJ313" s="6"/>
      <c r="AK313" s="6"/>
      <c r="AL313" s="6"/>
      <c r="AM313" s="6"/>
      <c r="AN313" s="6"/>
      <c r="AO313" s="6"/>
      <c r="AP313" s="7">
        <f>ROUND(612.349999999999,2)</f>
        <v>612.35</v>
      </c>
      <c r="AQ313" s="6"/>
      <c r="AR313" s="7">
        <f>ROUND(92.38,2)</f>
        <v>92.38</v>
      </c>
      <c r="AS313" s="6"/>
      <c r="AT313" s="6"/>
      <c r="AU313" s="7">
        <f>ROUND(76,2)</f>
        <v>76</v>
      </c>
      <c r="AV313" s="6"/>
      <c r="AW313" s="7">
        <f>ROUND(20,2)</f>
        <v>20</v>
      </c>
      <c r="AX313" s="7">
        <f>ROUND(8,2)</f>
        <v>8</v>
      </c>
      <c r="AY313" s="7">
        <f>ROUND(48,2)</f>
        <v>48</v>
      </c>
      <c r="AZ313" s="7">
        <f>ROUND(8,2)</f>
        <v>8</v>
      </c>
      <c r="BA313" s="6"/>
      <c r="BB313" s="6"/>
      <c r="BC313" s="6"/>
      <c r="BD313" s="7">
        <f>ROUND(8,2)</f>
        <v>8</v>
      </c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7">
        <f>ROUND(16.42,2)</f>
        <v>16.420000000000002</v>
      </c>
      <c r="BP313" s="7">
        <f>ROUND(3.83,2)</f>
        <v>3.83</v>
      </c>
      <c r="BQ313" s="6"/>
      <c r="BR313" s="6"/>
      <c r="BS313" s="7">
        <f>ROUND(10,2)</f>
        <v>10</v>
      </c>
      <c r="BT313" s="7">
        <f>ROUND(13.27,2)</f>
        <v>13.27</v>
      </c>
      <c r="BU313" s="6"/>
      <c r="BV313" s="6"/>
      <c r="BW313" s="6"/>
      <c r="BX313" s="6"/>
      <c r="BY313" s="6"/>
      <c r="BZ313" s="6"/>
      <c r="CA313" s="7">
        <f>ROUND(16,2)</f>
        <v>16</v>
      </c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7">
        <f>ROUND(40,2)</f>
        <v>40</v>
      </c>
      <c r="CQ313" s="7">
        <f>ROUND(2644.44999999999,2)</f>
        <v>2644.45</v>
      </c>
      <c r="CR313" s="6"/>
      <c r="CS313" s="6"/>
      <c r="CT313" s="6"/>
      <c r="CU313" s="6"/>
      <c r="CV313" s="7">
        <f>ROUND(30904.74,2)</f>
        <v>30904.74</v>
      </c>
      <c r="CW313" s="6"/>
      <c r="CX313" s="6"/>
      <c r="CY313" s="7">
        <f>ROUND(10902.62,2)</f>
        <v>10902.62</v>
      </c>
      <c r="CZ313" s="6"/>
      <c r="DA313" s="6"/>
      <c r="DB313" s="6"/>
      <c r="DC313" s="6"/>
      <c r="DD313" s="7">
        <f>ROUND(422.6,2)</f>
        <v>422.6</v>
      </c>
      <c r="DE313" s="7">
        <f>ROUND(1460.79,2)</f>
        <v>1460.79</v>
      </c>
      <c r="DF313" s="7">
        <f>ROUND(92.9799999999999,2)</f>
        <v>92.98</v>
      </c>
      <c r="DG313" s="7">
        <f>ROUND(8.43,2)</f>
        <v>8.43</v>
      </c>
      <c r="DH313" s="6"/>
      <c r="DI313" s="6"/>
      <c r="DJ313" s="6"/>
      <c r="DK313" s="6"/>
      <c r="DL313" s="6"/>
      <c r="DM313" s="6"/>
      <c r="DN313" s="7">
        <f>ROUND(12083.9,2)</f>
        <v>12083.9</v>
      </c>
      <c r="DO313" s="6"/>
      <c r="DP313" s="7">
        <f>ROUND(4246.66999999999,2)</f>
        <v>4246.67</v>
      </c>
      <c r="DQ313" s="6"/>
      <c r="DR313" s="6"/>
      <c r="DS313" s="6"/>
      <c r="DT313" s="6"/>
      <c r="DU313" s="6"/>
      <c r="DV313" s="6"/>
      <c r="DW313" s="6"/>
      <c r="DX313" s="6"/>
      <c r="DY313" s="7">
        <f>ROUND(20000.4,2)</f>
        <v>20000.400000000001</v>
      </c>
      <c r="DZ313" s="6"/>
      <c r="EA313" s="7">
        <f>ROUND(4557.16999999999,2)</f>
        <v>4557.17</v>
      </c>
      <c r="EB313" s="6"/>
      <c r="EC313" s="6"/>
      <c r="ED313" s="7">
        <f>ROUND(2476.7,2)</f>
        <v>2476.6999999999998</v>
      </c>
      <c r="EE313" s="6"/>
      <c r="EF313" s="7">
        <f>ROUND(641.8,2)</f>
        <v>641.79999999999995</v>
      </c>
      <c r="EG313" s="7">
        <f>ROUND(396.6,2)</f>
        <v>396.6</v>
      </c>
      <c r="EH313" s="7">
        <f>ROUND(1548,2)</f>
        <v>1548</v>
      </c>
      <c r="EI313" s="7">
        <f>ROUND(396.6,2)</f>
        <v>396.6</v>
      </c>
      <c r="EJ313" s="6"/>
      <c r="EK313" s="6"/>
      <c r="EL313" s="6"/>
      <c r="EM313" s="6"/>
      <c r="EN313" s="7">
        <f>ROUND(256.72,2)</f>
        <v>256.72000000000003</v>
      </c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7">
        <f>ROUND(533.83,2)</f>
        <v>533.83000000000004</v>
      </c>
      <c r="FC313" s="7">
        <f>ROUND(190.86,2)</f>
        <v>190.86</v>
      </c>
      <c r="FD313" s="6"/>
      <c r="FE313" s="6"/>
      <c r="FF313" s="6"/>
      <c r="FG313" s="6"/>
      <c r="FH313" s="6"/>
      <c r="FI313" s="6"/>
      <c r="FJ313" s="7">
        <f>ROUND(1275,2)</f>
        <v>1275</v>
      </c>
      <c r="FK313" s="6"/>
      <c r="FL313" s="6"/>
      <c r="FM313" s="6"/>
      <c r="FN313" s="6"/>
      <c r="FO313" s="6"/>
      <c r="FP313" s="6"/>
      <c r="FQ313" s="6"/>
      <c r="FR313" s="6"/>
      <c r="FS313" s="6"/>
      <c r="FT313" s="7">
        <f>ROUND(3000,2)</f>
        <v>3000</v>
      </c>
      <c r="FU313" s="6"/>
      <c r="FV313" s="6"/>
      <c r="FW313" s="6"/>
      <c r="FX313" s="7">
        <f>ROUND(1335.2,2)</f>
        <v>1335.2</v>
      </c>
      <c r="FY313" s="7">
        <f>ROUND(96731.61,2)</f>
        <v>96731.61</v>
      </c>
    </row>
    <row r="314" spans="1:181" x14ac:dyDescent="0.3">
      <c r="A314" s="4" t="s">
        <v>814</v>
      </c>
      <c r="B314" s="5" t="s">
        <v>1029</v>
      </c>
      <c r="C314" s="5" t="s">
        <v>181</v>
      </c>
      <c r="D314" s="5" t="s">
        <v>499</v>
      </c>
      <c r="E314" s="5" t="s">
        <v>0</v>
      </c>
      <c r="F314" s="5" t="s">
        <v>0</v>
      </c>
      <c r="G314" s="5" t="s">
        <v>183</v>
      </c>
      <c r="H314" s="8">
        <f>ROUND(0,2)</f>
        <v>0</v>
      </c>
      <c r="I314" s="7">
        <f>ROUND(116516.25,2)</f>
        <v>116516.25</v>
      </c>
      <c r="J314" s="6"/>
      <c r="K314" s="6"/>
      <c r="L314" s="6"/>
      <c r="M314" s="6"/>
      <c r="N314" s="7">
        <f>ROUND(2000.2,2)</f>
        <v>2000.2</v>
      </c>
      <c r="O314" s="6"/>
      <c r="P314" s="6"/>
      <c r="Q314" s="7">
        <f>ROUND(709.23,2)</f>
        <v>709.23</v>
      </c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7">
        <f>ROUND(65.75,2)</f>
        <v>65.75</v>
      </c>
      <c r="AV314" s="7">
        <f>ROUND(2.25,2)</f>
        <v>2.25</v>
      </c>
      <c r="AW314" s="7">
        <f>ROUND(32,2)</f>
        <v>32</v>
      </c>
      <c r="AX314" s="6"/>
      <c r="AY314" s="6"/>
      <c r="AZ314" s="7">
        <f>ROUND(8,2)</f>
        <v>8</v>
      </c>
      <c r="BA314" s="6"/>
      <c r="BB314" s="6"/>
      <c r="BC314" s="6"/>
      <c r="BD314" s="7">
        <f>ROUND(8,2)</f>
        <v>8</v>
      </c>
      <c r="BE314" s="6"/>
      <c r="BF314" s="6"/>
      <c r="BG314" s="7">
        <f>ROUND(43.5,2)</f>
        <v>43.5</v>
      </c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7">
        <f>ROUND(8.45999999999999,2)</f>
        <v>8.4600000000000009</v>
      </c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7">
        <f>ROUND(184,2)</f>
        <v>184</v>
      </c>
      <c r="CQ314" s="7">
        <f>ROUND(3061.38999999999,2)</f>
        <v>3061.39</v>
      </c>
      <c r="CR314" s="6"/>
      <c r="CS314" s="6"/>
      <c r="CT314" s="6"/>
      <c r="CU314" s="6"/>
      <c r="CV314" s="7">
        <f>ROUND(65186.7799999999,2)</f>
        <v>65186.78</v>
      </c>
      <c r="CW314" s="6"/>
      <c r="CX314" s="6"/>
      <c r="CY314" s="7">
        <f>ROUND(34722.0699999999,2)</f>
        <v>34722.07</v>
      </c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7">
        <f>ROUND(2145.12,2)</f>
        <v>2145.12</v>
      </c>
      <c r="EE314" s="7">
        <f>ROUND(111.56,2)</f>
        <v>111.56</v>
      </c>
      <c r="EF314" s="7">
        <f>ROUND(1057.6,2)</f>
        <v>1057.5999999999999</v>
      </c>
      <c r="EG314" s="6"/>
      <c r="EH314" s="6"/>
      <c r="EI314" s="7">
        <f>ROUND(406.56,2)</f>
        <v>406.56</v>
      </c>
      <c r="EJ314" s="6"/>
      <c r="EK314" s="6"/>
      <c r="EL314" s="6"/>
      <c r="EM314" s="6"/>
      <c r="EN314" s="7">
        <f>ROUND(256.72,2)</f>
        <v>256.72000000000003</v>
      </c>
      <c r="EO314" s="6"/>
      <c r="EP314" s="6"/>
      <c r="EQ314" s="7">
        <f>ROUND(1395.92,2)</f>
        <v>1395.92</v>
      </c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7">
        <f>ROUND(2000,2)</f>
        <v>2000</v>
      </c>
      <c r="FK314" s="6"/>
      <c r="FL314" s="6"/>
      <c r="FM314" s="6"/>
      <c r="FN314" s="6"/>
      <c r="FO314" s="6"/>
      <c r="FP314" s="6"/>
      <c r="FQ314" s="6"/>
      <c r="FR314" s="6"/>
      <c r="FS314" s="6"/>
      <c r="FT314" s="7">
        <f>ROUND(3000,2)</f>
        <v>3000</v>
      </c>
      <c r="FU314" s="6"/>
      <c r="FV314" s="6"/>
      <c r="FW314" s="6"/>
      <c r="FX314" s="7">
        <f>ROUND(6233.92,2)</f>
        <v>6233.92</v>
      </c>
      <c r="FY314" s="7">
        <f>ROUND(116516.25,2)</f>
        <v>116516.25</v>
      </c>
    </row>
    <row r="315" spans="1:181" x14ac:dyDescent="0.3">
      <c r="A315" s="4" t="s">
        <v>819</v>
      </c>
      <c r="B315" s="5" t="s">
        <v>1029</v>
      </c>
      <c r="C315" s="5" t="s">
        <v>181</v>
      </c>
      <c r="D315" s="5" t="s">
        <v>301</v>
      </c>
      <c r="E315" s="5" t="s">
        <v>329</v>
      </c>
      <c r="F315" s="5" t="s">
        <v>0</v>
      </c>
      <c r="G315" s="5" t="s">
        <v>183</v>
      </c>
      <c r="H315" s="9">
        <v>17.5</v>
      </c>
      <c r="I315" s="7">
        <f>ROUND(1680,2)</f>
        <v>1680</v>
      </c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7">
        <f>ROUND(96,2)</f>
        <v>96</v>
      </c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7">
        <f>ROUND(5,2)</f>
        <v>5</v>
      </c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7">
        <f>ROUND(101,2)</f>
        <v>101</v>
      </c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7">
        <f>ROUND(1680,2)</f>
        <v>1680</v>
      </c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7">
        <f>ROUND(1680,2)</f>
        <v>1680</v>
      </c>
    </row>
    <row r="316" spans="1:181" x14ac:dyDescent="0.3">
      <c r="A316" s="4" t="s">
        <v>823</v>
      </c>
      <c r="B316" s="5" t="s">
        <v>1029</v>
      </c>
      <c r="C316" s="5" t="s">
        <v>181</v>
      </c>
      <c r="D316" s="5" t="s">
        <v>461</v>
      </c>
      <c r="E316" s="5" t="s">
        <v>0</v>
      </c>
      <c r="F316" s="5" t="s">
        <v>0</v>
      </c>
      <c r="G316" s="5" t="s">
        <v>183</v>
      </c>
      <c r="H316" s="8">
        <v>33.880000000000003</v>
      </c>
      <c r="I316" s="7">
        <f>ROUND(87346.8999999999,2)</f>
        <v>87346.9</v>
      </c>
      <c r="J316" s="6"/>
      <c r="K316" s="6"/>
      <c r="L316" s="6"/>
      <c r="M316" s="6"/>
      <c r="N316" s="7">
        <f>ROUND(1491.57,2)</f>
        <v>1491.57</v>
      </c>
      <c r="O316" s="6"/>
      <c r="P316" s="6"/>
      <c r="Q316" s="7">
        <f>ROUND(210.87,2)</f>
        <v>210.87</v>
      </c>
      <c r="R316" s="6"/>
      <c r="S316" s="6"/>
      <c r="T316" s="6"/>
      <c r="U316" s="6"/>
      <c r="V316" s="6"/>
      <c r="W316" s="7">
        <f>ROUND(3.5,2)</f>
        <v>3.5</v>
      </c>
      <c r="X316" s="6"/>
      <c r="Y316" s="6"/>
      <c r="Z316" s="6"/>
      <c r="AA316" s="6"/>
      <c r="AB316" s="6"/>
      <c r="AC316" s="6"/>
      <c r="AD316" s="6"/>
      <c r="AE316" s="7">
        <f>ROUND(108.539999999999,2)</f>
        <v>108.54</v>
      </c>
      <c r="AF316" s="6"/>
      <c r="AG316" s="7">
        <f>ROUND(2.7,2)</f>
        <v>2.7</v>
      </c>
      <c r="AH316" s="6"/>
      <c r="AI316" s="6"/>
      <c r="AJ316" s="6"/>
      <c r="AK316" s="6"/>
      <c r="AL316" s="6"/>
      <c r="AM316" s="6"/>
      <c r="AN316" s="6"/>
      <c r="AO316" s="6"/>
      <c r="AP316" s="7">
        <f>ROUND(307.539999999999,2)</f>
        <v>307.54000000000002</v>
      </c>
      <c r="AQ316" s="6"/>
      <c r="AR316" s="7">
        <f>ROUND(11.48,2)</f>
        <v>11.48</v>
      </c>
      <c r="AS316" s="6"/>
      <c r="AT316" s="6"/>
      <c r="AU316" s="7">
        <f>ROUND(68,2)</f>
        <v>68</v>
      </c>
      <c r="AV316" s="7">
        <f>ROUND(8,2)</f>
        <v>8</v>
      </c>
      <c r="AW316" s="7">
        <f>ROUND(31.17,2)</f>
        <v>31.17</v>
      </c>
      <c r="AX316" s="7">
        <f>ROUND(2.83,2)</f>
        <v>2.83</v>
      </c>
      <c r="AY316" s="7">
        <f>ROUND(64.08,2)</f>
        <v>64.08</v>
      </c>
      <c r="AZ316" s="7">
        <f>ROUND(9.92,2)</f>
        <v>9.92</v>
      </c>
      <c r="BA316" s="6"/>
      <c r="BB316" s="7">
        <f>ROUND(40,2)</f>
        <v>40</v>
      </c>
      <c r="BC316" s="6"/>
      <c r="BD316" s="7">
        <f>ROUND(8,2)</f>
        <v>8</v>
      </c>
      <c r="BE316" s="7">
        <f>ROUND(0.92,2)</f>
        <v>0.92</v>
      </c>
      <c r="BF316" s="6"/>
      <c r="BG316" s="6"/>
      <c r="BH316" s="6"/>
      <c r="BI316" s="6"/>
      <c r="BJ316" s="6"/>
      <c r="BK316" s="6"/>
      <c r="BL316" s="6"/>
      <c r="BM316" s="6"/>
      <c r="BN316" s="6"/>
      <c r="BO316" s="7">
        <f>ROUND(2,2)</f>
        <v>2</v>
      </c>
      <c r="BP316" s="6"/>
      <c r="BQ316" s="7">
        <f>ROUND(30,2)</f>
        <v>30</v>
      </c>
      <c r="BR316" s="6"/>
      <c r="BS316" s="6"/>
      <c r="BT316" s="6"/>
      <c r="BU316" s="6"/>
      <c r="BV316" s="6"/>
      <c r="BW316" s="6"/>
      <c r="BX316" s="6"/>
      <c r="BY316" s="6"/>
      <c r="BZ316" s="6"/>
      <c r="CA316" s="7">
        <f>ROUND(8,2)</f>
        <v>8</v>
      </c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7">
        <f>ROUND(16,2)</f>
        <v>16</v>
      </c>
      <c r="CQ316" s="7">
        <f>ROUND(2425.11999999999,2)</f>
        <v>2425.12</v>
      </c>
      <c r="CR316" s="6"/>
      <c r="CS316" s="6"/>
      <c r="CT316" s="6"/>
      <c r="CU316" s="6"/>
      <c r="CV316" s="7">
        <f>ROUND(48819.3099999999,2)</f>
        <v>48819.31</v>
      </c>
      <c r="CW316" s="6"/>
      <c r="CX316" s="6"/>
      <c r="CY316" s="7">
        <f>ROUND(10370.78,2)</f>
        <v>10370.780000000001</v>
      </c>
      <c r="CZ316" s="6"/>
      <c r="DA316" s="6"/>
      <c r="DB316" s="6"/>
      <c r="DC316" s="6"/>
      <c r="DD316" s="6"/>
      <c r="DE316" s="7">
        <f>ROUND(177.87,2)</f>
        <v>177.87</v>
      </c>
      <c r="DF316" s="6"/>
      <c r="DG316" s="6"/>
      <c r="DH316" s="6"/>
      <c r="DI316" s="6"/>
      <c r="DJ316" s="6"/>
      <c r="DK316" s="6"/>
      <c r="DL316" s="6"/>
      <c r="DM316" s="6"/>
      <c r="DN316" s="7">
        <f>ROUND(3557.15,2)</f>
        <v>3557.15</v>
      </c>
      <c r="DO316" s="6"/>
      <c r="DP316" s="7">
        <f>ROUND(130.85,2)</f>
        <v>130.85</v>
      </c>
      <c r="DQ316" s="6"/>
      <c r="DR316" s="6"/>
      <c r="DS316" s="6"/>
      <c r="DT316" s="6"/>
      <c r="DU316" s="6"/>
      <c r="DV316" s="6"/>
      <c r="DW316" s="6"/>
      <c r="DX316" s="6"/>
      <c r="DY316" s="7">
        <f>ROUND(9996.23,2)</f>
        <v>9996.23</v>
      </c>
      <c r="DZ316" s="6"/>
      <c r="EA316" s="7">
        <f>ROUND(552.59,2)</f>
        <v>552.59</v>
      </c>
      <c r="EB316" s="6"/>
      <c r="EC316" s="6"/>
      <c r="ED316" s="7">
        <f>ROUND(2210.38,2)</f>
        <v>2210.38</v>
      </c>
      <c r="EE316" s="7">
        <f>ROUND(396.64,2)</f>
        <v>396.64</v>
      </c>
      <c r="EF316" s="7">
        <f>ROUND(1000.25,2)</f>
        <v>1000.25</v>
      </c>
      <c r="EG316" s="7">
        <f>ROUND(136.22,2)</f>
        <v>136.22</v>
      </c>
      <c r="EH316" s="7">
        <f>ROUND(2069.85,2)</f>
        <v>2069.85</v>
      </c>
      <c r="EI316" s="7">
        <f>ROUND(491.78,2)</f>
        <v>491.78</v>
      </c>
      <c r="EJ316" s="6"/>
      <c r="EK316" s="7">
        <f>ROUND(1291.28,2)</f>
        <v>1291.28</v>
      </c>
      <c r="EL316" s="6"/>
      <c r="EM316" s="6"/>
      <c r="EN316" s="7">
        <f>ROUND(256.72,2)</f>
        <v>256.72000000000003</v>
      </c>
      <c r="EO316" s="7">
        <f>ROUND(30.54,2)</f>
        <v>30.54</v>
      </c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7">
        <f>ROUND(64.18,2)</f>
        <v>64.180000000000007</v>
      </c>
      <c r="FC316" s="6"/>
      <c r="FD316" s="7">
        <f>ROUND(985.2,2)</f>
        <v>985.2</v>
      </c>
      <c r="FE316" s="6"/>
      <c r="FF316" s="6"/>
      <c r="FG316" s="6"/>
      <c r="FH316" s="6"/>
      <c r="FI316" s="6"/>
      <c r="FJ316" s="7">
        <f>ROUND(1275,2)</f>
        <v>1275</v>
      </c>
      <c r="FK316" s="6"/>
      <c r="FL316" s="6"/>
      <c r="FM316" s="6"/>
      <c r="FN316" s="6"/>
      <c r="FO316" s="6"/>
      <c r="FP316" s="6"/>
      <c r="FQ316" s="6"/>
      <c r="FR316" s="6"/>
      <c r="FS316" s="6"/>
      <c r="FT316" s="7">
        <f>ROUND(3000,2)</f>
        <v>3000</v>
      </c>
      <c r="FU316" s="6"/>
      <c r="FV316" s="6"/>
      <c r="FW316" s="6"/>
      <c r="FX316" s="7">
        <f>ROUND(534.08,2)</f>
        <v>534.08000000000004</v>
      </c>
      <c r="FY316" s="7">
        <f>ROUND(87346.8999999999,2)</f>
        <v>87346.9</v>
      </c>
    </row>
    <row r="317" spans="1:181" x14ac:dyDescent="0.3">
      <c r="A317" s="4" t="s">
        <v>824</v>
      </c>
      <c r="B317" s="5" t="s">
        <v>1029</v>
      </c>
      <c r="C317" s="5" t="s">
        <v>181</v>
      </c>
      <c r="D317" s="5" t="s">
        <v>725</v>
      </c>
      <c r="E317" s="5" t="s">
        <v>0</v>
      </c>
      <c r="F317" s="5" t="s">
        <v>0</v>
      </c>
      <c r="G317" s="5" t="s">
        <v>183</v>
      </c>
      <c r="H317" s="8">
        <v>33.880000000000003</v>
      </c>
      <c r="I317" s="7">
        <f>ROUND(54792.9399999999,2)</f>
        <v>54792.94</v>
      </c>
      <c r="J317" s="6"/>
      <c r="K317" s="6"/>
      <c r="L317" s="6"/>
      <c r="M317" s="6"/>
      <c r="N317" s="7">
        <f>ROUND(1355.63,2)</f>
        <v>1355.63</v>
      </c>
      <c r="O317" s="6"/>
      <c r="P317" s="6"/>
      <c r="Q317" s="7">
        <f>ROUND(15.5,2)</f>
        <v>15.5</v>
      </c>
      <c r="R317" s="6"/>
      <c r="S317" s="6"/>
      <c r="T317" s="6"/>
      <c r="U317" s="6"/>
      <c r="V317" s="6"/>
      <c r="W317" s="6"/>
      <c r="X317" s="7">
        <f>ROUND(3.84,2)</f>
        <v>3.84</v>
      </c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7">
        <f>ROUND(21.58,2)</f>
        <v>21.58</v>
      </c>
      <c r="AQ317" s="6"/>
      <c r="AR317" s="7">
        <f>ROUND(3.08,2)</f>
        <v>3.08</v>
      </c>
      <c r="AS317" s="6"/>
      <c r="AT317" s="6"/>
      <c r="AU317" s="7">
        <f>ROUND(40,2)</f>
        <v>40</v>
      </c>
      <c r="AV317" s="6"/>
      <c r="AW317" s="7">
        <f>ROUND(5,2)</f>
        <v>5</v>
      </c>
      <c r="AX317" s="6"/>
      <c r="AY317" s="7">
        <f>ROUND(90,2)</f>
        <v>90</v>
      </c>
      <c r="AZ317" s="6"/>
      <c r="BA317" s="6"/>
      <c r="BB317" s="6"/>
      <c r="BC317" s="6"/>
      <c r="BD317" s="7">
        <f>ROUND(8,2)</f>
        <v>8</v>
      </c>
      <c r="BE317" s="7">
        <f>ROUND(0.77,2)</f>
        <v>0.77</v>
      </c>
      <c r="BF317" s="6"/>
      <c r="BG317" s="6"/>
      <c r="BH317" s="6"/>
      <c r="BI317" s="6"/>
      <c r="BJ317" s="6"/>
      <c r="BK317" s="6"/>
      <c r="BL317" s="6"/>
      <c r="BM317" s="6"/>
      <c r="BN317" s="6"/>
      <c r="BO317" s="7">
        <f>ROUND(40,2)</f>
        <v>40</v>
      </c>
      <c r="BP317" s="6"/>
      <c r="BQ317" s="6"/>
      <c r="BR317" s="6"/>
      <c r="BS317" s="6"/>
      <c r="BT317" s="6"/>
      <c r="BU317" s="7">
        <f>ROUND(10,2)</f>
        <v>10</v>
      </c>
      <c r="BV317" s="6"/>
      <c r="BW317" s="6"/>
      <c r="BX317" s="6"/>
      <c r="BY317" s="7">
        <f>ROUND(10,2)</f>
        <v>10</v>
      </c>
      <c r="BZ317" s="6"/>
      <c r="CA317" s="7">
        <f>ROUND(5,2)</f>
        <v>5</v>
      </c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7">
        <f>ROUND(1608.4,2)</f>
        <v>1608.4</v>
      </c>
      <c r="CR317" s="6"/>
      <c r="CS317" s="6"/>
      <c r="CT317" s="6"/>
      <c r="CU317" s="6"/>
      <c r="CV317" s="7">
        <f>ROUND(44178.4699999999,2)</f>
        <v>44178.47</v>
      </c>
      <c r="CW317" s="6"/>
      <c r="CX317" s="6"/>
      <c r="CY317" s="7">
        <f>ROUND(768.41,2)</f>
        <v>768.41</v>
      </c>
      <c r="CZ317" s="6"/>
      <c r="DA317" s="6"/>
      <c r="DB317" s="6"/>
      <c r="DC317" s="6"/>
      <c r="DD317" s="6"/>
      <c r="DE317" s="6"/>
      <c r="DF317" s="7">
        <f>ROUND(126.15,2)</f>
        <v>126.15</v>
      </c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7">
        <f>ROUND(708.75,2)</f>
        <v>708.75</v>
      </c>
      <c r="DZ317" s="6"/>
      <c r="EA317" s="7">
        <f>ROUND(152.69,2)</f>
        <v>152.69</v>
      </c>
      <c r="EB317" s="6"/>
      <c r="EC317" s="6"/>
      <c r="ED317" s="7">
        <f>ROUND(1304.45,2)</f>
        <v>1304.45</v>
      </c>
      <c r="EE317" s="6"/>
      <c r="EF317" s="7">
        <f>ROUND(160.45,2)</f>
        <v>160.44999999999999</v>
      </c>
      <c r="EG317" s="6"/>
      <c r="EH317" s="7">
        <f>ROUND(2947.5,2)</f>
        <v>2947.5</v>
      </c>
      <c r="EI317" s="6"/>
      <c r="EJ317" s="6"/>
      <c r="EK317" s="6"/>
      <c r="EL317" s="6"/>
      <c r="EM317" s="6"/>
      <c r="EN317" s="7">
        <f>ROUND(256.72,2)</f>
        <v>256.72000000000003</v>
      </c>
      <c r="EO317" s="7">
        <f>ROUND(25.45,2)</f>
        <v>25.45</v>
      </c>
      <c r="EP317" s="6"/>
      <c r="EQ317" s="6"/>
      <c r="ER317" s="7">
        <f>ROUND(279.6,2)</f>
        <v>279.60000000000002</v>
      </c>
      <c r="ES317" s="6"/>
      <c r="ET317" s="6"/>
      <c r="EU317" s="6"/>
      <c r="EV317" s="6"/>
      <c r="EW317" s="6"/>
      <c r="EX317" s="6"/>
      <c r="EY317" s="6"/>
      <c r="EZ317" s="6"/>
      <c r="FA317" s="6"/>
      <c r="FB317" s="7">
        <f>ROUND(1283.6,2)</f>
        <v>1283.5999999999999</v>
      </c>
      <c r="FC317" s="6"/>
      <c r="FD317" s="6"/>
      <c r="FE317" s="6"/>
      <c r="FF317" s="7">
        <f>ROUND(325.7,2)</f>
        <v>325.7</v>
      </c>
      <c r="FG317" s="6"/>
      <c r="FH317" s="6"/>
      <c r="FI317" s="6"/>
      <c r="FJ317" s="7">
        <f>ROUND(775,2)</f>
        <v>775</v>
      </c>
      <c r="FK317" s="6"/>
      <c r="FL317" s="6"/>
      <c r="FM317" s="6"/>
      <c r="FN317" s="6"/>
      <c r="FO317" s="6"/>
      <c r="FP317" s="6"/>
      <c r="FQ317" s="6"/>
      <c r="FR317" s="6"/>
      <c r="FS317" s="6"/>
      <c r="FT317" s="7">
        <f>ROUND(1500,2)</f>
        <v>1500</v>
      </c>
      <c r="FU317" s="6"/>
      <c r="FV317" s="6"/>
      <c r="FW317" s="6"/>
      <c r="FX317" s="6"/>
      <c r="FY317" s="7">
        <f>ROUND(54792.9399999999,2)</f>
        <v>54792.94</v>
      </c>
    </row>
    <row r="318" spans="1:181" x14ac:dyDescent="0.3">
      <c r="A318" s="4" t="s">
        <v>830</v>
      </c>
      <c r="B318" s="5" t="s">
        <v>1029</v>
      </c>
      <c r="C318" s="5" t="s">
        <v>181</v>
      </c>
      <c r="D318" s="5" t="s">
        <v>461</v>
      </c>
      <c r="E318" s="5" t="s">
        <v>831</v>
      </c>
      <c r="F318" s="5" t="s">
        <v>0</v>
      </c>
      <c r="G318" s="5" t="s">
        <v>183</v>
      </c>
      <c r="H318" s="8">
        <v>32.090000000000003</v>
      </c>
      <c r="I318" s="7">
        <f>ROUND(46241.1,2)</f>
        <v>46241.1</v>
      </c>
      <c r="J318" s="6"/>
      <c r="K318" s="6"/>
      <c r="L318" s="6"/>
      <c r="M318" s="6"/>
      <c r="N318" s="7">
        <f>ROUND(823.88,2)</f>
        <v>823.88</v>
      </c>
      <c r="O318" s="6"/>
      <c r="P318" s="6"/>
      <c r="Q318" s="7">
        <f>ROUND(109.619999999999,2)</f>
        <v>109.62</v>
      </c>
      <c r="R318" s="6"/>
      <c r="S318" s="6"/>
      <c r="T318" s="6"/>
      <c r="U318" s="6"/>
      <c r="V318" s="7">
        <f>ROUND(3.87,2)</f>
        <v>3.87</v>
      </c>
      <c r="W318" s="6"/>
      <c r="X318" s="7">
        <f>ROUND(0.2,2)</f>
        <v>0.2</v>
      </c>
      <c r="Y318" s="7">
        <f>ROUND(0.9,2)</f>
        <v>0.9</v>
      </c>
      <c r="Z318" s="6"/>
      <c r="AA318" s="6"/>
      <c r="AB318" s="6"/>
      <c r="AC318" s="6"/>
      <c r="AD318" s="6"/>
      <c r="AE318" s="7">
        <f>ROUND(106.83,2)</f>
        <v>106.83</v>
      </c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7">
        <f>ROUND(124.809999999999,2)</f>
        <v>124.81</v>
      </c>
      <c r="AQ318" s="6"/>
      <c r="AR318" s="7">
        <f>ROUND(14.1299999999999,2)</f>
        <v>14.13</v>
      </c>
      <c r="AS318" s="6"/>
      <c r="AT318" s="6"/>
      <c r="AU318" s="7">
        <f>ROUND(50,2)</f>
        <v>50</v>
      </c>
      <c r="AV318" s="6"/>
      <c r="AW318" s="7">
        <f>ROUND(16,2)</f>
        <v>16</v>
      </c>
      <c r="AX318" s="6"/>
      <c r="AY318" s="7">
        <f>ROUND(46.08,2)</f>
        <v>46.08</v>
      </c>
      <c r="AZ318" s="7">
        <f>ROUND(9.92,2)</f>
        <v>9.92</v>
      </c>
      <c r="BA318" s="6"/>
      <c r="BB318" s="6"/>
      <c r="BC318" s="6"/>
      <c r="BD318" s="7">
        <f>ROUND(8,2)</f>
        <v>8</v>
      </c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7">
        <f>ROUND(10.5,2)</f>
        <v>10.5</v>
      </c>
      <c r="BP318" s="6"/>
      <c r="BQ318" s="6"/>
      <c r="BR318" s="6"/>
      <c r="BS318" s="7">
        <f>ROUND(16,2)</f>
        <v>16</v>
      </c>
      <c r="BT318" s="6"/>
      <c r="BU318" s="6"/>
      <c r="BV318" s="6"/>
      <c r="BW318" s="6"/>
      <c r="BX318" s="6"/>
      <c r="BY318" s="6"/>
      <c r="BZ318" s="7">
        <f>ROUND(24,2)</f>
        <v>24</v>
      </c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7">
        <f>ROUND(24,2)</f>
        <v>24</v>
      </c>
      <c r="CQ318" s="7">
        <f>ROUND(1388.74,2)</f>
        <v>1388.74</v>
      </c>
      <c r="CR318" s="6"/>
      <c r="CS318" s="6"/>
      <c r="CT318" s="6"/>
      <c r="CU318" s="6"/>
      <c r="CV318" s="7">
        <f>ROUND(26640.8899999999,2)</f>
        <v>26640.89</v>
      </c>
      <c r="CW318" s="6"/>
      <c r="CX318" s="6"/>
      <c r="CY318" s="7">
        <f>ROUND(5319.55999999999,2)</f>
        <v>5319.56</v>
      </c>
      <c r="CZ318" s="6"/>
      <c r="DA318" s="6"/>
      <c r="DB318" s="6"/>
      <c r="DC318" s="6"/>
      <c r="DD318" s="7">
        <f>ROUND(124.19,2)</f>
        <v>124.19</v>
      </c>
      <c r="DE318" s="6"/>
      <c r="DF318" s="7">
        <f>ROUND(6.42,2)</f>
        <v>6.42</v>
      </c>
      <c r="DG318" s="7">
        <f>ROUND(43.32,2)</f>
        <v>43.32</v>
      </c>
      <c r="DH318" s="6"/>
      <c r="DI318" s="6"/>
      <c r="DJ318" s="6"/>
      <c r="DK318" s="6"/>
      <c r="DL318" s="6"/>
      <c r="DM318" s="6"/>
      <c r="DN318" s="7">
        <f>ROUND(3447.38,2)</f>
        <v>3447.38</v>
      </c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7">
        <f>ROUND(4005.5,2)</f>
        <v>4005.5</v>
      </c>
      <c r="DZ318" s="6"/>
      <c r="EA318" s="7">
        <f>ROUND(683.22,2)</f>
        <v>683.22</v>
      </c>
      <c r="EB318" s="6"/>
      <c r="EC318" s="6"/>
      <c r="ED318" s="7">
        <f>ROUND(1614.1,2)</f>
        <v>1614.1</v>
      </c>
      <c r="EE318" s="6"/>
      <c r="EF318" s="7">
        <f>ROUND(513.44,2)</f>
        <v>513.44000000000005</v>
      </c>
      <c r="EG318" s="6"/>
      <c r="EH318" s="7">
        <f>ROUND(1478.70999999999,2)</f>
        <v>1478.71</v>
      </c>
      <c r="EI318" s="7">
        <f>ROUND(477.5,2)</f>
        <v>477.5</v>
      </c>
      <c r="EJ318" s="6"/>
      <c r="EK318" s="6"/>
      <c r="EL318" s="6"/>
      <c r="EM318" s="6"/>
      <c r="EN318" s="7">
        <f>ROUND(256.72,2)</f>
        <v>256.72000000000003</v>
      </c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7">
        <f>ROUND(336.95,2)</f>
        <v>336.95</v>
      </c>
      <c r="FC318" s="6"/>
      <c r="FD318" s="6"/>
      <c r="FE318" s="6"/>
      <c r="FF318" s="6"/>
      <c r="FG318" s="6"/>
      <c r="FH318" s="6"/>
      <c r="FI318" s="6"/>
      <c r="FJ318" s="7">
        <f>ROUND(500,2)</f>
        <v>500</v>
      </c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7">
        <f>ROUND(793.2,2)</f>
        <v>793.2</v>
      </c>
      <c r="FY318" s="7">
        <f>ROUND(46241.0999999999,2)</f>
        <v>46241.1</v>
      </c>
    </row>
    <row r="319" spans="1:181" x14ac:dyDescent="0.3">
      <c r="A319" s="4" t="s">
        <v>832</v>
      </c>
      <c r="B319" s="5" t="s">
        <v>1029</v>
      </c>
      <c r="C319" s="5" t="s">
        <v>181</v>
      </c>
      <c r="D319" s="5" t="s">
        <v>734</v>
      </c>
      <c r="E319" s="5" t="s">
        <v>833</v>
      </c>
      <c r="F319" s="5" t="s">
        <v>0</v>
      </c>
      <c r="G319" s="5" t="s">
        <v>183</v>
      </c>
      <c r="H319" s="8">
        <v>33.380000000000003</v>
      </c>
      <c r="I319" s="7">
        <f>ROUND(57595.7599999999,2)</f>
        <v>57595.76</v>
      </c>
      <c r="J319" s="6"/>
      <c r="K319" s="6"/>
      <c r="L319" s="6"/>
      <c r="M319" s="6"/>
      <c r="N319" s="7">
        <f>ROUND(639.27,2)</f>
        <v>639.27</v>
      </c>
      <c r="O319" s="6"/>
      <c r="P319" s="6"/>
      <c r="Q319" s="7">
        <f>ROUND(136.23,2)</f>
        <v>136.22999999999999</v>
      </c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7">
        <f>ROUND(544,2)</f>
        <v>544</v>
      </c>
      <c r="AF319" s="6"/>
      <c r="AG319" s="7">
        <f>ROUND(11.42,2)</f>
        <v>11.42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7">
        <f>ROUND(52,2)</f>
        <v>52</v>
      </c>
      <c r="AV319" s="6"/>
      <c r="AW319" s="7">
        <f>ROUND(32,2)</f>
        <v>32</v>
      </c>
      <c r="AX319" s="6"/>
      <c r="AY319" s="7">
        <f>ROUND(200.73,2)</f>
        <v>200.73</v>
      </c>
      <c r="AZ319" s="7">
        <f>ROUND(7.27,2)</f>
        <v>7.27</v>
      </c>
      <c r="BA319" s="6"/>
      <c r="BB319" s="6"/>
      <c r="BC319" s="6"/>
      <c r="BD319" s="7">
        <f>ROUND(8,2)</f>
        <v>8</v>
      </c>
      <c r="BE319" s="6"/>
      <c r="BF319" s="6"/>
      <c r="BG319" s="6"/>
      <c r="BH319" s="7">
        <f>ROUND(8,2)</f>
        <v>8</v>
      </c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7">
        <f>ROUND(8,2)</f>
        <v>8</v>
      </c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7">
        <f>ROUND(32,2)</f>
        <v>32</v>
      </c>
      <c r="CQ319" s="7">
        <f>ROUND(1678.92,2)</f>
        <v>1678.92</v>
      </c>
      <c r="CR319" s="6"/>
      <c r="CS319" s="6"/>
      <c r="CT319" s="6"/>
      <c r="CU319" s="6"/>
      <c r="CV319" s="7">
        <f>ROUND(20514.17,2)</f>
        <v>20514.169999999998</v>
      </c>
      <c r="CW319" s="6"/>
      <c r="CX319" s="6"/>
      <c r="CY319" s="7">
        <f>ROUND(6557.46999999999,2)</f>
        <v>6557.47</v>
      </c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7">
        <f>ROUND(17710.4,2)</f>
        <v>17710.400000000001</v>
      </c>
      <c r="DO319" s="6"/>
      <c r="DP319" s="7">
        <f>ROUND(565.55,2)</f>
        <v>565.54999999999995</v>
      </c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7">
        <f>ROUND(1684.04,2)</f>
        <v>1684.04</v>
      </c>
      <c r="EE319" s="6"/>
      <c r="EF319" s="7">
        <f>ROUND(1042.24,2)</f>
        <v>1042.24</v>
      </c>
      <c r="EG319" s="6"/>
      <c r="EH319" s="7">
        <f>ROUND(6518.23,2)</f>
        <v>6518.23</v>
      </c>
      <c r="EI319" s="7">
        <f>ROUND(349.94,2)</f>
        <v>349.94</v>
      </c>
      <c r="EJ319" s="6"/>
      <c r="EK319" s="6"/>
      <c r="EL319" s="6"/>
      <c r="EM319" s="6"/>
      <c r="EN319" s="7">
        <f>ROUND(256.72,2)</f>
        <v>256.72000000000003</v>
      </c>
      <c r="EO319" s="6"/>
      <c r="EP319" s="6"/>
      <c r="EQ319" s="6"/>
      <c r="ER319" s="6"/>
      <c r="ES319" s="7">
        <f>ROUND(264.4,2)</f>
        <v>264.39999999999998</v>
      </c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7">
        <f>ROUND(1075,2)</f>
        <v>1075</v>
      </c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7">
        <f>ROUND(1057.6,2)</f>
        <v>1057.5999999999999</v>
      </c>
      <c r="FY319" s="7">
        <f>ROUND(57595.7599999999,2)</f>
        <v>57595.76</v>
      </c>
    </row>
    <row r="320" spans="1:181" x14ac:dyDescent="0.3">
      <c r="A320" s="4" t="s">
        <v>835</v>
      </c>
      <c r="B320" s="5" t="s">
        <v>1029</v>
      </c>
      <c r="C320" s="5" t="s">
        <v>181</v>
      </c>
      <c r="D320" s="5" t="s">
        <v>648</v>
      </c>
      <c r="E320" s="5" t="s">
        <v>0</v>
      </c>
      <c r="F320" s="5" t="s">
        <v>0</v>
      </c>
      <c r="G320" s="5" t="s">
        <v>183</v>
      </c>
      <c r="H320" s="8">
        <v>33.380000000000003</v>
      </c>
      <c r="I320" s="7">
        <f>ROUND(86263.6899999999,2)</f>
        <v>86263.69</v>
      </c>
      <c r="J320" s="6"/>
      <c r="K320" s="6"/>
      <c r="L320" s="6"/>
      <c r="M320" s="6"/>
      <c r="N320" s="7">
        <f>ROUND(1599.62,2)</f>
        <v>1599.62</v>
      </c>
      <c r="O320" s="6"/>
      <c r="P320" s="6"/>
      <c r="Q320" s="7">
        <f>ROUND(230.809999999999,2)</f>
        <v>230.81</v>
      </c>
      <c r="R320" s="6"/>
      <c r="S320" s="6"/>
      <c r="T320" s="6"/>
      <c r="U320" s="6"/>
      <c r="V320" s="7">
        <f>ROUND(17.2,2)</f>
        <v>17.2</v>
      </c>
      <c r="W320" s="6"/>
      <c r="X320" s="6"/>
      <c r="Y320" s="6"/>
      <c r="Z320" s="6"/>
      <c r="AA320" s="6"/>
      <c r="AB320" s="6"/>
      <c r="AC320" s="6"/>
      <c r="AD320" s="6"/>
      <c r="AE320" s="7">
        <f>ROUND(70.83,2)</f>
        <v>70.83</v>
      </c>
      <c r="AF320" s="6"/>
      <c r="AG320" s="7">
        <f>ROUND(9.92,2)</f>
        <v>9.92</v>
      </c>
      <c r="AH320" s="6"/>
      <c r="AI320" s="6"/>
      <c r="AJ320" s="6"/>
      <c r="AK320" s="6"/>
      <c r="AL320" s="6"/>
      <c r="AM320" s="6"/>
      <c r="AN320" s="6"/>
      <c r="AO320" s="6"/>
      <c r="AP320" s="7">
        <f>ROUND(197.19,2)</f>
        <v>197.19</v>
      </c>
      <c r="AQ320" s="6"/>
      <c r="AR320" s="7">
        <f>ROUND(3.66,2)</f>
        <v>3.66</v>
      </c>
      <c r="AS320" s="6"/>
      <c r="AT320" s="6"/>
      <c r="AU320" s="7">
        <f>ROUND(72,2)</f>
        <v>72</v>
      </c>
      <c r="AV320" s="6"/>
      <c r="AW320" s="7">
        <f>ROUND(39.67,2)</f>
        <v>39.67</v>
      </c>
      <c r="AX320" s="7">
        <f>ROUND(0.33,2)</f>
        <v>0.33</v>
      </c>
      <c r="AY320" s="7">
        <f>ROUND(88,2)</f>
        <v>88</v>
      </c>
      <c r="AZ320" s="6"/>
      <c r="BA320" s="6"/>
      <c r="BB320" s="7">
        <f>ROUND(8,2)</f>
        <v>8</v>
      </c>
      <c r="BC320" s="6"/>
      <c r="BD320" s="7">
        <f>ROUND(8,2)</f>
        <v>8</v>
      </c>
      <c r="BE320" s="7">
        <f>ROUND(2.38,2)</f>
        <v>2.38</v>
      </c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7">
        <f>ROUND(30,2)</f>
        <v>30</v>
      </c>
      <c r="BR320" s="6"/>
      <c r="BS320" s="6"/>
      <c r="BT320" s="6"/>
      <c r="BU320" s="6"/>
      <c r="BV320" s="6"/>
      <c r="BW320" s="6"/>
      <c r="BX320" s="6"/>
      <c r="BY320" s="7">
        <f>ROUND(8,2)</f>
        <v>8</v>
      </c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7">
        <f>ROUND(2385.61,2)</f>
        <v>2385.61</v>
      </c>
      <c r="CR320" s="6"/>
      <c r="CS320" s="6"/>
      <c r="CT320" s="6"/>
      <c r="CU320" s="6"/>
      <c r="CV320" s="7">
        <f>ROUND(52188.7499999999,2)</f>
        <v>52188.75</v>
      </c>
      <c r="CW320" s="6"/>
      <c r="CX320" s="6"/>
      <c r="CY320" s="7">
        <f>ROUND(11292.2799999999,2)</f>
        <v>11292.28</v>
      </c>
      <c r="CZ320" s="6"/>
      <c r="DA320" s="6"/>
      <c r="DB320" s="6"/>
      <c r="DC320" s="6"/>
      <c r="DD320" s="7">
        <f>ROUND(553.25,2)</f>
        <v>553.25</v>
      </c>
      <c r="DE320" s="6"/>
      <c r="DF320" s="6"/>
      <c r="DG320" s="6"/>
      <c r="DH320" s="6"/>
      <c r="DI320" s="6"/>
      <c r="DJ320" s="6"/>
      <c r="DK320" s="6"/>
      <c r="DL320" s="6"/>
      <c r="DM320" s="6"/>
      <c r="DN320" s="7">
        <f>ROUND(2338.29,2)</f>
        <v>2338.29</v>
      </c>
      <c r="DO320" s="6"/>
      <c r="DP320" s="7">
        <f>ROUND(482.65,2)</f>
        <v>482.65</v>
      </c>
      <c r="DQ320" s="6"/>
      <c r="DR320" s="6"/>
      <c r="DS320" s="6"/>
      <c r="DT320" s="6"/>
      <c r="DU320" s="6"/>
      <c r="DV320" s="6"/>
      <c r="DW320" s="6"/>
      <c r="DX320" s="6"/>
      <c r="DY320" s="7">
        <f>ROUND(6472.65,2)</f>
        <v>6472.65</v>
      </c>
      <c r="DZ320" s="6"/>
      <c r="EA320" s="7">
        <f>ROUND(181.44,2)</f>
        <v>181.44</v>
      </c>
      <c r="EB320" s="6"/>
      <c r="EC320" s="6"/>
      <c r="ED320" s="7">
        <f>ROUND(2348.34,2)</f>
        <v>2348.34</v>
      </c>
      <c r="EE320" s="6"/>
      <c r="EF320" s="7">
        <f>ROUND(1282.29,2)</f>
        <v>1282.29</v>
      </c>
      <c r="EG320" s="7">
        <f>ROUND(16.36,2)</f>
        <v>16.36</v>
      </c>
      <c r="EH320" s="7">
        <f>ROUND(2854.64,2)</f>
        <v>2854.64</v>
      </c>
      <c r="EI320" s="6"/>
      <c r="EJ320" s="6"/>
      <c r="EK320" s="7">
        <f>ROUND(256.72,2)</f>
        <v>256.72000000000003</v>
      </c>
      <c r="EL320" s="6"/>
      <c r="EM320" s="6"/>
      <c r="EN320" s="7">
        <f>ROUND(256.72,2)</f>
        <v>256.72000000000003</v>
      </c>
      <c r="EO320" s="7">
        <f>ROUND(78.81,2)</f>
        <v>78.81</v>
      </c>
      <c r="EP320" s="6"/>
      <c r="EQ320" s="6"/>
      <c r="ER320" s="7">
        <f>ROUND(344,2)</f>
        <v>344</v>
      </c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7">
        <f>ROUND(991.5,2)</f>
        <v>991.5</v>
      </c>
      <c r="FE320" s="6"/>
      <c r="FF320" s="6"/>
      <c r="FG320" s="6"/>
      <c r="FH320" s="6"/>
      <c r="FI320" s="6"/>
      <c r="FJ320" s="7">
        <f>ROUND(1325,2)</f>
        <v>1325</v>
      </c>
      <c r="FK320" s="6"/>
      <c r="FL320" s="6"/>
      <c r="FM320" s="6"/>
      <c r="FN320" s="6"/>
      <c r="FO320" s="6"/>
      <c r="FP320" s="6"/>
      <c r="FQ320" s="6"/>
      <c r="FR320" s="6"/>
      <c r="FS320" s="6"/>
      <c r="FT320" s="7">
        <f>ROUND(3000,2)</f>
        <v>3000</v>
      </c>
      <c r="FU320" s="6"/>
      <c r="FV320" s="6"/>
      <c r="FW320" s="6"/>
      <c r="FX320" s="6"/>
      <c r="FY320" s="7">
        <f>ROUND(86263.6899999999,2)</f>
        <v>86263.69</v>
      </c>
    </row>
    <row r="321" spans="1:181" x14ac:dyDescent="0.3">
      <c r="A321" s="4" t="s">
        <v>836</v>
      </c>
      <c r="B321" s="5" t="s">
        <v>1029</v>
      </c>
      <c r="C321" s="5" t="s">
        <v>181</v>
      </c>
      <c r="D321" s="5" t="s">
        <v>837</v>
      </c>
      <c r="E321" s="5" t="s">
        <v>0</v>
      </c>
      <c r="F321" s="5" t="s">
        <v>0</v>
      </c>
      <c r="G321" s="5" t="s">
        <v>183</v>
      </c>
      <c r="H321" s="6">
        <v>31.71</v>
      </c>
      <c r="I321" s="7">
        <f>ROUND(32824.34,2)</f>
        <v>32824.339999999997</v>
      </c>
      <c r="J321" s="6"/>
      <c r="K321" s="6"/>
      <c r="L321" s="6"/>
      <c r="M321" s="6"/>
      <c r="N321" s="7">
        <f>ROUND(847.95,2)</f>
        <v>847.95</v>
      </c>
      <c r="O321" s="6"/>
      <c r="P321" s="6"/>
      <c r="Q321" s="7">
        <f>ROUND(3.07,2)</f>
        <v>3.07</v>
      </c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7">
        <f>ROUND(36,2)</f>
        <v>36</v>
      </c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7">
        <f>ROUND(30,2)</f>
        <v>30</v>
      </c>
      <c r="AV321" s="6"/>
      <c r="AW321" s="6"/>
      <c r="AX321" s="6"/>
      <c r="AY321" s="6"/>
      <c r="AZ321" s="6"/>
      <c r="BA321" s="6"/>
      <c r="BB321" s="6"/>
      <c r="BC321" s="6"/>
      <c r="BD321" s="7">
        <f>ROUND(271.9,2)</f>
        <v>271.89999999999998</v>
      </c>
      <c r="BE321" s="6"/>
      <c r="BF321" s="7">
        <f>ROUND(10.23,2)</f>
        <v>10.23</v>
      </c>
      <c r="BG321" s="6"/>
      <c r="BH321" s="6"/>
      <c r="BI321" s="7">
        <f>ROUND(16,2)</f>
        <v>16</v>
      </c>
      <c r="BJ321" s="6"/>
      <c r="BK321" s="6"/>
      <c r="BL321" s="6"/>
      <c r="BM321" s="6"/>
      <c r="BN321" s="6"/>
      <c r="BO321" s="6"/>
      <c r="BP321" s="6"/>
      <c r="BQ321" s="7">
        <f>ROUND(65.17,2)</f>
        <v>65.17</v>
      </c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7">
        <f>ROUND(2.17,2)</f>
        <v>2.17</v>
      </c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7">
        <f>ROUND(15,2)</f>
        <v>15</v>
      </c>
      <c r="CQ321" s="7">
        <f>ROUND(1297.48999999999,2)</f>
        <v>1297.49</v>
      </c>
      <c r="CR321" s="6"/>
      <c r="CS321" s="6"/>
      <c r="CT321" s="6"/>
      <c r="CU321" s="6"/>
      <c r="CV321" s="7">
        <f>ROUND(21589.75,2)</f>
        <v>21589.75</v>
      </c>
      <c r="CW321" s="6"/>
      <c r="CX321" s="6"/>
      <c r="CY321" s="7">
        <f>ROUND(80.59,2)</f>
        <v>80.59</v>
      </c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7">
        <f>ROUND(951.839999999999,2)</f>
        <v>951.84</v>
      </c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7">
        <f>ROUND(721.7,2)</f>
        <v>721.7</v>
      </c>
      <c r="EE321" s="6"/>
      <c r="EF321" s="6"/>
      <c r="EG321" s="6"/>
      <c r="EH321" s="6"/>
      <c r="EI321" s="6"/>
      <c r="EJ321" s="6"/>
      <c r="EK321" s="6"/>
      <c r="EL321" s="6"/>
      <c r="EM321" s="6"/>
      <c r="EN321" s="7">
        <f>ROUND(4758.25,2)</f>
        <v>4758.25</v>
      </c>
      <c r="EO321" s="6"/>
      <c r="EP321" s="7">
        <f>ROUND(268.539999999999,2)</f>
        <v>268.54000000000002</v>
      </c>
      <c r="EQ321" s="6"/>
      <c r="ER321" s="6"/>
      <c r="ES321" s="6"/>
      <c r="ET321" s="7">
        <f>ROUND(280,2)</f>
        <v>280</v>
      </c>
      <c r="EU321" s="6"/>
      <c r="EV321" s="6"/>
      <c r="EW321" s="6"/>
      <c r="EX321" s="6"/>
      <c r="EY321" s="6"/>
      <c r="EZ321" s="6"/>
      <c r="FA321" s="6"/>
      <c r="FB321" s="6"/>
      <c r="FC321" s="6"/>
      <c r="FD321" s="7">
        <f>ROUND(1723.12,2)</f>
        <v>1723.12</v>
      </c>
      <c r="FE321" s="6"/>
      <c r="FF321" s="6"/>
      <c r="FG321" s="6"/>
      <c r="FH321" s="6"/>
      <c r="FI321" s="6"/>
      <c r="FJ321" s="7">
        <f>ROUND(525,2)</f>
        <v>525</v>
      </c>
      <c r="FK321" s="6"/>
      <c r="FL321" s="6"/>
      <c r="FM321" s="6"/>
      <c r="FN321" s="6"/>
      <c r="FO321" s="6"/>
      <c r="FP321" s="6"/>
      <c r="FQ321" s="6"/>
      <c r="FR321" s="6"/>
      <c r="FS321" s="6"/>
      <c r="FT321" s="7">
        <f>ROUND(1500,2)</f>
        <v>1500</v>
      </c>
      <c r="FU321" s="6"/>
      <c r="FV321" s="6"/>
      <c r="FW321" s="6"/>
      <c r="FX321" s="7">
        <f>ROUND(425.55,2)</f>
        <v>425.55</v>
      </c>
      <c r="FY321" s="7">
        <f>ROUND(32824.34,2)</f>
        <v>32824.339999999997</v>
      </c>
    </row>
    <row r="322" spans="1:181" x14ac:dyDescent="0.3">
      <c r="A322" s="4" t="s">
        <v>840</v>
      </c>
      <c r="B322" s="5" t="s">
        <v>1029</v>
      </c>
      <c r="C322" s="5" t="s">
        <v>181</v>
      </c>
      <c r="D322" s="5" t="s">
        <v>841</v>
      </c>
      <c r="E322" s="5" t="s">
        <v>0</v>
      </c>
      <c r="F322" s="5" t="s">
        <v>0</v>
      </c>
      <c r="G322" s="5" t="s">
        <v>183</v>
      </c>
      <c r="H322" s="8">
        <v>34.04</v>
      </c>
      <c r="I322" s="7">
        <f>ROUND(73879.1299999999,2)</f>
        <v>73879.13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7">
        <f>ROUND(31.25,2)</f>
        <v>31.25</v>
      </c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7">
        <f>ROUND(68,2)</f>
        <v>68</v>
      </c>
      <c r="AV322" s="6"/>
      <c r="AW322" s="7">
        <f>ROUND(32,2)</f>
        <v>32</v>
      </c>
      <c r="AX322" s="6"/>
      <c r="AY322" s="7">
        <f>ROUND(240.75,2)</f>
        <v>240.75</v>
      </c>
      <c r="AZ322" s="7">
        <f>ROUND(1.25,2)</f>
        <v>1.25</v>
      </c>
      <c r="BA322" s="6"/>
      <c r="BB322" s="7">
        <f>ROUND(24,2)</f>
        <v>24</v>
      </c>
      <c r="BC322" s="6"/>
      <c r="BD322" s="7">
        <f>ROUND(8,2)</f>
        <v>8</v>
      </c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7">
        <f>ROUND(1714.75,2)</f>
        <v>1714.75</v>
      </c>
      <c r="BR322" s="7">
        <f>ROUND(0.58,2)</f>
        <v>0.57999999999999996</v>
      </c>
      <c r="BS322" s="6"/>
      <c r="BT322" s="7">
        <f>ROUND(5.25,2)</f>
        <v>5.25</v>
      </c>
      <c r="BU322" s="6"/>
      <c r="BV322" s="6"/>
      <c r="BW322" s="6"/>
      <c r="BX322" s="6"/>
      <c r="BY322" s="7">
        <f>ROUND(8,2)</f>
        <v>8</v>
      </c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7">
        <f>ROUND(16,2)</f>
        <v>16</v>
      </c>
      <c r="CQ322" s="7">
        <f>ROUND(2149.83,2)</f>
        <v>2149.83</v>
      </c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7">
        <f>ROUND(1002.81,2)</f>
        <v>1002.81</v>
      </c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7">
        <f>ROUND(2220.76,2)</f>
        <v>2220.7600000000002</v>
      </c>
      <c r="EE322" s="6"/>
      <c r="EF322" s="7">
        <f>ROUND(1049.92,2)</f>
        <v>1049.92</v>
      </c>
      <c r="EG322" s="6"/>
      <c r="EH322" s="7">
        <f>ROUND(7918.62999999999,2)</f>
        <v>7918.63</v>
      </c>
      <c r="EI322" s="7">
        <f>ROUND(60.17,2)</f>
        <v>60.17</v>
      </c>
      <c r="EJ322" s="6"/>
      <c r="EK322" s="7">
        <f>ROUND(793.44,2)</f>
        <v>793.44</v>
      </c>
      <c r="EL322" s="6"/>
      <c r="EM322" s="6"/>
      <c r="EN322" s="7">
        <f>ROUND(256.72,2)</f>
        <v>256.72000000000003</v>
      </c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7">
        <f>ROUND(55829.1299999999,2)</f>
        <v>55829.13</v>
      </c>
      <c r="FE322" s="7">
        <f>ROUND(27.91,2)</f>
        <v>27.91</v>
      </c>
      <c r="FF322" s="6"/>
      <c r="FG322" s="6"/>
      <c r="FH322" s="6"/>
      <c r="FI322" s="6"/>
      <c r="FJ322" s="7">
        <f>ROUND(1175,2)</f>
        <v>1175</v>
      </c>
      <c r="FK322" s="6"/>
      <c r="FL322" s="6"/>
      <c r="FM322" s="6"/>
      <c r="FN322" s="6"/>
      <c r="FO322" s="6"/>
      <c r="FP322" s="6"/>
      <c r="FQ322" s="6"/>
      <c r="FR322" s="6"/>
      <c r="FS322" s="6"/>
      <c r="FT322" s="7">
        <f>ROUND(3000,2)</f>
        <v>3000</v>
      </c>
      <c r="FU322" s="6"/>
      <c r="FV322" s="6"/>
      <c r="FW322" s="6"/>
      <c r="FX322" s="7">
        <f>ROUND(544.64,2)</f>
        <v>544.64</v>
      </c>
      <c r="FY322" s="7">
        <f>ROUND(73879.1299999999,2)</f>
        <v>73879.13</v>
      </c>
    </row>
    <row r="323" spans="1:181" x14ac:dyDescent="0.3">
      <c r="A323" s="4" t="s">
        <v>842</v>
      </c>
      <c r="B323" s="5" t="s">
        <v>1029</v>
      </c>
      <c r="C323" s="5" t="s">
        <v>181</v>
      </c>
      <c r="D323" s="5" t="s">
        <v>206</v>
      </c>
      <c r="E323" s="5" t="s">
        <v>0</v>
      </c>
      <c r="F323" s="5" t="s">
        <v>0</v>
      </c>
      <c r="G323" s="5" t="s">
        <v>183</v>
      </c>
      <c r="H323" s="8">
        <v>34.04</v>
      </c>
      <c r="I323" s="7">
        <f>ROUND(48844.69,2)</f>
        <v>48844.69</v>
      </c>
      <c r="J323" s="6"/>
      <c r="K323" s="6"/>
      <c r="L323" s="6"/>
      <c r="M323" s="6"/>
      <c r="N323" s="7">
        <f>ROUND(1300.11,2)</f>
        <v>1300.1099999999999</v>
      </c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7">
        <f>ROUND(40,2)</f>
        <v>40</v>
      </c>
      <c r="AV323" s="6"/>
      <c r="AW323" s="7">
        <f>ROUND(5,2)</f>
        <v>5</v>
      </c>
      <c r="AX323" s="6"/>
      <c r="AY323" s="7">
        <f>ROUND(75,2)</f>
        <v>75</v>
      </c>
      <c r="AZ323" s="6"/>
      <c r="BA323" s="6"/>
      <c r="BB323" s="6"/>
      <c r="BC323" s="6"/>
      <c r="BD323" s="7">
        <f>ROUND(8,2)</f>
        <v>8</v>
      </c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7">
        <f>ROUND(5,2)</f>
        <v>5</v>
      </c>
      <c r="BT323" s="6"/>
      <c r="BU323" s="6"/>
      <c r="BV323" s="6"/>
      <c r="BW323" s="6"/>
      <c r="BX323" s="6"/>
      <c r="BY323" s="7">
        <f>ROUND(5,2)</f>
        <v>5</v>
      </c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7">
        <f>ROUND(1438.11,2)</f>
        <v>1438.11</v>
      </c>
      <c r="CR323" s="6"/>
      <c r="CS323" s="6"/>
      <c r="CT323" s="6"/>
      <c r="CU323" s="6"/>
      <c r="CV323" s="7">
        <f>ROUND(42314.52,2)</f>
        <v>42314.52</v>
      </c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7">
        <f>ROUND(1304.45,2)</f>
        <v>1304.45</v>
      </c>
      <c r="EE323" s="6"/>
      <c r="EF323" s="7">
        <f>ROUND(165.25,2)</f>
        <v>165.25</v>
      </c>
      <c r="EG323" s="6"/>
      <c r="EH323" s="7">
        <f>ROUND(2478.75,2)</f>
        <v>2478.75</v>
      </c>
      <c r="EI323" s="6"/>
      <c r="EJ323" s="6"/>
      <c r="EK323" s="6"/>
      <c r="EL323" s="6"/>
      <c r="EM323" s="6"/>
      <c r="EN323" s="7">
        <f>ROUND(256.72,2)</f>
        <v>256.72000000000003</v>
      </c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7">
        <f>ROUND(825,2)</f>
        <v>825</v>
      </c>
      <c r="FK323" s="6"/>
      <c r="FL323" s="6"/>
      <c r="FM323" s="6"/>
      <c r="FN323" s="6"/>
      <c r="FO323" s="6"/>
      <c r="FP323" s="6"/>
      <c r="FQ323" s="6"/>
      <c r="FR323" s="6"/>
      <c r="FS323" s="6"/>
      <c r="FT323" s="7">
        <f>ROUND(1500,2)</f>
        <v>1500</v>
      </c>
      <c r="FU323" s="6"/>
      <c r="FV323" s="6"/>
      <c r="FW323" s="6"/>
      <c r="FX323" s="6"/>
      <c r="FY323" s="7">
        <f>ROUND(48844.69,2)</f>
        <v>48844.69</v>
      </c>
    </row>
    <row r="324" spans="1:181" x14ac:dyDescent="0.3">
      <c r="A324" s="4" t="s">
        <v>844</v>
      </c>
      <c r="B324" s="5" t="s">
        <v>1029</v>
      </c>
      <c r="C324" s="5" t="s">
        <v>181</v>
      </c>
      <c r="D324" s="5" t="s">
        <v>303</v>
      </c>
      <c r="E324" s="5" t="s">
        <v>0</v>
      </c>
      <c r="F324" s="5" t="s">
        <v>0</v>
      </c>
      <c r="G324" s="5" t="s">
        <v>183</v>
      </c>
      <c r="H324" s="6">
        <v>33.380000000000003</v>
      </c>
      <c r="I324" s="7">
        <f>ROUND(92472.6999999999,2)</f>
        <v>92472.7</v>
      </c>
      <c r="J324" s="6"/>
      <c r="K324" s="6"/>
      <c r="L324" s="6"/>
      <c r="M324" s="6"/>
      <c r="N324" s="7">
        <f>ROUND(1705.58,2)</f>
        <v>1705.58</v>
      </c>
      <c r="O324" s="6"/>
      <c r="P324" s="6"/>
      <c r="Q324" s="7">
        <f>ROUND(433.45,2)</f>
        <v>433.45</v>
      </c>
      <c r="R324" s="6"/>
      <c r="S324" s="6"/>
      <c r="T324" s="6"/>
      <c r="U324" s="6"/>
      <c r="V324" s="7">
        <f>ROUND(4.75,2)</f>
        <v>4.75</v>
      </c>
      <c r="W324" s="6"/>
      <c r="X324" s="6"/>
      <c r="Y324" s="6"/>
      <c r="Z324" s="6"/>
      <c r="AA324" s="6"/>
      <c r="AB324" s="6"/>
      <c r="AC324" s="6"/>
      <c r="AD324" s="6"/>
      <c r="AE324" s="7">
        <f>ROUND(123.6,2)</f>
        <v>123.6</v>
      </c>
      <c r="AF324" s="6"/>
      <c r="AG324" s="7">
        <f>ROUND(0.85,2)</f>
        <v>0.85</v>
      </c>
      <c r="AH324" s="6"/>
      <c r="AI324" s="6"/>
      <c r="AJ324" s="6"/>
      <c r="AK324" s="6"/>
      <c r="AL324" s="6"/>
      <c r="AM324" s="6"/>
      <c r="AN324" s="6"/>
      <c r="AO324" s="6"/>
      <c r="AP324" s="7">
        <f>ROUND(170.4,2)</f>
        <v>170.4</v>
      </c>
      <c r="AQ324" s="6"/>
      <c r="AR324" s="7">
        <f>ROUND(20.17,2)</f>
        <v>20.170000000000002</v>
      </c>
      <c r="AS324" s="6"/>
      <c r="AT324" s="6"/>
      <c r="AU324" s="7">
        <f>ROUND(68,2)</f>
        <v>68</v>
      </c>
      <c r="AV324" s="6"/>
      <c r="AW324" s="7">
        <f>ROUND(24,2)</f>
        <v>24</v>
      </c>
      <c r="AX324" s="7">
        <f>ROUND(8,2)</f>
        <v>8</v>
      </c>
      <c r="AY324" s="7">
        <f>ROUND(16,2)</f>
        <v>16</v>
      </c>
      <c r="AZ324" s="7">
        <f>ROUND(8,2)</f>
        <v>8</v>
      </c>
      <c r="BA324" s="6"/>
      <c r="BB324" s="7">
        <f>ROUND(24,2)</f>
        <v>24</v>
      </c>
      <c r="BC324" s="6"/>
      <c r="BD324" s="7">
        <f>ROUND(8,2)</f>
        <v>8</v>
      </c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7">
        <f>ROUND(5,2)</f>
        <v>5</v>
      </c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7">
        <f>ROUND(2619.8,2)</f>
        <v>2619.8000000000002</v>
      </c>
      <c r="CR324" s="6"/>
      <c r="CS324" s="6"/>
      <c r="CT324" s="6"/>
      <c r="CU324" s="6"/>
      <c r="CV324" s="7">
        <f>ROUND(52637.29,2)</f>
        <v>52637.29</v>
      </c>
      <c r="CW324" s="6"/>
      <c r="CX324" s="6"/>
      <c r="CY324" s="7">
        <f>ROUND(20194.5099999999,2)</f>
        <v>20194.509999999998</v>
      </c>
      <c r="CZ324" s="6"/>
      <c r="DA324" s="6"/>
      <c r="DB324" s="6"/>
      <c r="DC324" s="6"/>
      <c r="DD324" s="7">
        <f>ROUND(157.7,2)</f>
        <v>157.69999999999999</v>
      </c>
      <c r="DE324" s="6"/>
      <c r="DF324" s="6"/>
      <c r="DG324" s="6"/>
      <c r="DH324" s="6"/>
      <c r="DI324" s="6"/>
      <c r="DJ324" s="6"/>
      <c r="DK324" s="6"/>
      <c r="DL324" s="6"/>
      <c r="DM324" s="6"/>
      <c r="DN324" s="7">
        <f>ROUND(3690.45999999999,2)</f>
        <v>3690.46</v>
      </c>
      <c r="DO324" s="6"/>
      <c r="DP324" s="7">
        <f>ROUND(36.82,2)</f>
        <v>36.82</v>
      </c>
      <c r="DQ324" s="6"/>
      <c r="DR324" s="6"/>
      <c r="DS324" s="6"/>
      <c r="DT324" s="6"/>
      <c r="DU324" s="6"/>
      <c r="DV324" s="6"/>
      <c r="DW324" s="6"/>
      <c r="DX324" s="6"/>
      <c r="DY324" s="7">
        <f>ROUND(5183.59999999999,2)</f>
        <v>5183.6000000000004</v>
      </c>
      <c r="DZ324" s="6"/>
      <c r="EA324" s="7">
        <f>ROUND(990.4,2)</f>
        <v>990.4</v>
      </c>
      <c r="EB324" s="6"/>
      <c r="EC324" s="6"/>
      <c r="ED324" s="7">
        <f>ROUND(2086.4,2)</f>
        <v>2086.4</v>
      </c>
      <c r="EE324" s="6"/>
      <c r="EF324" s="7">
        <f>ROUND(739.04,2)</f>
        <v>739.04</v>
      </c>
      <c r="EG324" s="7">
        <f>ROUND(376.8,2)</f>
        <v>376.8</v>
      </c>
      <c r="EH324" s="7">
        <f>ROUND(502.4,2)</f>
        <v>502.4</v>
      </c>
      <c r="EI324" s="7">
        <f>ROUND(376.8,2)</f>
        <v>376.8</v>
      </c>
      <c r="EJ324" s="6"/>
      <c r="EK324" s="7">
        <f>ROUND(762.16,2)</f>
        <v>762.16</v>
      </c>
      <c r="EL324" s="6"/>
      <c r="EM324" s="6"/>
      <c r="EN324" s="7">
        <f>ROUND(243.92,2)</f>
        <v>243.92</v>
      </c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7">
        <f>ROUND(144.4,2)</f>
        <v>144.4</v>
      </c>
      <c r="FC324" s="6"/>
      <c r="FD324" s="6"/>
      <c r="FE324" s="6"/>
      <c r="FF324" s="6"/>
      <c r="FG324" s="6"/>
      <c r="FH324" s="6"/>
      <c r="FI324" s="6"/>
      <c r="FJ324" s="7">
        <f>ROUND(1350,2)</f>
        <v>1350</v>
      </c>
      <c r="FK324" s="6"/>
      <c r="FL324" s="6"/>
      <c r="FM324" s="6"/>
      <c r="FN324" s="6"/>
      <c r="FO324" s="6"/>
      <c r="FP324" s="6"/>
      <c r="FQ324" s="6"/>
      <c r="FR324" s="6"/>
      <c r="FS324" s="6"/>
      <c r="FT324" s="7">
        <f>ROUND(3000,2)</f>
        <v>3000</v>
      </c>
      <c r="FU324" s="6"/>
      <c r="FV324" s="6"/>
      <c r="FW324" s="6"/>
      <c r="FX324" s="6"/>
      <c r="FY324" s="7">
        <f>ROUND(92472.6999999999,2)</f>
        <v>92472.7</v>
      </c>
    </row>
    <row r="325" spans="1:181" x14ac:dyDescent="0.3">
      <c r="A325" s="4" t="s">
        <v>845</v>
      </c>
      <c r="B325" s="5" t="s">
        <v>1029</v>
      </c>
      <c r="C325" s="5" t="s">
        <v>181</v>
      </c>
      <c r="D325" s="5" t="s">
        <v>471</v>
      </c>
      <c r="E325" s="5" t="s">
        <v>0</v>
      </c>
      <c r="F325" s="5" t="s">
        <v>0</v>
      </c>
      <c r="G325" s="5" t="s">
        <v>183</v>
      </c>
      <c r="H325" s="6">
        <v>31.71</v>
      </c>
      <c r="I325" s="7">
        <f>ROUND(37833.8599999999,2)</f>
        <v>37833.86</v>
      </c>
      <c r="J325" s="6"/>
      <c r="K325" s="6"/>
      <c r="L325" s="6"/>
      <c r="M325" s="6"/>
      <c r="N325" s="7">
        <f>ROUND(993.42,2)</f>
        <v>993.42</v>
      </c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7">
        <f>ROUND(85.45,2)</f>
        <v>85.45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7">
        <f>ROUND(25,2)</f>
        <v>25</v>
      </c>
      <c r="AV325" s="6"/>
      <c r="AW325" s="6"/>
      <c r="AX325" s="6"/>
      <c r="AY325" s="6"/>
      <c r="AZ325" s="6"/>
      <c r="BA325" s="6"/>
      <c r="BB325" s="6"/>
      <c r="BC325" s="6"/>
      <c r="BD325" s="7">
        <f>ROUND(321.03,2)</f>
        <v>321.02999999999997</v>
      </c>
      <c r="BE325" s="7">
        <f>ROUND(1.2,2)</f>
        <v>1.2</v>
      </c>
      <c r="BF325" s="7">
        <f>ROUND(6.4,2)</f>
        <v>6.4</v>
      </c>
      <c r="BG325" s="6"/>
      <c r="BH325" s="6"/>
      <c r="BI325" s="7">
        <f>ROUND(6.97,2)</f>
        <v>6.97</v>
      </c>
      <c r="BJ325" s="7">
        <f>ROUND(12.78,2)</f>
        <v>12.78</v>
      </c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>
        <f>ROUND(5,2)</f>
        <v>5</v>
      </c>
      <c r="BX325" s="6"/>
      <c r="BY325" s="7">
        <f>ROUND(5,2)</f>
        <v>5</v>
      </c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7">
        <f>ROUND(15,2)</f>
        <v>15</v>
      </c>
      <c r="CQ325" s="7">
        <f>ROUND(1477.24999999999,2)</f>
        <v>1477.25</v>
      </c>
      <c r="CR325" s="6"/>
      <c r="CS325" s="6"/>
      <c r="CT325" s="6"/>
      <c r="CU325" s="6"/>
      <c r="CV325" s="7">
        <f>ROUND(25894.11,2)</f>
        <v>25894.11</v>
      </c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7">
        <f>ROUND(2370.6,2)</f>
        <v>2370.6</v>
      </c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7">
        <f>ROUND(628.949999999999,2)</f>
        <v>628.95000000000005</v>
      </c>
      <c r="EE325" s="6"/>
      <c r="EF325" s="6"/>
      <c r="EG325" s="6"/>
      <c r="EH325" s="6"/>
      <c r="EI325" s="6"/>
      <c r="EJ325" s="6"/>
      <c r="EK325" s="6"/>
      <c r="EL325" s="6"/>
      <c r="EM325" s="6"/>
      <c r="EN325" s="7">
        <f>ROUND(5683.38999999999,2)</f>
        <v>5683.39</v>
      </c>
      <c r="EO325" s="7">
        <f>ROUND(30.8,2)</f>
        <v>30.8</v>
      </c>
      <c r="EP325" s="7">
        <f>ROUND(168,2)</f>
        <v>168</v>
      </c>
      <c r="EQ325" s="6"/>
      <c r="ER325" s="6"/>
      <c r="ES325" s="6"/>
      <c r="ET325" s="7">
        <f>ROUND(121.98,2)</f>
        <v>121.98</v>
      </c>
      <c r="EU325" s="7">
        <f>ROUND(335.48,2)</f>
        <v>335.48</v>
      </c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7">
        <f>ROUND(675,2)</f>
        <v>675</v>
      </c>
      <c r="FK325" s="6"/>
      <c r="FL325" s="6"/>
      <c r="FM325" s="6"/>
      <c r="FN325" s="6"/>
      <c r="FO325" s="6"/>
      <c r="FP325" s="6"/>
      <c r="FQ325" s="6"/>
      <c r="FR325" s="6"/>
      <c r="FS325" s="6"/>
      <c r="FT325" s="7">
        <f>ROUND(1500,2)</f>
        <v>1500</v>
      </c>
      <c r="FU325" s="6"/>
      <c r="FV325" s="6"/>
      <c r="FW325" s="6"/>
      <c r="FX325" s="7">
        <f>ROUND(425.55,2)</f>
        <v>425.55</v>
      </c>
      <c r="FY325" s="7">
        <f>ROUND(37833.8599999999,2)</f>
        <v>37833.86</v>
      </c>
    </row>
    <row r="326" spans="1:181" x14ac:dyDescent="0.3">
      <c r="A326" s="4" t="s">
        <v>846</v>
      </c>
      <c r="B326" s="5" t="s">
        <v>1029</v>
      </c>
      <c r="C326" s="5" t="s">
        <v>181</v>
      </c>
      <c r="D326" s="5" t="s">
        <v>387</v>
      </c>
      <c r="E326" s="5" t="s">
        <v>0</v>
      </c>
      <c r="F326" s="5" t="s">
        <v>0</v>
      </c>
      <c r="G326" s="5" t="s">
        <v>183</v>
      </c>
      <c r="H326" s="8">
        <v>34.04</v>
      </c>
      <c r="I326" s="7">
        <f>ROUND(97888.0599999999,2)</f>
        <v>97888.06</v>
      </c>
      <c r="J326" s="6"/>
      <c r="K326" s="6"/>
      <c r="L326" s="6"/>
      <c r="M326" s="6"/>
      <c r="N326" s="7">
        <f>ROUND(1168,2)</f>
        <v>1168</v>
      </c>
      <c r="O326" s="6"/>
      <c r="P326" s="6"/>
      <c r="Q326" s="7">
        <f>ROUND(334.489999999999,2)</f>
        <v>334.49</v>
      </c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7">
        <f>ROUND(688,2)</f>
        <v>688</v>
      </c>
      <c r="AF326" s="6"/>
      <c r="AG326" s="7">
        <f>ROUND(117.039999999999,2)</f>
        <v>117.04</v>
      </c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7">
        <f>ROUND(60,2)</f>
        <v>60</v>
      </c>
      <c r="AV326" s="7">
        <f>ROUND(8,2)</f>
        <v>8</v>
      </c>
      <c r="AW326" s="7">
        <f>ROUND(32,2)</f>
        <v>32</v>
      </c>
      <c r="AX326" s="6"/>
      <c r="AY326" s="7">
        <f>ROUND(184,2)</f>
        <v>184</v>
      </c>
      <c r="AZ326" s="6"/>
      <c r="BA326" s="6"/>
      <c r="BB326" s="6"/>
      <c r="BC326" s="6"/>
      <c r="BD326" s="6"/>
      <c r="BE326" s="6"/>
      <c r="BF326" s="7">
        <f>ROUND(8,2)</f>
        <v>8</v>
      </c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7">
        <f>ROUND(16,2)</f>
        <v>16</v>
      </c>
      <c r="CQ326" s="7">
        <f>ROUND(2615.52999999999,2)</f>
        <v>2615.5300000000002</v>
      </c>
      <c r="CR326" s="6"/>
      <c r="CS326" s="6"/>
      <c r="CT326" s="6"/>
      <c r="CU326" s="6"/>
      <c r="CV326" s="7">
        <f>ROUND(38034.4099999999,2)</f>
        <v>38034.410000000003</v>
      </c>
      <c r="CW326" s="6"/>
      <c r="CX326" s="6"/>
      <c r="CY326" s="7">
        <f>ROUND(16330.4899999999,2)</f>
        <v>16330.49</v>
      </c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7">
        <f>ROUND(22427.6,2)</f>
        <v>22427.599999999999</v>
      </c>
      <c r="DO326" s="6"/>
      <c r="DP326" s="7">
        <f>ROUND(5754.67999999999,2)</f>
        <v>5754.68</v>
      </c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7">
        <f>ROUND(1955.08,2)</f>
        <v>1955.08</v>
      </c>
      <c r="EE326" s="7">
        <f>ROUND(396.64,2)</f>
        <v>396.64</v>
      </c>
      <c r="EF326" s="7">
        <f>ROUND(1057.6,2)</f>
        <v>1057.5999999999999</v>
      </c>
      <c r="EG326" s="6"/>
      <c r="EH326" s="7">
        <f>ROUND(6004.4,2)</f>
        <v>6004.4</v>
      </c>
      <c r="EI326" s="6"/>
      <c r="EJ326" s="6"/>
      <c r="EK326" s="6"/>
      <c r="EL326" s="6"/>
      <c r="EM326" s="6"/>
      <c r="EN326" s="6"/>
      <c r="EO326" s="6"/>
      <c r="EP326" s="7">
        <f>ROUND(385.08,2)</f>
        <v>385.08</v>
      </c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7">
        <f>ROUND(2000,2)</f>
        <v>2000</v>
      </c>
      <c r="FK326" s="6"/>
      <c r="FL326" s="6"/>
      <c r="FM326" s="6"/>
      <c r="FN326" s="6"/>
      <c r="FO326" s="6"/>
      <c r="FP326" s="6"/>
      <c r="FQ326" s="6"/>
      <c r="FR326" s="6"/>
      <c r="FS326" s="6"/>
      <c r="FT326" s="7">
        <f>ROUND(3000,2)</f>
        <v>3000</v>
      </c>
      <c r="FU326" s="6"/>
      <c r="FV326" s="6"/>
      <c r="FW326" s="6"/>
      <c r="FX326" s="7">
        <f>ROUND(542.08,2)</f>
        <v>542.08000000000004</v>
      </c>
      <c r="FY326" s="7">
        <f>ROUND(97888.0599999999,2)</f>
        <v>97888.06</v>
      </c>
    </row>
    <row r="327" spans="1:181" x14ac:dyDescent="0.3">
      <c r="A327" s="4" t="s">
        <v>849</v>
      </c>
      <c r="B327" s="5" t="s">
        <v>1029</v>
      </c>
      <c r="C327" s="5" t="s">
        <v>181</v>
      </c>
      <c r="D327" s="5" t="s">
        <v>215</v>
      </c>
      <c r="E327" s="5" t="s">
        <v>0</v>
      </c>
      <c r="F327" s="5" t="s">
        <v>0</v>
      </c>
      <c r="G327" s="5" t="s">
        <v>183</v>
      </c>
      <c r="H327" s="8">
        <v>33.880000000000003</v>
      </c>
      <c r="I327" s="7">
        <f>ROUND(85489.23,2)</f>
        <v>85489.23</v>
      </c>
      <c r="J327" s="6"/>
      <c r="K327" s="6"/>
      <c r="L327" s="6"/>
      <c r="M327" s="6"/>
      <c r="N327" s="7">
        <f>ROUND(1430.81,2)</f>
        <v>1430.81</v>
      </c>
      <c r="O327" s="6"/>
      <c r="P327" s="6"/>
      <c r="Q327" s="7">
        <f>ROUND(188.699999999999,2)</f>
        <v>188.7</v>
      </c>
      <c r="R327" s="6"/>
      <c r="S327" s="6"/>
      <c r="T327" s="6"/>
      <c r="U327" s="6"/>
      <c r="V327" s="7">
        <f>ROUND(1.75,2)</f>
        <v>1.75</v>
      </c>
      <c r="W327" s="6"/>
      <c r="X327" s="6"/>
      <c r="Y327" s="6"/>
      <c r="Z327" s="6"/>
      <c r="AA327" s="6"/>
      <c r="AB327" s="6"/>
      <c r="AC327" s="6"/>
      <c r="AD327" s="6"/>
      <c r="AE327" s="7">
        <f>ROUND(152.51,2)</f>
        <v>152.51</v>
      </c>
      <c r="AF327" s="6"/>
      <c r="AG327" s="7">
        <f>ROUND(2.92,2)</f>
        <v>2.92</v>
      </c>
      <c r="AH327" s="6"/>
      <c r="AI327" s="6"/>
      <c r="AJ327" s="6"/>
      <c r="AK327" s="6"/>
      <c r="AL327" s="6"/>
      <c r="AM327" s="6"/>
      <c r="AN327" s="6"/>
      <c r="AO327" s="6"/>
      <c r="AP327" s="7">
        <f>ROUND(328.02,2)</f>
        <v>328.02</v>
      </c>
      <c r="AQ327" s="6"/>
      <c r="AR327" s="7">
        <f>ROUND(10.8,2)</f>
        <v>10.8</v>
      </c>
      <c r="AS327" s="6"/>
      <c r="AT327" s="6"/>
      <c r="AU327" s="7">
        <f>ROUND(68,2)</f>
        <v>68</v>
      </c>
      <c r="AV327" s="7">
        <f>ROUND(8,2)</f>
        <v>8</v>
      </c>
      <c r="AW327" s="7">
        <f>ROUND(33.33,2)</f>
        <v>33.33</v>
      </c>
      <c r="AX327" s="7">
        <f>ROUND(2.67,2)</f>
        <v>2.67</v>
      </c>
      <c r="AY327" s="7">
        <f>ROUND(68,2)</f>
        <v>68</v>
      </c>
      <c r="AZ327" s="7">
        <f>ROUND(4,2)</f>
        <v>4</v>
      </c>
      <c r="BA327" s="6"/>
      <c r="BB327" s="7">
        <f>ROUND(40,2)</f>
        <v>40</v>
      </c>
      <c r="BC327" s="6"/>
      <c r="BD327" s="7">
        <f>ROUND(8,2)</f>
        <v>8</v>
      </c>
      <c r="BE327" s="7">
        <f>ROUND(0.75,2)</f>
        <v>0.75</v>
      </c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7">
        <f>ROUND(20,2)</f>
        <v>20</v>
      </c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7">
        <f>ROUND(8,2)</f>
        <v>8</v>
      </c>
      <c r="CQ327" s="7">
        <f>ROUND(2376.26,2)</f>
        <v>2376.2600000000002</v>
      </c>
      <c r="CR327" s="6"/>
      <c r="CS327" s="6"/>
      <c r="CT327" s="6"/>
      <c r="CU327" s="6"/>
      <c r="CV327" s="7">
        <f>ROUND(46882.7,2)</f>
        <v>46882.7</v>
      </c>
      <c r="CW327" s="6"/>
      <c r="CX327" s="6"/>
      <c r="CY327" s="7">
        <f>ROUND(9292.04,2)</f>
        <v>9292.0400000000009</v>
      </c>
      <c r="CZ327" s="6"/>
      <c r="DA327" s="6"/>
      <c r="DB327" s="6"/>
      <c r="DC327" s="6"/>
      <c r="DD327" s="7">
        <f>ROUND(58.42,2)</f>
        <v>58.42</v>
      </c>
      <c r="DE327" s="6"/>
      <c r="DF327" s="6"/>
      <c r="DG327" s="6"/>
      <c r="DH327" s="6"/>
      <c r="DI327" s="6"/>
      <c r="DJ327" s="6"/>
      <c r="DK327" s="6"/>
      <c r="DL327" s="6"/>
      <c r="DM327" s="6"/>
      <c r="DN327" s="7">
        <f>ROUND(4973.04,2)</f>
        <v>4973.04</v>
      </c>
      <c r="DO327" s="6"/>
      <c r="DP327" s="7">
        <f>ROUND(141.23,2)</f>
        <v>141.22999999999999</v>
      </c>
      <c r="DQ327" s="6"/>
      <c r="DR327" s="6"/>
      <c r="DS327" s="6"/>
      <c r="DT327" s="6"/>
      <c r="DU327" s="6"/>
      <c r="DV327" s="6"/>
      <c r="DW327" s="6"/>
      <c r="DX327" s="6"/>
      <c r="DY327" s="7">
        <f>ROUND(10654.83,2)</f>
        <v>10654.83</v>
      </c>
      <c r="DZ327" s="6"/>
      <c r="EA327" s="7">
        <f>ROUND(521.01,2)</f>
        <v>521.01</v>
      </c>
      <c r="EB327" s="6"/>
      <c r="EC327" s="6"/>
      <c r="ED327" s="7">
        <f>ROUND(2210.38,2)</f>
        <v>2210.38</v>
      </c>
      <c r="EE327" s="7">
        <f>ROUND(396.64,2)</f>
        <v>396.64</v>
      </c>
      <c r="EF327" s="7">
        <f>ROUND(1069.56,2)</f>
        <v>1069.56</v>
      </c>
      <c r="EG327" s="7">
        <f>ROUND(128.52,2)</f>
        <v>128.52000000000001</v>
      </c>
      <c r="EH327" s="7">
        <f>ROUND(2201.32,2)</f>
        <v>2201.3200000000002</v>
      </c>
      <c r="EI327" s="7">
        <f>ROUND(198.3,2)</f>
        <v>198.3</v>
      </c>
      <c r="EJ327" s="6"/>
      <c r="EK327" s="7">
        <f>ROUND(1283.6,2)</f>
        <v>1283.5999999999999</v>
      </c>
      <c r="EL327" s="6"/>
      <c r="EM327" s="6"/>
      <c r="EN327" s="7">
        <f>ROUND(256.72,2)</f>
        <v>256.72000000000003</v>
      </c>
      <c r="EO327" s="7">
        <f>ROUND(24.18,2)</f>
        <v>24.18</v>
      </c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7">
        <f>ROUND(654.7,2)</f>
        <v>654.70000000000005</v>
      </c>
      <c r="FE327" s="6"/>
      <c r="FF327" s="6"/>
      <c r="FG327" s="6"/>
      <c r="FH327" s="6"/>
      <c r="FI327" s="6"/>
      <c r="FJ327" s="7">
        <f>ROUND(1275,2)</f>
        <v>1275</v>
      </c>
      <c r="FK327" s="6"/>
      <c r="FL327" s="6"/>
      <c r="FM327" s="6"/>
      <c r="FN327" s="6"/>
      <c r="FO327" s="6"/>
      <c r="FP327" s="6"/>
      <c r="FQ327" s="6"/>
      <c r="FR327" s="6"/>
      <c r="FS327" s="6"/>
      <c r="FT327" s="7">
        <f>ROUND(3000,2)</f>
        <v>3000</v>
      </c>
      <c r="FU327" s="6"/>
      <c r="FV327" s="6"/>
      <c r="FW327" s="6"/>
      <c r="FX327" s="7">
        <f>ROUND(267.04,2)</f>
        <v>267.04000000000002</v>
      </c>
      <c r="FY327" s="7">
        <f>ROUND(85489.2299999999,2)</f>
        <v>85489.23</v>
      </c>
    </row>
    <row r="328" spans="1:181" x14ac:dyDescent="0.3">
      <c r="A328" s="4" t="s">
        <v>850</v>
      </c>
      <c r="B328" s="5" t="s">
        <v>1029</v>
      </c>
      <c r="C328" s="5" t="s">
        <v>181</v>
      </c>
      <c r="D328" s="5" t="s">
        <v>368</v>
      </c>
      <c r="E328" s="5" t="s">
        <v>0</v>
      </c>
      <c r="F328" s="5" t="s">
        <v>0</v>
      </c>
      <c r="G328" s="5" t="s">
        <v>183</v>
      </c>
      <c r="H328" s="8">
        <v>34.04</v>
      </c>
      <c r="I328" s="7">
        <f>ROUND(104735.81,2)</f>
        <v>104735.81</v>
      </c>
      <c r="J328" s="6"/>
      <c r="K328" s="6"/>
      <c r="L328" s="6"/>
      <c r="M328" s="6"/>
      <c r="N328" s="7">
        <f>ROUND(1951.57,2)</f>
        <v>1951.57</v>
      </c>
      <c r="O328" s="6"/>
      <c r="P328" s="6"/>
      <c r="Q328" s="7">
        <f>ROUND(484.02,2)</f>
        <v>484.02</v>
      </c>
      <c r="R328" s="6"/>
      <c r="S328" s="6"/>
      <c r="T328" s="6"/>
      <c r="U328" s="6"/>
      <c r="V328" s="7">
        <f>ROUND(7.05,2)</f>
        <v>7.05</v>
      </c>
      <c r="W328" s="7">
        <f>ROUND(38.2699999999999,2)</f>
        <v>38.270000000000003</v>
      </c>
      <c r="X328" s="7">
        <f>ROUND(17.16,2)</f>
        <v>17.16</v>
      </c>
      <c r="Y328" s="7">
        <f>ROUND(0.58,2)</f>
        <v>0.57999999999999996</v>
      </c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7">
        <f>ROUND(25,2)</f>
        <v>25</v>
      </c>
      <c r="AS328" s="6"/>
      <c r="AT328" s="6"/>
      <c r="AU328" s="7">
        <f>ROUND(65.62,2)</f>
        <v>65.62</v>
      </c>
      <c r="AV328" s="7">
        <f>ROUND(2.38,2)</f>
        <v>2.38</v>
      </c>
      <c r="AW328" s="7">
        <f>ROUND(8,2)</f>
        <v>8</v>
      </c>
      <c r="AX328" s="7">
        <f>ROUND(16,2)</f>
        <v>16</v>
      </c>
      <c r="AY328" s="7">
        <f>ROUND(80,2)</f>
        <v>80</v>
      </c>
      <c r="AZ328" s="6"/>
      <c r="BA328" s="6"/>
      <c r="BB328" s="7">
        <f>ROUND(8,2)</f>
        <v>8</v>
      </c>
      <c r="BC328" s="6"/>
      <c r="BD328" s="7">
        <f>ROUND(8,2)</f>
        <v>8</v>
      </c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7">
        <f>ROUND(80,2)</f>
        <v>80</v>
      </c>
      <c r="CQ328" s="7">
        <f>ROUND(2791.65,2)</f>
        <v>2791.65</v>
      </c>
      <c r="CR328" s="6"/>
      <c r="CS328" s="6"/>
      <c r="CT328" s="6"/>
      <c r="CU328" s="6"/>
      <c r="CV328" s="7">
        <f>ROUND(63581.9,2)</f>
        <v>63581.9</v>
      </c>
      <c r="CW328" s="6"/>
      <c r="CX328" s="6"/>
      <c r="CY328" s="7">
        <f>ROUND(23628.74,2)</f>
        <v>23628.74</v>
      </c>
      <c r="CZ328" s="6"/>
      <c r="DA328" s="6"/>
      <c r="DB328" s="6"/>
      <c r="DC328" s="6"/>
      <c r="DD328" s="7">
        <f>ROUND(234.06,2)</f>
        <v>234.06</v>
      </c>
      <c r="DE328" s="7">
        <f>ROUND(1892.6,2)</f>
        <v>1892.6</v>
      </c>
      <c r="DF328" s="7">
        <f>ROUND(555.52,2)</f>
        <v>555.52</v>
      </c>
      <c r="DG328" s="7">
        <f>ROUND(27.92,2)</f>
        <v>27.92</v>
      </c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7">
        <f>ROUND(1232.49,2)</f>
        <v>1232.49</v>
      </c>
      <c r="EB328" s="6"/>
      <c r="EC328" s="6"/>
      <c r="ED328" s="7">
        <f>ROUND(2136.82,2)</f>
        <v>2136.8200000000002</v>
      </c>
      <c r="EE328" s="7">
        <f>ROUND(118,2)</f>
        <v>118</v>
      </c>
      <c r="EF328" s="7">
        <f>ROUND(264.4,2)</f>
        <v>264.39999999999998</v>
      </c>
      <c r="EG328" s="7">
        <f>ROUND(793.2,2)</f>
        <v>793.2</v>
      </c>
      <c r="EH328" s="7">
        <f>ROUND(2636.31999999999,2)</f>
        <v>2636.32</v>
      </c>
      <c r="EI328" s="6"/>
      <c r="EJ328" s="6"/>
      <c r="EK328" s="7">
        <f>ROUND(256.72,2)</f>
        <v>256.72000000000003</v>
      </c>
      <c r="EL328" s="6"/>
      <c r="EM328" s="6"/>
      <c r="EN328" s="7">
        <f>ROUND(256.72,2)</f>
        <v>256.72000000000003</v>
      </c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7">
        <f>ROUND(1450,2)</f>
        <v>1450</v>
      </c>
      <c r="FK328" s="6"/>
      <c r="FL328" s="6"/>
      <c r="FM328" s="6"/>
      <c r="FN328" s="6"/>
      <c r="FO328" s="6"/>
      <c r="FP328" s="6"/>
      <c r="FQ328" s="6"/>
      <c r="FR328" s="6"/>
      <c r="FS328" s="6"/>
      <c r="FT328" s="7">
        <f>ROUND(3000,2)</f>
        <v>3000</v>
      </c>
      <c r="FU328" s="6"/>
      <c r="FV328" s="6"/>
      <c r="FW328" s="6"/>
      <c r="FX328" s="7">
        <f>ROUND(2670.4,2)</f>
        <v>2670.4</v>
      </c>
      <c r="FY328" s="7">
        <f>ROUND(104735.81,2)</f>
        <v>104735.81</v>
      </c>
    </row>
    <row r="329" spans="1:181" x14ac:dyDescent="0.3">
      <c r="A329" s="4" t="s">
        <v>851</v>
      </c>
      <c r="B329" s="5" t="s">
        <v>1029</v>
      </c>
      <c r="C329" s="5" t="s">
        <v>181</v>
      </c>
      <c r="D329" s="5" t="s">
        <v>196</v>
      </c>
      <c r="E329" s="5" t="s">
        <v>0</v>
      </c>
      <c r="F329" s="5" t="s">
        <v>0</v>
      </c>
      <c r="G329" s="5" t="s">
        <v>183</v>
      </c>
      <c r="H329" s="8">
        <v>33.380000000000003</v>
      </c>
      <c r="I329" s="7">
        <f>ROUND(44006.85,2)</f>
        <v>44006.85</v>
      </c>
      <c r="J329" s="6"/>
      <c r="K329" s="6"/>
      <c r="L329" s="6"/>
      <c r="M329" s="6"/>
      <c r="N329" s="7">
        <f>ROUND(973.08,2)</f>
        <v>973.08</v>
      </c>
      <c r="O329" s="6"/>
      <c r="P329" s="6"/>
      <c r="Q329" s="7">
        <f>ROUND(31.82,2)</f>
        <v>31.82</v>
      </c>
      <c r="R329" s="6"/>
      <c r="S329" s="6"/>
      <c r="T329" s="6"/>
      <c r="U329" s="6"/>
      <c r="V329" s="7">
        <f>ROUND(7.5,2)</f>
        <v>7.5</v>
      </c>
      <c r="W329" s="7">
        <f>ROUND(8.67,2)</f>
        <v>8.67</v>
      </c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7">
        <f>ROUND(0.5,2)</f>
        <v>0.5</v>
      </c>
      <c r="AQ329" s="6"/>
      <c r="AR329" s="7">
        <f>ROUND(5.5,2)</f>
        <v>5.5</v>
      </c>
      <c r="AS329" s="6"/>
      <c r="AT329" s="6"/>
      <c r="AU329" s="7">
        <f>ROUND(40,2)</f>
        <v>40</v>
      </c>
      <c r="AV329" s="6"/>
      <c r="AW329" s="7">
        <f>ROUND(34,2)</f>
        <v>34</v>
      </c>
      <c r="AX329" s="6"/>
      <c r="AY329" s="7">
        <f>ROUND(72,2)</f>
        <v>72</v>
      </c>
      <c r="AZ329" s="6"/>
      <c r="BA329" s="6"/>
      <c r="BB329" s="7">
        <f>ROUND(8,2)</f>
        <v>8</v>
      </c>
      <c r="BC329" s="6"/>
      <c r="BD329" s="7">
        <f>ROUND(9,2)</f>
        <v>9</v>
      </c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7">
        <f>ROUND(824,2)</f>
        <v>824</v>
      </c>
      <c r="BT329" s="7">
        <f>ROUND(3.92,2)</f>
        <v>3.92</v>
      </c>
      <c r="BU329" s="6"/>
      <c r="BV329" s="6"/>
      <c r="BW329" s="7">
        <f>ROUND(24,2)</f>
        <v>24</v>
      </c>
      <c r="BX329" s="6"/>
      <c r="BY329" s="7">
        <f>ROUND(32,2)</f>
        <v>32</v>
      </c>
      <c r="BZ329" s="6"/>
      <c r="CA329" s="7">
        <f>ROUND(64,2)</f>
        <v>64</v>
      </c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7">
        <f>ROUND(2137.99,2)</f>
        <v>2137.9899999999998</v>
      </c>
      <c r="CR329" s="6"/>
      <c r="CS329" s="6"/>
      <c r="CT329" s="6"/>
      <c r="CU329" s="6"/>
      <c r="CV329" s="7">
        <f>ROUND(32200.59,2)</f>
        <v>32200.59</v>
      </c>
      <c r="CW329" s="6"/>
      <c r="CX329" s="6"/>
      <c r="CY329" s="7">
        <f>ROUND(1584.72,2)</f>
        <v>1584.72</v>
      </c>
      <c r="CZ329" s="6"/>
      <c r="DA329" s="6"/>
      <c r="DB329" s="6"/>
      <c r="DC329" s="6"/>
      <c r="DD329" s="7">
        <f>ROUND(247.88,2)</f>
        <v>247.88</v>
      </c>
      <c r="DE329" s="7">
        <f>ROUND(431.77,2)</f>
        <v>431.77</v>
      </c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7">
        <f>ROUND(16.6,2)</f>
        <v>16.600000000000001</v>
      </c>
      <c r="DZ329" s="6"/>
      <c r="EA329" s="7">
        <f>ROUND(273.9,2)</f>
        <v>273.89999999999998</v>
      </c>
      <c r="EB329" s="6"/>
      <c r="EC329" s="6"/>
      <c r="ED329" s="7">
        <f>ROUND(1309.28,2)</f>
        <v>1309.28</v>
      </c>
      <c r="EE329" s="6"/>
      <c r="EF329" s="7">
        <f>ROUND(1123.69999999999,2)</f>
        <v>1123.7</v>
      </c>
      <c r="EG329" s="6"/>
      <c r="EH329" s="7">
        <f>ROUND(2356.56,2)</f>
        <v>2356.56</v>
      </c>
      <c r="EI329" s="6"/>
      <c r="EJ329" s="6"/>
      <c r="EK329" s="7">
        <f>ROUND(264.4,2)</f>
        <v>264.39999999999998</v>
      </c>
      <c r="EL329" s="6"/>
      <c r="EM329" s="6"/>
      <c r="EN329" s="7">
        <f>ROUND(297.45,2)</f>
        <v>297.45</v>
      </c>
      <c r="EO329" s="6"/>
      <c r="EP329" s="6"/>
      <c r="EQ329" s="6"/>
      <c r="ER329" s="6"/>
      <c r="ES329" s="6"/>
      <c r="ET329" s="6"/>
      <c r="EU329" s="6"/>
      <c r="EV329" s="7">
        <f>ROUND(500,2)</f>
        <v>500</v>
      </c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7">
        <f>ROUND(400,2)</f>
        <v>400</v>
      </c>
      <c r="FK329" s="6"/>
      <c r="FL329" s="6"/>
      <c r="FM329" s="6"/>
      <c r="FN329" s="6"/>
      <c r="FO329" s="6"/>
      <c r="FP329" s="6"/>
      <c r="FQ329" s="6"/>
      <c r="FR329" s="6"/>
      <c r="FS329" s="6"/>
      <c r="FT329" s="7">
        <f>ROUND(3000,2)</f>
        <v>3000</v>
      </c>
      <c r="FU329" s="6"/>
      <c r="FV329" s="6"/>
      <c r="FW329" s="6"/>
      <c r="FX329" s="6"/>
      <c r="FY329" s="7">
        <f>ROUND(44006.85,2)</f>
        <v>44006.85</v>
      </c>
    </row>
    <row r="330" spans="1:181" x14ac:dyDescent="0.3">
      <c r="A330" s="4" t="s">
        <v>852</v>
      </c>
      <c r="B330" s="5" t="s">
        <v>1029</v>
      </c>
      <c r="C330" s="5" t="s">
        <v>181</v>
      </c>
      <c r="D330" s="5" t="s">
        <v>390</v>
      </c>
      <c r="E330" s="5" t="s">
        <v>0</v>
      </c>
      <c r="F330" s="5" t="s">
        <v>0</v>
      </c>
      <c r="G330" s="5" t="s">
        <v>183</v>
      </c>
      <c r="H330" s="9">
        <v>33.380000000000003</v>
      </c>
      <c r="I330" s="7">
        <f>ROUND(92050.22,2)</f>
        <v>92050.22</v>
      </c>
      <c r="J330" s="6"/>
      <c r="K330" s="6"/>
      <c r="L330" s="6"/>
      <c r="M330" s="6"/>
      <c r="N330" s="7">
        <f>ROUND(913.07,2)</f>
        <v>913.07</v>
      </c>
      <c r="O330" s="6"/>
      <c r="P330" s="6"/>
      <c r="Q330" s="7">
        <f>ROUND(241.92,2)</f>
        <v>241.92</v>
      </c>
      <c r="R330" s="6"/>
      <c r="S330" s="6"/>
      <c r="T330" s="6"/>
      <c r="U330" s="6"/>
      <c r="V330" s="7">
        <f>ROUND(24.92,2)</f>
        <v>24.92</v>
      </c>
      <c r="W330" s="7">
        <f>ROUND(35.14,2)</f>
        <v>35.14</v>
      </c>
      <c r="X330" s="7">
        <f>ROUND(1.97,2)</f>
        <v>1.97</v>
      </c>
      <c r="Y330" s="7">
        <f>ROUND(0.78,2)</f>
        <v>0.78</v>
      </c>
      <c r="Z330" s="6"/>
      <c r="AA330" s="6"/>
      <c r="AB330" s="6"/>
      <c r="AC330" s="6"/>
      <c r="AD330" s="6"/>
      <c r="AE330" s="7">
        <f>ROUND(277.88,2)</f>
        <v>277.88</v>
      </c>
      <c r="AF330" s="6"/>
      <c r="AG330" s="7">
        <f>ROUND(77.78,2)</f>
        <v>77.78</v>
      </c>
      <c r="AH330" s="6"/>
      <c r="AI330" s="6"/>
      <c r="AJ330" s="6"/>
      <c r="AK330" s="6"/>
      <c r="AL330" s="6"/>
      <c r="AM330" s="6"/>
      <c r="AN330" s="6"/>
      <c r="AO330" s="6"/>
      <c r="AP330" s="7">
        <f>ROUND(623.73,2)</f>
        <v>623.73</v>
      </c>
      <c r="AQ330" s="6"/>
      <c r="AR330" s="7">
        <f>ROUND(107.71,2)</f>
        <v>107.71</v>
      </c>
      <c r="AS330" s="6"/>
      <c r="AT330" s="6"/>
      <c r="AU330" s="7">
        <f>ROUND(66,2)</f>
        <v>66</v>
      </c>
      <c r="AV330" s="6"/>
      <c r="AW330" s="7">
        <f>ROUND(36,2)</f>
        <v>36</v>
      </c>
      <c r="AX330" s="6"/>
      <c r="AY330" s="7">
        <f>ROUND(47.08,2)</f>
        <v>47.08</v>
      </c>
      <c r="AZ330" s="7">
        <f>ROUND(0.92,2)</f>
        <v>0.92</v>
      </c>
      <c r="BA330" s="6"/>
      <c r="BB330" s="6"/>
      <c r="BC330" s="6"/>
      <c r="BD330" s="7">
        <f>ROUND(8,2)</f>
        <v>8</v>
      </c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7">
        <f>ROUND(33.87,2)</f>
        <v>33.869999999999997</v>
      </c>
      <c r="BP330" s="6"/>
      <c r="BQ330" s="7">
        <f>ROUND(28.08,2)</f>
        <v>28.08</v>
      </c>
      <c r="BR330" s="6"/>
      <c r="BS330" s="6"/>
      <c r="BT330" s="6"/>
      <c r="BU330" s="6"/>
      <c r="BV330" s="6"/>
      <c r="BW330" s="7">
        <f>ROUND(8,2)</f>
        <v>8</v>
      </c>
      <c r="BX330" s="7">
        <f>ROUND(24,2)</f>
        <v>24</v>
      </c>
      <c r="BY330" s="7">
        <f>ROUND(40,2)</f>
        <v>40</v>
      </c>
      <c r="BZ330" s="6"/>
      <c r="CA330" s="7">
        <f>ROUND(8,2)</f>
        <v>8</v>
      </c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7">
        <f>ROUND(2604.85,2)</f>
        <v>2604.85</v>
      </c>
      <c r="CR330" s="6"/>
      <c r="CS330" s="6"/>
      <c r="CT330" s="6"/>
      <c r="CU330" s="6"/>
      <c r="CV330" s="7">
        <f>ROUND(29063.72,2)</f>
        <v>29063.72</v>
      </c>
      <c r="CW330" s="6"/>
      <c r="CX330" s="6"/>
      <c r="CY330" s="7">
        <f>ROUND(11620.82,2)</f>
        <v>11620.82</v>
      </c>
      <c r="CZ330" s="6"/>
      <c r="DA330" s="6"/>
      <c r="DB330" s="6"/>
      <c r="DC330" s="6"/>
      <c r="DD330" s="7">
        <f>ROUND(819.469999999999,2)</f>
        <v>819.47</v>
      </c>
      <c r="DE330" s="7">
        <f>ROUND(1674.08,2)</f>
        <v>1674.08</v>
      </c>
      <c r="DF330" s="7">
        <f>ROUND(62.76,2)</f>
        <v>62.76</v>
      </c>
      <c r="DG330" s="7">
        <f>ROUND(35.67,2)</f>
        <v>35.67</v>
      </c>
      <c r="DH330" s="6"/>
      <c r="DI330" s="6"/>
      <c r="DJ330" s="6"/>
      <c r="DK330" s="6"/>
      <c r="DL330" s="6"/>
      <c r="DM330" s="6"/>
      <c r="DN330" s="7">
        <f>ROUND(8918.52,2)</f>
        <v>8918.52</v>
      </c>
      <c r="DO330" s="6"/>
      <c r="DP330" s="7">
        <f>ROUND(3735.29999999999,2)</f>
        <v>3735.3</v>
      </c>
      <c r="DQ330" s="6"/>
      <c r="DR330" s="6"/>
      <c r="DS330" s="6"/>
      <c r="DT330" s="6"/>
      <c r="DU330" s="6"/>
      <c r="DV330" s="6"/>
      <c r="DW330" s="6"/>
      <c r="DX330" s="6"/>
      <c r="DY330" s="7">
        <f>ROUND(19645.92,2)</f>
        <v>19645.919999999998</v>
      </c>
      <c r="DZ330" s="6"/>
      <c r="EA330" s="7">
        <f>ROUND(5072.68,2)</f>
        <v>5072.68</v>
      </c>
      <c r="EB330" s="6"/>
      <c r="EC330" s="6"/>
      <c r="ED330" s="7">
        <f>ROUND(2044.22,2)</f>
        <v>2044.22</v>
      </c>
      <c r="EE330" s="6"/>
      <c r="EF330" s="7">
        <f>ROUND(1097.63999999999,2)</f>
        <v>1097.6400000000001</v>
      </c>
      <c r="EG330" s="6"/>
      <c r="EH330" s="7">
        <f>ROUND(1435.46999999999,2)</f>
        <v>1435.47</v>
      </c>
      <c r="EI330" s="7">
        <f>ROUND(42.08,2)</f>
        <v>42.08</v>
      </c>
      <c r="EJ330" s="6"/>
      <c r="EK330" s="6"/>
      <c r="EL330" s="6"/>
      <c r="EM330" s="6"/>
      <c r="EN330" s="7">
        <f>ROUND(243.92,2)</f>
        <v>243.92</v>
      </c>
      <c r="EO330" s="6"/>
      <c r="EP330" s="6"/>
      <c r="EQ330" s="6"/>
      <c r="ER330" s="6"/>
      <c r="ES330" s="6"/>
      <c r="ET330" s="6"/>
      <c r="EU330" s="6"/>
      <c r="EV330" s="7">
        <f>ROUND(500,2)</f>
        <v>500</v>
      </c>
      <c r="EW330" s="6"/>
      <c r="EX330" s="6"/>
      <c r="EY330" s="6"/>
      <c r="EZ330" s="6"/>
      <c r="FA330" s="6"/>
      <c r="FB330" s="7">
        <f>ROUND(1106.61,2)</f>
        <v>1106.6099999999999</v>
      </c>
      <c r="FC330" s="6"/>
      <c r="FD330" s="7">
        <f>ROUND(931.34,2)</f>
        <v>931.34</v>
      </c>
      <c r="FE330" s="6"/>
      <c r="FF330" s="6"/>
      <c r="FG330" s="6"/>
      <c r="FH330" s="6"/>
      <c r="FI330" s="6"/>
      <c r="FJ330" s="7">
        <f>ROUND(1000,2)</f>
        <v>1000</v>
      </c>
      <c r="FK330" s="6"/>
      <c r="FL330" s="6"/>
      <c r="FM330" s="6"/>
      <c r="FN330" s="6"/>
      <c r="FO330" s="6"/>
      <c r="FP330" s="6"/>
      <c r="FQ330" s="6"/>
      <c r="FR330" s="6"/>
      <c r="FS330" s="6"/>
      <c r="FT330" s="7">
        <f>ROUND(3000,2)</f>
        <v>3000</v>
      </c>
      <c r="FU330" s="6"/>
      <c r="FV330" s="6"/>
      <c r="FW330" s="6"/>
      <c r="FX330" s="6"/>
      <c r="FY330" s="7">
        <f>ROUND(92050.22,2)</f>
        <v>92050.22</v>
      </c>
    </row>
    <row r="331" spans="1:181" x14ac:dyDescent="0.3">
      <c r="A331" s="4" t="s">
        <v>859</v>
      </c>
      <c r="B331" s="5" t="s">
        <v>1029</v>
      </c>
      <c r="C331" s="5" t="s">
        <v>181</v>
      </c>
      <c r="D331" s="5" t="s">
        <v>249</v>
      </c>
      <c r="E331" s="5" t="s">
        <v>0</v>
      </c>
      <c r="F331" s="5" t="s">
        <v>0</v>
      </c>
      <c r="G331" s="5" t="s">
        <v>183</v>
      </c>
      <c r="H331" s="8">
        <v>33.380000000000003</v>
      </c>
      <c r="I331" s="7">
        <f>ROUND(46711.9799999999,2)</f>
        <v>46711.98</v>
      </c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7">
        <f>ROUND(40,2)</f>
        <v>40</v>
      </c>
      <c r="AV331" s="6"/>
      <c r="AW331" s="6"/>
      <c r="AX331" s="6"/>
      <c r="AY331" s="7">
        <f>ROUND(85,2)</f>
        <v>85</v>
      </c>
      <c r="AZ331" s="6"/>
      <c r="BA331" s="6"/>
      <c r="BB331" s="6"/>
      <c r="BC331" s="6"/>
      <c r="BD331" s="7">
        <f>ROUND(8,2)</f>
        <v>8</v>
      </c>
      <c r="BE331" s="6"/>
      <c r="BF331" s="6"/>
      <c r="BG331" s="7">
        <f>ROUND(15,2)</f>
        <v>15</v>
      </c>
      <c r="BH331" s="6"/>
      <c r="BI331" s="6"/>
      <c r="BJ331" s="6"/>
      <c r="BK331" s="6"/>
      <c r="BL331" s="6"/>
      <c r="BM331" s="6"/>
      <c r="BN331" s="6"/>
      <c r="BO331" s="7">
        <f>ROUND(811.05,2)</f>
        <v>811.05</v>
      </c>
      <c r="BP331" s="6"/>
      <c r="BQ331" s="7">
        <f>ROUND(408.159999999999,2)</f>
        <v>408.16</v>
      </c>
      <c r="BR331" s="6"/>
      <c r="BS331" s="7">
        <f>ROUND(4.67,2)</f>
        <v>4.67</v>
      </c>
      <c r="BT331" s="7">
        <f>ROUND(2.25,2)</f>
        <v>2.25</v>
      </c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7">
        <f>ROUND(1374.13,2)</f>
        <v>1374.13</v>
      </c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7">
        <f>ROUND(1304.45,2)</f>
        <v>1304.45</v>
      </c>
      <c r="EE331" s="6"/>
      <c r="EF331" s="6"/>
      <c r="EG331" s="6"/>
      <c r="EH331" s="7">
        <f>ROUND(2814.5,2)</f>
        <v>2814.5</v>
      </c>
      <c r="EI331" s="6"/>
      <c r="EJ331" s="6"/>
      <c r="EK331" s="6"/>
      <c r="EL331" s="6"/>
      <c r="EM331" s="6"/>
      <c r="EN331" s="7">
        <f>ROUND(256.72,2)</f>
        <v>256.72000000000003</v>
      </c>
      <c r="EO331" s="6"/>
      <c r="EP331" s="6"/>
      <c r="EQ331" s="7">
        <f>ROUND(481.349999999999,2)</f>
        <v>481.35</v>
      </c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7">
        <f>ROUND(26557.0799999999,2)</f>
        <v>26557.08</v>
      </c>
      <c r="FC331" s="6"/>
      <c r="FD331" s="7">
        <f>ROUND(13097.88,2)</f>
        <v>13097.88</v>
      </c>
      <c r="FE331" s="6"/>
      <c r="FF331" s="6"/>
      <c r="FG331" s="6"/>
      <c r="FH331" s="6"/>
      <c r="FI331" s="6"/>
      <c r="FJ331" s="7">
        <f>ROUND(700,2)</f>
        <v>700</v>
      </c>
      <c r="FK331" s="6"/>
      <c r="FL331" s="6"/>
      <c r="FM331" s="6"/>
      <c r="FN331" s="6"/>
      <c r="FO331" s="6"/>
      <c r="FP331" s="6"/>
      <c r="FQ331" s="6"/>
      <c r="FR331" s="6"/>
      <c r="FS331" s="6"/>
      <c r="FT331" s="7">
        <f>ROUND(1500,2)</f>
        <v>1500</v>
      </c>
      <c r="FU331" s="6"/>
      <c r="FV331" s="6"/>
      <c r="FW331" s="6"/>
      <c r="FX331" s="6"/>
      <c r="FY331" s="7">
        <f>ROUND(46711.9799999999,2)</f>
        <v>46711.98</v>
      </c>
    </row>
    <row r="332" spans="1:181" x14ac:dyDescent="0.3">
      <c r="A332" s="4" t="s">
        <v>868</v>
      </c>
      <c r="B332" s="5" t="s">
        <v>1029</v>
      </c>
      <c r="C332" s="5" t="s">
        <v>181</v>
      </c>
      <c r="D332" s="5" t="s">
        <v>869</v>
      </c>
      <c r="E332" s="5" t="s">
        <v>0</v>
      </c>
      <c r="F332" s="5" t="s">
        <v>0</v>
      </c>
      <c r="G332" s="5" t="s">
        <v>183</v>
      </c>
      <c r="H332" s="8">
        <v>34.04</v>
      </c>
      <c r="I332" s="7">
        <f>ROUND(81598.5699999999,2)</f>
        <v>81598.570000000007</v>
      </c>
      <c r="J332" s="6"/>
      <c r="K332" s="6"/>
      <c r="L332" s="6"/>
      <c r="M332" s="6"/>
      <c r="N332" s="7">
        <f>ROUND(1772.58,2)</f>
        <v>1772.58</v>
      </c>
      <c r="O332" s="6"/>
      <c r="P332" s="6"/>
      <c r="Q332" s="7">
        <f>ROUND(104.32,2)</f>
        <v>104.32</v>
      </c>
      <c r="R332" s="6"/>
      <c r="S332" s="6"/>
      <c r="T332" s="6"/>
      <c r="U332" s="6"/>
      <c r="V332" s="6"/>
      <c r="W332" s="6"/>
      <c r="X332" s="6"/>
      <c r="Y332" s="6"/>
      <c r="Z332" s="7">
        <f>ROUND(0.42,2)</f>
        <v>0.42</v>
      </c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7">
        <f>ROUND(65.5,2)</f>
        <v>65.5</v>
      </c>
      <c r="AV332" s="7">
        <f>ROUND(2.5,2)</f>
        <v>2.5</v>
      </c>
      <c r="AW332" s="7">
        <f>ROUND(38.25,2)</f>
        <v>38.25</v>
      </c>
      <c r="AX332" s="7">
        <f>ROUND(1.75,2)</f>
        <v>1.75</v>
      </c>
      <c r="AY332" s="7">
        <f>ROUND(182.329999999999,2)</f>
        <v>182.33</v>
      </c>
      <c r="AZ332" s="7">
        <f>ROUND(1.67,2)</f>
        <v>1.67</v>
      </c>
      <c r="BA332" s="6"/>
      <c r="BB332" s="7">
        <f>ROUND(32,2)</f>
        <v>32</v>
      </c>
      <c r="BC332" s="6"/>
      <c r="BD332" s="7">
        <f>ROUND(8,2)</f>
        <v>8</v>
      </c>
      <c r="BE332" s="6"/>
      <c r="BF332" s="6"/>
      <c r="BG332" s="7">
        <f>ROUND(41.67,2)</f>
        <v>41.67</v>
      </c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7">
        <f>ROUND(64,2)</f>
        <v>64</v>
      </c>
      <c r="CQ332" s="7">
        <f>ROUND(2314.99,2)</f>
        <v>2314.9899999999998</v>
      </c>
      <c r="CR332" s="6"/>
      <c r="CS332" s="6"/>
      <c r="CT332" s="6"/>
      <c r="CU332" s="6"/>
      <c r="CV332" s="7">
        <f>ROUND(57828.6799999999,2)</f>
        <v>57828.68</v>
      </c>
      <c r="CW332" s="6"/>
      <c r="CX332" s="6"/>
      <c r="CY332" s="7">
        <f>ROUND(5102.18999999999,2)</f>
        <v>5102.1899999999996</v>
      </c>
      <c r="CZ332" s="6"/>
      <c r="DA332" s="6"/>
      <c r="DB332" s="6"/>
      <c r="DC332" s="6"/>
      <c r="DD332" s="6"/>
      <c r="DE332" s="6"/>
      <c r="DF332" s="6"/>
      <c r="DG332" s="6"/>
      <c r="DH332" s="7">
        <f>ROUND(27.76,2)</f>
        <v>27.76</v>
      </c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7">
        <f>ROUND(2138.14,2)</f>
        <v>2138.14</v>
      </c>
      <c r="EE332" s="7">
        <f>ROUND(123.95,2)</f>
        <v>123.95</v>
      </c>
      <c r="EF332" s="7">
        <f>ROUND(1256.48,2)</f>
        <v>1256.48</v>
      </c>
      <c r="EG332" s="7">
        <f>ROUND(86.76,2)</f>
        <v>86.76</v>
      </c>
      <c r="EH332" s="7">
        <f>ROUND(5909.63,2)</f>
        <v>5909.63</v>
      </c>
      <c r="EI332" s="7">
        <f>ROUND(85.27,2)</f>
        <v>85.27</v>
      </c>
      <c r="EJ332" s="6"/>
      <c r="EK332" s="7">
        <f>ROUND(1042.24,2)</f>
        <v>1042.24</v>
      </c>
      <c r="EL332" s="6"/>
      <c r="EM332" s="6"/>
      <c r="EN332" s="7">
        <f>ROUND(256.72,2)</f>
        <v>256.72000000000003</v>
      </c>
      <c r="EO332" s="6"/>
      <c r="EP332" s="6"/>
      <c r="EQ332" s="7">
        <f>ROUND(1337.19,2)</f>
        <v>1337.19</v>
      </c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7">
        <f>ROUND(1225,2)</f>
        <v>1225</v>
      </c>
      <c r="FK332" s="6"/>
      <c r="FL332" s="6"/>
      <c r="FM332" s="6"/>
      <c r="FN332" s="6"/>
      <c r="FO332" s="6"/>
      <c r="FP332" s="6"/>
      <c r="FQ332" s="6"/>
      <c r="FR332" s="6"/>
      <c r="FS332" s="6"/>
      <c r="FT332" s="7">
        <f>ROUND(3000,2)</f>
        <v>3000</v>
      </c>
      <c r="FU332" s="6"/>
      <c r="FV332" s="6"/>
      <c r="FW332" s="6"/>
      <c r="FX332" s="7">
        <f>ROUND(2178.56,2)</f>
        <v>2178.56</v>
      </c>
      <c r="FY332" s="7">
        <f>ROUND(81598.5699999999,2)</f>
        <v>81598.570000000007</v>
      </c>
    </row>
    <row r="333" spans="1:181" x14ac:dyDescent="0.3">
      <c r="A333" s="4" t="s">
        <v>870</v>
      </c>
      <c r="B333" s="5" t="s">
        <v>1029</v>
      </c>
      <c r="C333" s="5" t="s">
        <v>181</v>
      </c>
      <c r="D333" s="5" t="s">
        <v>185</v>
      </c>
      <c r="E333" s="5" t="s">
        <v>0</v>
      </c>
      <c r="F333" s="5" t="s">
        <v>0</v>
      </c>
      <c r="G333" s="5" t="s">
        <v>183</v>
      </c>
      <c r="H333" s="8">
        <v>34.04</v>
      </c>
      <c r="I333" s="7">
        <f>ROUND(90267.54,2)</f>
        <v>90267.54</v>
      </c>
      <c r="J333" s="6"/>
      <c r="K333" s="6"/>
      <c r="L333" s="6"/>
      <c r="M333" s="6"/>
      <c r="N333" s="7">
        <f>ROUND(2.75,2)</f>
        <v>2.75</v>
      </c>
      <c r="O333" s="6"/>
      <c r="P333" s="6"/>
      <c r="Q333" s="7">
        <f>ROUND(15,2)</f>
        <v>15</v>
      </c>
      <c r="R333" s="6"/>
      <c r="S333" s="6"/>
      <c r="T333" s="6"/>
      <c r="U333" s="6"/>
      <c r="V333" s="6"/>
      <c r="W333" s="7">
        <f>ROUND(5,2)</f>
        <v>5</v>
      </c>
      <c r="X333" s="6"/>
      <c r="Y333" s="6"/>
      <c r="Z333" s="6"/>
      <c r="AA333" s="6"/>
      <c r="AB333" s="6"/>
      <c r="AC333" s="6"/>
      <c r="AD333" s="6"/>
      <c r="AE333" s="7">
        <f>ROUND(1711.67999999999,2)</f>
        <v>1711.68</v>
      </c>
      <c r="AF333" s="6"/>
      <c r="AG333" s="7">
        <f>ROUND(370.469999999999,2)</f>
        <v>370.47</v>
      </c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7">
        <f>ROUND(52,2)</f>
        <v>52</v>
      </c>
      <c r="AV333" s="6"/>
      <c r="AW333" s="7">
        <f>ROUND(20.75,2)</f>
        <v>20.75</v>
      </c>
      <c r="AX333" s="7">
        <f>ROUND(19.25,2)</f>
        <v>19.25</v>
      </c>
      <c r="AY333" s="7">
        <f>ROUND(138.55,2)</f>
        <v>138.55000000000001</v>
      </c>
      <c r="AZ333" s="7">
        <f>ROUND(13.45,2)</f>
        <v>13.45</v>
      </c>
      <c r="BA333" s="6"/>
      <c r="BB333" s="7">
        <f>ROUND(40,2)</f>
        <v>40</v>
      </c>
      <c r="BC333" s="6"/>
      <c r="BD333" s="7">
        <f>ROUND(8,2)</f>
        <v>8</v>
      </c>
      <c r="BE333" s="7">
        <f>ROUND(3.13,2)</f>
        <v>3.13</v>
      </c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7">
        <f>ROUND(24,2)</f>
        <v>24</v>
      </c>
      <c r="BT333" s="7">
        <f>ROUND(1.58,2)</f>
        <v>1.58</v>
      </c>
      <c r="BU333" s="7">
        <f>ROUND(32,2)</f>
        <v>32</v>
      </c>
      <c r="BV333" s="6"/>
      <c r="BW333" s="7">
        <f>ROUND(16,2)</f>
        <v>16</v>
      </c>
      <c r="BX333" s="6"/>
      <c r="BY333" s="6"/>
      <c r="BZ333" s="6"/>
      <c r="CA333" s="7">
        <f>ROUND(32,2)</f>
        <v>32</v>
      </c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7">
        <f>ROUND(16,2)</f>
        <v>16</v>
      </c>
      <c r="CQ333" s="7">
        <f>ROUND(2521.61,2)</f>
        <v>2521.61</v>
      </c>
      <c r="CR333" s="6"/>
      <c r="CS333" s="6"/>
      <c r="CT333" s="6"/>
      <c r="CU333" s="6"/>
      <c r="CV333" s="7">
        <f>ROUND(88.25,2)</f>
        <v>88.25</v>
      </c>
      <c r="CW333" s="6"/>
      <c r="CX333" s="6"/>
      <c r="CY333" s="7">
        <f>ROUND(743.86,2)</f>
        <v>743.86</v>
      </c>
      <c r="CZ333" s="6"/>
      <c r="DA333" s="6"/>
      <c r="DB333" s="6"/>
      <c r="DC333" s="6"/>
      <c r="DD333" s="6"/>
      <c r="DE333" s="7">
        <f>ROUND(240.68,2)</f>
        <v>240.68</v>
      </c>
      <c r="DF333" s="6"/>
      <c r="DG333" s="6"/>
      <c r="DH333" s="6"/>
      <c r="DI333" s="6"/>
      <c r="DJ333" s="6"/>
      <c r="DK333" s="6"/>
      <c r="DL333" s="6"/>
      <c r="DM333" s="6"/>
      <c r="DN333" s="7">
        <f>ROUND(55755.1299999999,2)</f>
        <v>55755.13</v>
      </c>
      <c r="DO333" s="6"/>
      <c r="DP333" s="7">
        <f>ROUND(18126.72,2)</f>
        <v>18126.72</v>
      </c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7">
        <f>ROUND(1699.64,2)</f>
        <v>1699.64</v>
      </c>
      <c r="EE333" s="6"/>
      <c r="EF333" s="7">
        <f>ROUND(670.75,2)</f>
        <v>670.75</v>
      </c>
      <c r="EG333" s="7">
        <f>ROUND(954.199999999999,2)</f>
        <v>954.2</v>
      </c>
      <c r="EH333" s="7">
        <f>ROUND(4510.44,2)</f>
        <v>4510.4399999999996</v>
      </c>
      <c r="EI333" s="7">
        <f>ROUND(654.9,2)</f>
        <v>654.9</v>
      </c>
      <c r="EJ333" s="6"/>
      <c r="EK333" s="7">
        <f>ROUND(1283.6,2)</f>
        <v>1283.5999999999999</v>
      </c>
      <c r="EL333" s="6"/>
      <c r="EM333" s="6"/>
      <c r="EN333" s="7">
        <f>ROUND(256.72,2)</f>
        <v>256.72000000000003</v>
      </c>
      <c r="EO333" s="7">
        <f>ROUND(103.45,2)</f>
        <v>103.45</v>
      </c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7">
        <f>ROUND(1034.56,2)</f>
        <v>1034.56</v>
      </c>
      <c r="FG333" s="6"/>
      <c r="FH333" s="6"/>
      <c r="FI333" s="6"/>
      <c r="FJ333" s="7">
        <f>ROUND(600,2)</f>
        <v>600</v>
      </c>
      <c r="FK333" s="6"/>
      <c r="FL333" s="6"/>
      <c r="FM333" s="6"/>
      <c r="FN333" s="6"/>
      <c r="FO333" s="6"/>
      <c r="FP333" s="6"/>
      <c r="FQ333" s="6"/>
      <c r="FR333" s="6"/>
      <c r="FS333" s="6"/>
      <c r="FT333" s="7">
        <f>ROUND(3000,2)</f>
        <v>3000</v>
      </c>
      <c r="FU333" s="6"/>
      <c r="FV333" s="6"/>
      <c r="FW333" s="6"/>
      <c r="FX333" s="7">
        <f>ROUND(544.64,2)</f>
        <v>544.64</v>
      </c>
      <c r="FY333" s="7">
        <f>ROUND(90267.54,2)</f>
        <v>90267.54</v>
      </c>
    </row>
    <row r="334" spans="1:181" x14ac:dyDescent="0.3">
      <c r="A334" s="4" t="s">
        <v>871</v>
      </c>
      <c r="B334" s="5" t="s">
        <v>1029</v>
      </c>
      <c r="C334" s="5" t="s">
        <v>181</v>
      </c>
      <c r="D334" s="5" t="s">
        <v>276</v>
      </c>
      <c r="E334" s="5" t="s">
        <v>0</v>
      </c>
      <c r="F334" s="5" t="s">
        <v>0</v>
      </c>
      <c r="G334" s="5" t="s">
        <v>183</v>
      </c>
      <c r="H334" s="8">
        <v>33.33</v>
      </c>
      <c r="I334" s="7">
        <f>ROUND(65092.6499999999,2)</f>
        <v>65092.65</v>
      </c>
      <c r="J334" s="6"/>
      <c r="K334" s="6"/>
      <c r="L334" s="6"/>
      <c r="M334" s="6"/>
      <c r="N334" s="7">
        <f>ROUND(1310.86,2)</f>
        <v>1310.86</v>
      </c>
      <c r="O334" s="6"/>
      <c r="P334" s="6"/>
      <c r="Q334" s="7">
        <f>ROUND(43.8699999999999,2)</f>
        <v>43.87</v>
      </c>
      <c r="R334" s="6"/>
      <c r="S334" s="6"/>
      <c r="T334" s="6"/>
      <c r="U334" s="6"/>
      <c r="V334" s="7">
        <f>ROUND(25.03,2)</f>
        <v>25.03</v>
      </c>
      <c r="W334" s="6"/>
      <c r="X334" s="7">
        <f>ROUND(0.17,2)</f>
        <v>0.17</v>
      </c>
      <c r="Y334" s="6"/>
      <c r="Z334" s="6"/>
      <c r="AA334" s="6"/>
      <c r="AB334" s="6"/>
      <c r="AC334" s="6"/>
      <c r="AD334" s="6"/>
      <c r="AE334" s="7">
        <f>ROUND(70.17,2)</f>
        <v>70.17</v>
      </c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7">
        <f>ROUND(267.63,2)</f>
        <v>267.63</v>
      </c>
      <c r="AQ334" s="6"/>
      <c r="AR334" s="7">
        <f>ROUND(0.7,2)</f>
        <v>0.7</v>
      </c>
      <c r="AS334" s="6"/>
      <c r="AT334" s="6"/>
      <c r="AU334" s="7">
        <f>ROUND(60,2)</f>
        <v>60</v>
      </c>
      <c r="AV334" s="7">
        <f>ROUND(8,2)</f>
        <v>8</v>
      </c>
      <c r="AW334" s="6"/>
      <c r="AX334" s="6"/>
      <c r="AY334" s="7">
        <f>ROUND(48,2)</f>
        <v>48</v>
      </c>
      <c r="AZ334" s="6"/>
      <c r="BA334" s="6"/>
      <c r="BB334" s="7">
        <f>ROUND(42,2)</f>
        <v>42</v>
      </c>
      <c r="BC334" s="6"/>
      <c r="BD334" s="7">
        <f>ROUND(48,2)</f>
        <v>48</v>
      </c>
      <c r="BE334" s="7">
        <f>ROUND(1.33,2)</f>
        <v>1.33</v>
      </c>
      <c r="BF334" s="6"/>
      <c r="BG334" s="6"/>
      <c r="BH334" s="6"/>
      <c r="BI334" s="6"/>
      <c r="BJ334" s="6"/>
      <c r="BK334" s="6"/>
      <c r="BL334" s="6"/>
      <c r="BM334" s="6"/>
      <c r="BN334" s="6"/>
      <c r="BO334" s="7">
        <f>ROUND(6.75,2)</f>
        <v>6.75</v>
      </c>
      <c r="BP334" s="7">
        <f>ROUND(1.25,2)</f>
        <v>1.25</v>
      </c>
      <c r="BQ334" s="7">
        <f>ROUND(5.42,2)</f>
        <v>5.42</v>
      </c>
      <c r="BR334" s="6"/>
      <c r="BS334" s="7">
        <f>ROUND(16,2)</f>
        <v>16</v>
      </c>
      <c r="BT334" s="7">
        <f>ROUND(2.25,2)</f>
        <v>2.25</v>
      </c>
      <c r="BU334" s="6"/>
      <c r="BV334" s="6"/>
      <c r="BW334" s="6"/>
      <c r="BX334" s="6"/>
      <c r="BY334" s="6"/>
      <c r="BZ334" s="7">
        <f>ROUND(120,2)</f>
        <v>120</v>
      </c>
      <c r="CA334" s="7">
        <f>ROUND(0.03,2)</f>
        <v>0.03</v>
      </c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7">
        <f>ROUND(2077.46,2)</f>
        <v>2077.46</v>
      </c>
      <c r="CR334" s="6"/>
      <c r="CS334" s="6"/>
      <c r="CT334" s="6"/>
      <c r="CU334" s="6"/>
      <c r="CV334" s="7">
        <f>ROUND(42722.5099999999,2)</f>
        <v>42722.51</v>
      </c>
      <c r="CW334" s="6"/>
      <c r="CX334" s="6"/>
      <c r="CY334" s="7">
        <f>ROUND(2135.17999999999,2)</f>
        <v>2135.1799999999998</v>
      </c>
      <c r="CZ334" s="6"/>
      <c r="DA334" s="6"/>
      <c r="DB334" s="6"/>
      <c r="DC334" s="6"/>
      <c r="DD334" s="7">
        <f>ROUND(803.21,2)</f>
        <v>803.21</v>
      </c>
      <c r="DE334" s="6"/>
      <c r="DF334" s="7">
        <f>ROUND(5.64,2)</f>
        <v>5.64</v>
      </c>
      <c r="DG334" s="6"/>
      <c r="DH334" s="6"/>
      <c r="DI334" s="6"/>
      <c r="DJ334" s="6"/>
      <c r="DK334" s="6"/>
      <c r="DL334" s="6"/>
      <c r="DM334" s="6"/>
      <c r="DN334" s="7">
        <f>ROUND(2274.41,2)</f>
        <v>2274.41</v>
      </c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7">
        <f>ROUND(8699.17,2)</f>
        <v>8699.17</v>
      </c>
      <c r="DZ334" s="6"/>
      <c r="EA334" s="7">
        <f>ROUND(33.69,2)</f>
        <v>33.69</v>
      </c>
      <c r="EB334" s="6"/>
      <c r="EC334" s="6"/>
      <c r="ED334" s="7">
        <f>ROUND(1945.98,2)</f>
        <v>1945.98</v>
      </c>
      <c r="EE334" s="7">
        <f>ROUND(396.64,2)</f>
        <v>396.64</v>
      </c>
      <c r="EF334" s="6"/>
      <c r="EG334" s="6"/>
      <c r="EH334" s="7">
        <f>ROUND(1586.4,2)</f>
        <v>1586.4</v>
      </c>
      <c r="EI334" s="6"/>
      <c r="EJ334" s="6"/>
      <c r="EK334" s="7">
        <f>ROUND(1378.5,2)</f>
        <v>1378.5</v>
      </c>
      <c r="EL334" s="6"/>
      <c r="EM334" s="6"/>
      <c r="EN334" s="7">
        <f>ROUND(1591.92,2)</f>
        <v>1591.92</v>
      </c>
      <c r="EO334" s="7">
        <f>ROUND(42.88,2)</f>
        <v>42.88</v>
      </c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7">
        <f>ROUND(216.61,2)</f>
        <v>216.61</v>
      </c>
      <c r="FC334" s="7">
        <f>ROUND(60.17,2)</f>
        <v>60.17</v>
      </c>
      <c r="FD334" s="7">
        <f>ROUND(174.74,2)</f>
        <v>174.74</v>
      </c>
      <c r="FE334" s="6"/>
      <c r="FF334" s="6"/>
      <c r="FG334" s="6"/>
      <c r="FH334" s="6"/>
      <c r="FI334" s="6"/>
      <c r="FJ334" s="7">
        <f>ROUND(1025,2)</f>
        <v>1025</v>
      </c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7">
        <f>ROUND(65092.6499999999,2)</f>
        <v>65092.65</v>
      </c>
    </row>
    <row r="335" spans="1:181" x14ac:dyDescent="0.3">
      <c r="A335" s="4" t="s">
        <v>872</v>
      </c>
      <c r="B335" s="5" t="s">
        <v>1029</v>
      </c>
      <c r="C335" s="5" t="s">
        <v>181</v>
      </c>
      <c r="D335" s="5" t="s">
        <v>219</v>
      </c>
      <c r="E335" s="5" t="s">
        <v>0</v>
      </c>
      <c r="F335" s="5" t="s">
        <v>0</v>
      </c>
      <c r="G335" s="5" t="s">
        <v>183</v>
      </c>
      <c r="H335" s="8">
        <v>33.380000000000003</v>
      </c>
      <c r="I335" s="7">
        <f>ROUND(60831.62,2)</f>
        <v>60831.62</v>
      </c>
      <c r="J335" s="6"/>
      <c r="K335" s="6"/>
      <c r="L335" s="6"/>
      <c r="M335" s="6"/>
      <c r="N335" s="7">
        <f>ROUND(609.459999999999,2)</f>
        <v>609.46</v>
      </c>
      <c r="O335" s="6"/>
      <c r="P335" s="6"/>
      <c r="Q335" s="7">
        <f>ROUND(70.0099999999999,2)</f>
        <v>70.010000000000005</v>
      </c>
      <c r="R335" s="6"/>
      <c r="S335" s="6"/>
      <c r="T335" s="6"/>
      <c r="U335" s="6"/>
      <c r="V335" s="7">
        <f>ROUND(6.9,2)</f>
        <v>6.9</v>
      </c>
      <c r="W335" s="7">
        <f>ROUND(12.4,2)</f>
        <v>12.4</v>
      </c>
      <c r="X335" s="7">
        <f>ROUND(0.67,2)</f>
        <v>0.67</v>
      </c>
      <c r="Y335" s="7">
        <f>ROUND(0.03,2)</f>
        <v>0.03</v>
      </c>
      <c r="Z335" s="6"/>
      <c r="AA335" s="6"/>
      <c r="AB335" s="6"/>
      <c r="AC335" s="6"/>
      <c r="AD335" s="6"/>
      <c r="AE335" s="7">
        <f>ROUND(195.729999999999,2)</f>
        <v>195.73</v>
      </c>
      <c r="AF335" s="6"/>
      <c r="AG335" s="7">
        <f>ROUND(17.24,2)</f>
        <v>17.239999999999998</v>
      </c>
      <c r="AH335" s="6"/>
      <c r="AI335" s="6"/>
      <c r="AJ335" s="6"/>
      <c r="AK335" s="6"/>
      <c r="AL335" s="6"/>
      <c r="AM335" s="6"/>
      <c r="AN335" s="6"/>
      <c r="AO335" s="6"/>
      <c r="AP335" s="7">
        <f>ROUND(521.42,2)</f>
        <v>521.41999999999996</v>
      </c>
      <c r="AQ335" s="6"/>
      <c r="AR335" s="7">
        <f>ROUND(11.4799999999999,2)</f>
        <v>11.48</v>
      </c>
      <c r="AS335" s="6"/>
      <c r="AT335" s="6"/>
      <c r="AU335" s="7">
        <f>ROUND(54,2)</f>
        <v>54</v>
      </c>
      <c r="AV335" s="6"/>
      <c r="AW335" s="7">
        <f>ROUND(38,2)</f>
        <v>38</v>
      </c>
      <c r="AX335" s="6"/>
      <c r="AY335" s="7">
        <f>ROUND(40,2)</f>
        <v>40</v>
      </c>
      <c r="AZ335" s="6"/>
      <c r="BA335" s="6"/>
      <c r="BB335" s="7">
        <f>ROUND(40,2)</f>
        <v>40</v>
      </c>
      <c r="BC335" s="6"/>
      <c r="BD335" s="7">
        <f t="shared" ref="BD335:BD343" si="25">ROUND(8,2)</f>
        <v>8</v>
      </c>
      <c r="BE335" s="6"/>
      <c r="BF335" s="6"/>
      <c r="BG335" s="7">
        <f>ROUND(40,2)</f>
        <v>40</v>
      </c>
      <c r="BH335" s="6"/>
      <c r="BI335" s="6"/>
      <c r="BJ335" s="6"/>
      <c r="BK335" s="6"/>
      <c r="BL335" s="6"/>
      <c r="BM335" s="6"/>
      <c r="BN335" s="6"/>
      <c r="BO335" s="7">
        <f>ROUND(24.7299999999999,2)</f>
        <v>24.73</v>
      </c>
      <c r="BP335" s="7">
        <f>ROUND(3.52,2)</f>
        <v>3.52</v>
      </c>
      <c r="BQ335" s="7">
        <f>ROUND(20,2)</f>
        <v>20</v>
      </c>
      <c r="BR335" s="6"/>
      <c r="BS335" s="7">
        <f>ROUND(90,2)</f>
        <v>90</v>
      </c>
      <c r="BT335" s="7">
        <f>ROUND(20.47,2)</f>
        <v>20.47</v>
      </c>
      <c r="BU335" s="7">
        <f>ROUND(230,2)</f>
        <v>230</v>
      </c>
      <c r="BV335" s="6"/>
      <c r="BW335" s="7">
        <f>ROUND(16,2)</f>
        <v>16</v>
      </c>
      <c r="BX335" s="7">
        <f>ROUND(158,2)</f>
        <v>158</v>
      </c>
      <c r="BY335" s="6"/>
      <c r="BZ335" s="6"/>
      <c r="CA335" s="7">
        <f>ROUND(85,2)</f>
        <v>85</v>
      </c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7">
        <f>ROUND(2313.05999999999,2)</f>
        <v>2313.06</v>
      </c>
      <c r="CR335" s="6"/>
      <c r="CS335" s="6"/>
      <c r="CT335" s="6"/>
      <c r="CU335" s="6"/>
      <c r="CV335" s="7">
        <f>ROUND(19920.9699999999,2)</f>
        <v>19920.97</v>
      </c>
      <c r="CW335" s="6"/>
      <c r="CX335" s="6"/>
      <c r="CY335" s="7">
        <f>ROUND(3413.08,2)</f>
        <v>3413.08</v>
      </c>
      <c r="CZ335" s="6"/>
      <c r="DA335" s="6"/>
      <c r="DB335" s="6"/>
      <c r="DC335" s="6"/>
      <c r="DD335" s="7">
        <f>ROUND(224.14,2)</f>
        <v>224.14</v>
      </c>
      <c r="DE335" s="7">
        <f>ROUND(616.46,2)</f>
        <v>616.46</v>
      </c>
      <c r="DF335" s="7">
        <f>ROUND(22.15,2)</f>
        <v>22.15</v>
      </c>
      <c r="DG335" s="7">
        <f>ROUND(1.44,2)</f>
        <v>1.44</v>
      </c>
      <c r="DH335" s="6"/>
      <c r="DI335" s="6"/>
      <c r="DJ335" s="6"/>
      <c r="DK335" s="6"/>
      <c r="DL335" s="6"/>
      <c r="DM335" s="6"/>
      <c r="DN335" s="7">
        <f>ROUND(6388.89999999999,2)</f>
        <v>6388.9</v>
      </c>
      <c r="DO335" s="6"/>
      <c r="DP335" s="7">
        <f>ROUND(844.61,2)</f>
        <v>844.61</v>
      </c>
      <c r="DQ335" s="6"/>
      <c r="DR335" s="6"/>
      <c r="DS335" s="6"/>
      <c r="DT335" s="6"/>
      <c r="DU335" s="6"/>
      <c r="DV335" s="6"/>
      <c r="DW335" s="6"/>
      <c r="DX335" s="6"/>
      <c r="DY335" s="7">
        <f>ROUND(16982.6499999999,2)</f>
        <v>16982.650000000001</v>
      </c>
      <c r="DZ335" s="6"/>
      <c r="EA335" s="7">
        <f>ROUND(568.199999999999,2)</f>
        <v>568.20000000000005</v>
      </c>
      <c r="EB335" s="6"/>
      <c r="EC335" s="6"/>
      <c r="ED335" s="7">
        <f>ROUND(1757.82,2)</f>
        <v>1757.82</v>
      </c>
      <c r="EE335" s="6"/>
      <c r="EF335" s="7">
        <f>ROUND(1219.42,2)</f>
        <v>1219.42</v>
      </c>
      <c r="EG335" s="6"/>
      <c r="EH335" s="7">
        <f>ROUND(1322,2)</f>
        <v>1322</v>
      </c>
      <c r="EI335" s="6"/>
      <c r="EJ335" s="6"/>
      <c r="EK335" s="7">
        <f>ROUND(1283.6,2)</f>
        <v>1283.5999999999999</v>
      </c>
      <c r="EL335" s="6"/>
      <c r="EM335" s="6"/>
      <c r="EN335" s="7">
        <f>ROUND(256.72,2)</f>
        <v>256.72000000000003</v>
      </c>
      <c r="EO335" s="6"/>
      <c r="EP335" s="6"/>
      <c r="EQ335" s="7">
        <f>ROUND(1298.96,2)</f>
        <v>1298.96</v>
      </c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7">
        <f>ROUND(809.74,2)</f>
        <v>809.74</v>
      </c>
      <c r="FC335" s="7">
        <f>ROUND(174.36,2)</f>
        <v>174.36</v>
      </c>
      <c r="FD335" s="7">
        <f>ROUND(651.4,2)</f>
        <v>651.4</v>
      </c>
      <c r="FE335" s="6"/>
      <c r="FF335" s="6"/>
      <c r="FG335" s="6"/>
      <c r="FH335" s="6"/>
      <c r="FI335" s="6"/>
      <c r="FJ335" s="7">
        <f>ROUND(75,2)</f>
        <v>75</v>
      </c>
      <c r="FK335" s="6"/>
      <c r="FL335" s="6"/>
      <c r="FM335" s="6"/>
      <c r="FN335" s="6"/>
      <c r="FO335" s="6"/>
      <c r="FP335" s="6"/>
      <c r="FQ335" s="6"/>
      <c r="FR335" s="6"/>
      <c r="FS335" s="6"/>
      <c r="FT335" s="7">
        <f>ROUND(3000,2)</f>
        <v>3000</v>
      </c>
      <c r="FU335" s="6"/>
      <c r="FV335" s="6"/>
      <c r="FW335" s="6"/>
      <c r="FX335" s="6"/>
      <c r="FY335" s="7">
        <f>ROUND(60831.62,2)</f>
        <v>60831.62</v>
      </c>
    </row>
    <row r="336" spans="1:181" x14ac:dyDescent="0.3">
      <c r="A336" s="4" t="s">
        <v>874</v>
      </c>
      <c r="B336" s="5" t="s">
        <v>1029</v>
      </c>
      <c r="C336" s="5" t="s">
        <v>181</v>
      </c>
      <c r="D336" s="5" t="s">
        <v>461</v>
      </c>
      <c r="E336" s="5" t="s">
        <v>0</v>
      </c>
      <c r="F336" s="5" t="s">
        <v>0</v>
      </c>
      <c r="G336" s="5" t="s">
        <v>183</v>
      </c>
      <c r="H336" s="8">
        <v>33.880000000000003</v>
      </c>
      <c r="I336" s="7">
        <f>ROUND(50070.35,2)</f>
        <v>50070.35</v>
      </c>
      <c r="J336" s="6"/>
      <c r="K336" s="6"/>
      <c r="L336" s="6"/>
      <c r="M336" s="6"/>
      <c r="N336" s="7">
        <f>ROUND(1332.81999999999,2)</f>
        <v>1332.82</v>
      </c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7">
        <f>ROUND(40,2)</f>
        <v>40</v>
      </c>
      <c r="AV336" s="6"/>
      <c r="AW336" s="7">
        <f>ROUND(10,2)</f>
        <v>10</v>
      </c>
      <c r="AX336" s="6"/>
      <c r="AY336" s="7">
        <f>ROUND(5,2)</f>
        <v>5</v>
      </c>
      <c r="AZ336" s="6"/>
      <c r="BA336" s="6"/>
      <c r="BB336" s="7">
        <f>ROUND(10,2)</f>
        <v>10</v>
      </c>
      <c r="BC336" s="6"/>
      <c r="BD336" s="7">
        <f t="shared" si="25"/>
        <v>8</v>
      </c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7">
        <f>ROUND(5,2)</f>
        <v>5</v>
      </c>
      <c r="BT336" s="6"/>
      <c r="BU336" s="6"/>
      <c r="BV336" s="6"/>
      <c r="BW336" s="6"/>
      <c r="BX336" s="6"/>
      <c r="BY336" s="7">
        <f>ROUND(5,2)</f>
        <v>5</v>
      </c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7">
        <f>ROUND(60,2)</f>
        <v>60</v>
      </c>
      <c r="CQ336" s="7">
        <f>ROUND(1475.82,2)</f>
        <v>1475.82</v>
      </c>
      <c r="CR336" s="6"/>
      <c r="CS336" s="6"/>
      <c r="CT336" s="6"/>
      <c r="CU336" s="6"/>
      <c r="CV336" s="7">
        <f>ROUND(43383.28,2)</f>
        <v>43383.28</v>
      </c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7">
        <f>ROUND(1304.45,2)</f>
        <v>1304.45</v>
      </c>
      <c r="EE336" s="6"/>
      <c r="EF336" s="7">
        <f>ROUND(327.35,2)</f>
        <v>327.35000000000002</v>
      </c>
      <c r="EG336" s="6"/>
      <c r="EH336" s="7">
        <f>ROUND(165.25,2)</f>
        <v>165.25</v>
      </c>
      <c r="EI336" s="6"/>
      <c r="EJ336" s="6"/>
      <c r="EK336" s="7">
        <f>ROUND(330.5,2)</f>
        <v>330.5</v>
      </c>
      <c r="EL336" s="6"/>
      <c r="EM336" s="6"/>
      <c r="EN336" s="7">
        <f>ROUND(256.72,2)</f>
        <v>256.72000000000003</v>
      </c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7">
        <f>ROUND(800,2)</f>
        <v>800</v>
      </c>
      <c r="FK336" s="6"/>
      <c r="FL336" s="6"/>
      <c r="FM336" s="6"/>
      <c r="FN336" s="6"/>
      <c r="FO336" s="6"/>
      <c r="FP336" s="6"/>
      <c r="FQ336" s="6"/>
      <c r="FR336" s="6"/>
      <c r="FS336" s="6"/>
      <c r="FT336" s="7">
        <f>ROUND(1500,2)</f>
        <v>1500</v>
      </c>
      <c r="FU336" s="6"/>
      <c r="FV336" s="6"/>
      <c r="FW336" s="6"/>
      <c r="FX336" s="7">
        <f>ROUND(2002.8,2)</f>
        <v>2002.8</v>
      </c>
      <c r="FY336" s="7">
        <f>ROUND(50070.35,2)</f>
        <v>50070.35</v>
      </c>
    </row>
    <row r="337" spans="1:181" x14ac:dyDescent="0.3">
      <c r="A337" s="4" t="s">
        <v>875</v>
      </c>
      <c r="B337" s="5" t="s">
        <v>1029</v>
      </c>
      <c r="C337" s="5" t="s">
        <v>181</v>
      </c>
      <c r="D337" s="5" t="s">
        <v>354</v>
      </c>
      <c r="E337" s="5" t="s">
        <v>0</v>
      </c>
      <c r="F337" s="5" t="s">
        <v>0</v>
      </c>
      <c r="G337" s="5" t="s">
        <v>183</v>
      </c>
      <c r="H337" s="6">
        <v>33.380000000000003</v>
      </c>
      <c r="I337" s="7">
        <f>ROUND(64258.4499999999,2)</f>
        <v>64258.45</v>
      </c>
      <c r="J337" s="6"/>
      <c r="K337" s="6"/>
      <c r="L337" s="6"/>
      <c r="M337" s="6"/>
      <c r="N337" s="7">
        <f>ROUND(1133.90999999999,2)</f>
        <v>1133.9100000000001</v>
      </c>
      <c r="O337" s="6"/>
      <c r="P337" s="6"/>
      <c r="Q337" s="7">
        <f>ROUND(85.6999999999999,2)</f>
        <v>85.7</v>
      </c>
      <c r="R337" s="6"/>
      <c r="S337" s="6"/>
      <c r="T337" s="6"/>
      <c r="U337" s="6"/>
      <c r="V337" s="7">
        <f>ROUND(21.42,2)</f>
        <v>21.42</v>
      </c>
      <c r="W337" s="7">
        <f>ROUND(6.27,2)</f>
        <v>6.27</v>
      </c>
      <c r="X337" s="7">
        <f>ROUND(1.89,2)</f>
        <v>1.89</v>
      </c>
      <c r="Y337" s="7">
        <f>ROUND(1,2)</f>
        <v>1</v>
      </c>
      <c r="Z337" s="6"/>
      <c r="AA337" s="6"/>
      <c r="AB337" s="6"/>
      <c r="AC337" s="6"/>
      <c r="AD337" s="6"/>
      <c r="AE337" s="7">
        <f>ROUND(126.249999999999,2)</f>
        <v>126.25</v>
      </c>
      <c r="AF337" s="6"/>
      <c r="AG337" s="7">
        <f>ROUND(44.8,2)</f>
        <v>44.8</v>
      </c>
      <c r="AH337" s="6"/>
      <c r="AI337" s="6"/>
      <c r="AJ337" s="6"/>
      <c r="AK337" s="6"/>
      <c r="AL337" s="6"/>
      <c r="AM337" s="6"/>
      <c r="AN337" s="6"/>
      <c r="AO337" s="6"/>
      <c r="AP337" s="7">
        <f>ROUND(255.1,2)</f>
        <v>255.1</v>
      </c>
      <c r="AQ337" s="6"/>
      <c r="AR337" s="7">
        <f>ROUND(104.23,2)</f>
        <v>104.23</v>
      </c>
      <c r="AS337" s="6"/>
      <c r="AT337" s="6"/>
      <c r="AU337" s="7">
        <f>ROUND(49,2)</f>
        <v>49</v>
      </c>
      <c r="AV337" s="6"/>
      <c r="AW337" s="7">
        <f>ROUND(5,2)</f>
        <v>5</v>
      </c>
      <c r="AX337" s="6"/>
      <c r="AY337" s="7">
        <f>ROUND(5,2)</f>
        <v>5</v>
      </c>
      <c r="AZ337" s="6"/>
      <c r="BA337" s="6"/>
      <c r="BB337" s="7">
        <f>ROUND(28,2)</f>
        <v>28</v>
      </c>
      <c r="BC337" s="6"/>
      <c r="BD337" s="7">
        <f t="shared" si="25"/>
        <v>8</v>
      </c>
      <c r="BE337" s="6"/>
      <c r="BF337" s="6"/>
      <c r="BG337" s="7">
        <f>ROUND(50.33,2)</f>
        <v>50.33</v>
      </c>
      <c r="BH337" s="6"/>
      <c r="BI337" s="6"/>
      <c r="BJ337" s="6"/>
      <c r="BK337" s="6"/>
      <c r="BL337" s="6"/>
      <c r="BM337" s="6"/>
      <c r="BN337" s="6"/>
      <c r="BO337" s="7">
        <f>ROUND(10.88,2)</f>
        <v>10.88</v>
      </c>
      <c r="BP337" s="6"/>
      <c r="BQ337" s="7">
        <f>ROUND(8.08,2)</f>
        <v>8.08</v>
      </c>
      <c r="BR337" s="7">
        <f>ROUND(9,2)</f>
        <v>9</v>
      </c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7">
        <f>ROUND(5,2)</f>
        <v>5</v>
      </c>
      <c r="CQ337" s="7">
        <f>ROUND(1958.85999999999,2)</f>
        <v>1958.86</v>
      </c>
      <c r="CR337" s="6"/>
      <c r="CS337" s="6"/>
      <c r="CT337" s="6"/>
      <c r="CU337" s="6"/>
      <c r="CV337" s="7">
        <f>ROUND(32257.7799999999,2)</f>
        <v>32257.78</v>
      </c>
      <c r="CW337" s="6"/>
      <c r="CX337" s="6"/>
      <c r="CY337" s="7">
        <f>ROUND(3835.87999999999,2)</f>
        <v>3835.88</v>
      </c>
      <c r="CZ337" s="6"/>
      <c r="DA337" s="6"/>
      <c r="DB337" s="6"/>
      <c r="DC337" s="6"/>
      <c r="DD337" s="7">
        <f>ROUND(640.46,2)</f>
        <v>640.46</v>
      </c>
      <c r="DE337" s="7">
        <f>ROUND(281.21,2)</f>
        <v>281.20999999999998</v>
      </c>
      <c r="DF337" s="7">
        <f>ROUND(56.3199999999999,2)</f>
        <v>56.32</v>
      </c>
      <c r="DG337" s="7">
        <f>ROUND(44.63,2)</f>
        <v>44.63</v>
      </c>
      <c r="DH337" s="6"/>
      <c r="DI337" s="6"/>
      <c r="DJ337" s="6"/>
      <c r="DK337" s="6"/>
      <c r="DL337" s="6"/>
      <c r="DM337" s="6"/>
      <c r="DN337" s="7">
        <f>ROUND(3646.79999999999,2)</f>
        <v>3646.8</v>
      </c>
      <c r="DO337" s="6"/>
      <c r="DP337" s="7">
        <f>ROUND(2012.38,2)</f>
        <v>2012.38</v>
      </c>
      <c r="DQ337" s="6"/>
      <c r="DR337" s="6"/>
      <c r="DS337" s="6"/>
      <c r="DT337" s="6"/>
      <c r="DU337" s="6"/>
      <c r="DV337" s="6"/>
      <c r="DW337" s="6"/>
      <c r="DX337" s="6"/>
      <c r="DY337" s="7">
        <f>ROUND(7651.05,2)</f>
        <v>7651.05</v>
      </c>
      <c r="DZ337" s="6"/>
      <c r="EA337" s="7">
        <f>ROUND(4693.56,2)</f>
        <v>4693.5600000000004</v>
      </c>
      <c r="EB337" s="6"/>
      <c r="EC337" s="6"/>
      <c r="ED337" s="7">
        <f>ROUND(1424.03,2)</f>
        <v>1424.03</v>
      </c>
      <c r="EE337" s="6"/>
      <c r="EF337" s="7">
        <f>ROUND(148.75,2)</f>
        <v>148.75</v>
      </c>
      <c r="EG337" s="6"/>
      <c r="EH337" s="7">
        <f>ROUND(136.4,2)</f>
        <v>136.4</v>
      </c>
      <c r="EI337" s="6"/>
      <c r="EJ337" s="6"/>
      <c r="EK337" s="7">
        <f>ROUND(798.27,2)</f>
        <v>798.27</v>
      </c>
      <c r="EL337" s="6"/>
      <c r="EM337" s="6"/>
      <c r="EN337" s="7">
        <f>ROUND(218.24,2)</f>
        <v>218.24</v>
      </c>
      <c r="EO337" s="6"/>
      <c r="EP337" s="6"/>
      <c r="EQ337" s="7">
        <f>ROUND(1471.8,2)</f>
        <v>1471.8</v>
      </c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7">
        <f>ROUND(323.68,2)</f>
        <v>323.68</v>
      </c>
      <c r="FC337" s="6"/>
      <c r="FD337" s="7">
        <f>ROUND(240.38,2)</f>
        <v>240.38</v>
      </c>
      <c r="FE337" s="7">
        <f>ROUND(401.63,2)</f>
        <v>401.63</v>
      </c>
      <c r="FF337" s="6"/>
      <c r="FG337" s="6"/>
      <c r="FH337" s="6"/>
      <c r="FI337" s="6"/>
      <c r="FJ337" s="7">
        <f>ROUND(825,2)</f>
        <v>825</v>
      </c>
      <c r="FK337" s="6"/>
      <c r="FL337" s="6"/>
      <c r="FM337" s="6"/>
      <c r="FN337" s="6"/>
      <c r="FO337" s="6"/>
      <c r="FP337" s="6"/>
      <c r="FQ337" s="6"/>
      <c r="FR337" s="6"/>
      <c r="FS337" s="6"/>
      <c r="FT337" s="7">
        <f t="shared" ref="FT337:FT351" si="26">ROUND(3000,2)</f>
        <v>3000</v>
      </c>
      <c r="FU337" s="6"/>
      <c r="FV337" s="6"/>
      <c r="FW337" s="6"/>
      <c r="FX337" s="7">
        <f>ROUND(150.2,2)</f>
        <v>150.19999999999999</v>
      </c>
      <c r="FY337" s="7">
        <f>ROUND(64258.45,2)</f>
        <v>64258.45</v>
      </c>
    </row>
    <row r="338" spans="1:181" x14ac:dyDescent="0.3">
      <c r="A338" s="4" t="s">
        <v>876</v>
      </c>
      <c r="B338" s="5" t="s">
        <v>1029</v>
      </c>
      <c r="C338" s="5" t="s">
        <v>181</v>
      </c>
      <c r="D338" s="5" t="s">
        <v>877</v>
      </c>
      <c r="E338" s="5" t="s">
        <v>0</v>
      </c>
      <c r="F338" s="5" t="s">
        <v>0</v>
      </c>
      <c r="G338" s="5" t="s">
        <v>183</v>
      </c>
      <c r="H338" s="8">
        <v>33.880000000000003</v>
      </c>
      <c r="I338" s="7">
        <f>ROUND(93805.24,2)</f>
        <v>93805.24</v>
      </c>
      <c r="J338" s="6"/>
      <c r="K338" s="6"/>
      <c r="L338" s="6"/>
      <c r="M338" s="6"/>
      <c r="N338" s="7">
        <f>ROUND(1828.58,2)</f>
        <v>1828.58</v>
      </c>
      <c r="O338" s="6"/>
      <c r="P338" s="6"/>
      <c r="Q338" s="7">
        <f>ROUND(360.07,2)</f>
        <v>360.07</v>
      </c>
      <c r="R338" s="6"/>
      <c r="S338" s="6"/>
      <c r="T338" s="6"/>
      <c r="U338" s="6"/>
      <c r="V338" s="6"/>
      <c r="W338" s="6"/>
      <c r="X338" s="6"/>
      <c r="Y338" s="6"/>
      <c r="Z338" s="7">
        <f>ROUND(0.25,2)</f>
        <v>0.25</v>
      </c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7">
        <f>ROUND(63.67,2)</f>
        <v>63.67</v>
      </c>
      <c r="AV338" s="7">
        <f>ROUND(4.33,2)</f>
        <v>4.33</v>
      </c>
      <c r="AW338" s="7">
        <f>ROUND(16,2)</f>
        <v>16</v>
      </c>
      <c r="AX338" s="7">
        <f>ROUND(8,2)</f>
        <v>8</v>
      </c>
      <c r="AY338" s="7">
        <f>ROUND(211.25,2)</f>
        <v>211.25</v>
      </c>
      <c r="AZ338" s="7">
        <f>ROUND(4.75,2)</f>
        <v>4.75</v>
      </c>
      <c r="BA338" s="6"/>
      <c r="BB338" s="7">
        <f>ROUND(40,2)</f>
        <v>40</v>
      </c>
      <c r="BC338" s="6"/>
      <c r="BD338" s="7">
        <f t="shared" si="25"/>
        <v>8</v>
      </c>
      <c r="BE338" s="7">
        <f>ROUND(1.83,2)</f>
        <v>1.83</v>
      </c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7">
        <f>ROUND(8,2)</f>
        <v>8</v>
      </c>
      <c r="CQ338" s="7">
        <f>ROUND(2554.73,2)</f>
        <v>2554.73</v>
      </c>
      <c r="CR338" s="6"/>
      <c r="CS338" s="6"/>
      <c r="CT338" s="6"/>
      <c r="CU338" s="6"/>
      <c r="CV338" s="7">
        <f>ROUND(59572.1199999999,2)</f>
        <v>59572.12</v>
      </c>
      <c r="CW338" s="6"/>
      <c r="CX338" s="6"/>
      <c r="CY338" s="7">
        <f>ROUND(17673.76,2)</f>
        <v>17673.759999999998</v>
      </c>
      <c r="CZ338" s="6"/>
      <c r="DA338" s="6"/>
      <c r="DB338" s="6"/>
      <c r="DC338" s="6"/>
      <c r="DD338" s="6"/>
      <c r="DE338" s="6"/>
      <c r="DF338" s="6"/>
      <c r="DG338" s="6"/>
      <c r="DH338" s="7">
        <f>ROUND(16.53,2)</f>
        <v>16.53</v>
      </c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7">
        <f>ROUND(2077.65,2)</f>
        <v>2077.65</v>
      </c>
      <c r="EE338" s="7">
        <f>ROUND(214.68,2)</f>
        <v>214.68</v>
      </c>
      <c r="EF338" s="7">
        <f>ROUND(513.44,2)</f>
        <v>513.44000000000005</v>
      </c>
      <c r="EG338" s="7">
        <f>ROUND(396.6,2)</f>
        <v>396.6</v>
      </c>
      <c r="EH338" s="7">
        <f>ROUND(6929.25,2)</f>
        <v>6929.25</v>
      </c>
      <c r="EI338" s="7">
        <f>ROUND(235.48,2)</f>
        <v>235.48</v>
      </c>
      <c r="EJ338" s="6"/>
      <c r="EK338" s="7">
        <f>ROUND(1283.6,2)</f>
        <v>1283.5999999999999</v>
      </c>
      <c r="EL338" s="6"/>
      <c r="EM338" s="6"/>
      <c r="EN338" s="7">
        <f t="shared" ref="EN338:EN343" si="27">ROUND(256.72,2)</f>
        <v>256.72000000000003</v>
      </c>
      <c r="EO338" s="7">
        <f>ROUND(88.09,2)</f>
        <v>88.09</v>
      </c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7">
        <f>ROUND(1275,2)</f>
        <v>1275</v>
      </c>
      <c r="FK338" s="6"/>
      <c r="FL338" s="6"/>
      <c r="FM338" s="6"/>
      <c r="FN338" s="6"/>
      <c r="FO338" s="6"/>
      <c r="FP338" s="6"/>
      <c r="FQ338" s="6"/>
      <c r="FR338" s="6"/>
      <c r="FS338" s="6"/>
      <c r="FT338" s="7">
        <f t="shared" si="26"/>
        <v>3000</v>
      </c>
      <c r="FU338" s="6"/>
      <c r="FV338" s="6"/>
      <c r="FW338" s="6"/>
      <c r="FX338" s="7">
        <f>ROUND(272.32,2)</f>
        <v>272.32</v>
      </c>
      <c r="FY338" s="7">
        <f>ROUND(93805.24,2)</f>
        <v>93805.24</v>
      </c>
    </row>
    <row r="339" spans="1:181" x14ac:dyDescent="0.3">
      <c r="A339" s="4" t="s">
        <v>880</v>
      </c>
      <c r="B339" s="5" t="s">
        <v>1029</v>
      </c>
      <c r="C339" s="5" t="s">
        <v>181</v>
      </c>
      <c r="D339" s="5" t="s">
        <v>209</v>
      </c>
      <c r="E339" s="5" t="s">
        <v>0</v>
      </c>
      <c r="F339" s="5" t="s">
        <v>0</v>
      </c>
      <c r="G339" s="5" t="s">
        <v>183</v>
      </c>
      <c r="H339" s="8">
        <v>33.380000000000003</v>
      </c>
      <c r="I339" s="7">
        <f>ROUND(100387.63,2)</f>
        <v>100387.63</v>
      </c>
      <c r="J339" s="6"/>
      <c r="K339" s="6"/>
      <c r="L339" s="6"/>
      <c r="M339" s="6"/>
      <c r="N339" s="7">
        <f>ROUND(490.05,2)</f>
        <v>490.05</v>
      </c>
      <c r="O339" s="6"/>
      <c r="P339" s="6"/>
      <c r="Q339" s="7">
        <f>ROUND(226.989999999999,2)</f>
        <v>226.99</v>
      </c>
      <c r="R339" s="6"/>
      <c r="S339" s="6"/>
      <c r="T339" s="6"/>
      <c r="U339" s="6"/>
      <c r="V339" s="7">
        <f>ROUND(6.67,2)</f>
        <v>6.67</v>
      </c>
      <c r="W339" s="7">
        <f>ROUND(41.3,2)</f>
        <v>41.3</v>
      </c>
      <c r="X339" s="7">
        <f>ROUND(0.83,2)</f>
        <v>0.83</v>
      </c>
      <c r="Y339" s="7">
        <f>ROUND(1.87,2)</f>
        <v>1.87</v>
      </c>
      <c r="Z339" s="6"/>
      <c r="AA339" s="6"/>
      <c r="AB339" s="6"/>
      <c r="AC339" s="6"/>
      <c r="AD339" s="6"/>
      <c r="AE339" s="7">
        <f>ROUND(1336.98999999999,2)</f>
        <v>1336.99</v>
      </c>
      <c r="AF339" s="6"/>
      <c r="AG339" s="7">
        <f>ROUND(95.5,2)</f>
        <v>95.5</v>
      </c>
      <c r="AH339" s="6"/>
      <c r="AI339" s="6"/>
      <c r="AJ339" s="6"/>
      <c r="AK339" s="6"/>
      <c r="AL339" s="6"/>
      <c r="AM339" s="6"/>
      <c r="AN339" s="6"/>
      <c r="AO339" s="6"/>
      <c r="AP339" s="7">
        <f>ROUND(70.46,2)</f>
        <v>70.459999999999994</v>
      </c>
      <c r="AQ339" s="6"/>
      <c r="AR339" s="7">
        <f>ROUND(165.489999999999,2)</f>
        <v>165.49</v>
      </c>
      <c r="AS339" s="6"/>
      <c r="AT339" s="6"/>
      <c r="AU339" s="7">
        <f>ROUND(72,2)</f>
        <v>72</v>
      </c>
      <c r="AV339" s="6"/>
      <c r="AW339" s="7">
        <f>ROUND(36,2)</f>
        <v>36</v>
      </c>
      <c r="AX339" s="6"/>
      <c r="AY339" s="7">
        <f>ROUND(88,2)</f>
        <v>88</v>
      </c>
      <c r="AZ339" s="6"/>
      <c r="BA339" s="6"/>
      <c r="BB339" s="7">
        <f>ROUND(10,2)</f>
        <v>10</v>
      </c>
      <c r="BC339" s="6"/>
      <c r="BD339" s="7">
        <f t="shared" si="25"/>
        <v>8</v>
      </c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>
        <f>ROUND(5,2)</f>
        <v>5</v>
      </c>
      <c r="BP339" s="6"/>
      <c r="BQ339" s="7">
        <f>ROUND(18,2)</f>
        <v>18</v>
      </c>
      <c r="BR339" s="6"/>
      <c r="BS339" s="7">
        <f>ROUND(8,2)</f>
        <v>8</v>
      </c>
      <c r="BT339" s="6"/>
      <c r="BU339" s="6"/>
      <c r="BV339" s="6"/>
      <c r="BW339" s="6"/>
      <c r="BX339" s="6"/>
      <c r="BY339" s="6"/>
      <c r="BZ339" s="6"/>
      <c r="CA339" s="7">
        <f>ROUND(6.25,2)</f>
        <v>6.25</v>
      </c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7">
        <f>ROUND(2687.39999999999,2)</f>
        <v>2687.4</v>
      </c>
      <c r="CR339" s="6"/>
      <c r="CS339" s="6"/>
      <c r="CT339" s="6"/>
      <c r="CU339" s="6"/>
      <c r="CV339" s="7">
        <f>ROUND(16174.56,2)</f>
        <v>16174.56</v>
      </c>
      <c r="CW339" s="6"/>
      <c r="CX339" s="6"/>
      <c r="CY339" s="7">
        <f>ROUND(11181.87,2)</f>
        <v>11181.87</v>
      </c>
      <c r="CZ339" s="6"/>
      <c r="DA339" s="6"/>
      <c r="DB339" s="6"/>
      <c r="DC339" s="6"/>
      <c r="DD339" s="7">
        <f>ROUND(215.04,2)</f>
        <v>215.04</v>
      </c>
      <c r="DE339" s="7">
        <f>ROUND(2039.46,2)</f>
        <v>2039.46</v>
      </c>
      <c r="DF339" s="7">
        <f>ROUND(27.47,2)</f>
        <v>27.47</v>
      </c>
      <c r="DG339" s="7">
        <f>ROUND(92.1799999999999,2)</f>
        <v>92.18</v>
      </c>
      <c r="DH339" s="6"/>
      <c r="DI339" s="6"/>
      <c r="DJ339" s="6"/>
      <c r="DK339" s="6"/>
      <c r="DL339" s="6"/>
      <c r="DM339" s="6"/>
      <c r="DN339" s="7">
        <f>ROUND(43523.1899999999,2)</f>
        <v>43523.19</v>
      </c>
      <c r="DO339" s="6"/>
      <c r="DP339" s="7">
        <f>ROUND(4642.36,2)</f>
        <v>4642.3599999999997</v>
      </c>
      <c r="DQ339" s="6"/>
      <c r="DR339" s="6"/>
      <c r="DS339" s="6"/>
      <c r="DT339" s="6"/>
      <c r="DU339" s="6"/>
      <c r="DV339" s="6"/>
      <c r="DW339" s="6"/>
      <c r="DX339" s="6"/>
      <c r="DY339" s="7">
        <f>ROUND(2317.5,2)</f>
        <v>2317.5</v>
      </c>
      <c r="DZ339" s="6"/>
      <c r="EA339" s="7">
        <f>ROUND(8083.19,2)</f>
        <v>8083.19</v>
      </c>
      <c r="EB339" s="6"/>
      <c r="EC339" s="6"/>
      <c r="ED339" s="7">
        <f>ROUND(2343.84,2)</f>
        <v>2343.84</v>
      </c>
      <c r="EE339" s="6"/>
      <c r="EF339" s="7">
        <f>ROUND(1182.12,2)</f>
        <v>1182.1199999999999</v>
      </c>
      <c r="EG339" s="6"/>
      <c r="EH339" s="7">
        <f>ROUND(2908.4,2)</f>
        <v>2908.4</v>
      </c>
      <c r="EI339" s="6"/>
      <c r="EJ339" s="6"/>
      <c r="EK339" s="7">
        <f>ROUND(330.5,2)</f>
        <v>330.5</v>
      </c>
      <c r="EL339" s="6"/>
      <c r="EM339" s="6"/>
      <c r="EN339" s="7">
        <f t="shared" si="27"/>
        <v>256.72000000000003</v>
      </c>
      <c r="EO339" s="6"/>
      <c r="EP339" s="6"/>
      <c r="EQ339" s="6"/>
      <c r="ER339" s="6"/>
      <c r="ES339" s="6"/>
      <c r="ET339" s="6"/>
      <c r="EU339" s="6"/>
      <c r="EV339" s="7">
        <f>ROUND(83.33,2)</f>
        <v>83.33</v>
      </c>
      <c r="EW339" s="6"/>
      <c r="EX339" s="6"/>
      <c r="EY339" s="6"/>
      <c r="EZ339" s="6"/>
      <c r="FA339" s="6"/>
      <c r="FB339" s="7">
        <f>ROUND(166,2)</f>
        <v>166</v>
      </c>
      <c r="FC339" s="6"/>
      <c r="FD339" s="7">
        <f>ROUND(594.9,2)</f>
        <v>594.9</v>
      </c>
      <c r="FE339" s="6"/>
      <c r="FF339" s="6"/>
      <c r="FG339" s="6"/>
      <c r="FH339" s="6"/>
      <c r="FI339" s="6"/>
      <c r="FJ339" s="7">
        <f>ROUND(1225,2)</f>
        <v>1225</v>
      </c>
      <c r="FK339" s="6"/>
      <c r="FL339" s="6"/>
      <c r="FM339" s="6"/>
      <c r="FN339" s="6"/>
      <c r="FO339" s="6"/>
      <c r="FP339" s="6"/>
      <c r="FQ339" s="6"/>
      <c r="FR339" s="6"/>
      <c r="FS339" s="6"/>
      <c r="FT339" s="7">
        <f t="shared" si="26"/>
        <v>3000</v>
      </c>
      <c r="FU339" s="6"/>
      <c r="FV339" s="6"/>
      <c r="FW339" s="6"/>
      <c r="FX339" s="6"/>
      <c r="FY339" s="7">
        <f>ROUND(100387.63,2)</f>
        <v>100387.63</v>
      </c>
    </row>
    <row r="340" spans="1:181" x14ac:dyDescent="0.3">
      <c r="A340" s="4" t="s">
        <v>881</v>
      </c>
      <c r="B340" s="5" t="s">
        <v>1029</v>
      </c>
      <c r="C340" s="5" t="s">
        <v>181</v>
      </c>
      <c r="D340" s="5" t="s">
        <v>194</v>
      </c>
      <c r="E340" s="5" t="s">
        <v>882</v>
      </c>
      <c r="F340" s="5" t="s">
        <v>0</v>
      </c>
      <c r="G340" s="5" t="s">
        <v>183</v>
      </c>
      <c r="H340" s="8">
        <v>33.380000000000003</v>
      </c>
      <c r="I340" s="7">
        <f>ROUND(87679.6599999999,2)</f>
        <v>87679.66</v>
      </c>
      <c r="J340" s="6"/>
      <c r="K340" s="6"/>
      <c r="L340" s="6"/>
      <c r="M340" s="6"/>
      <c r="N340" s="7">
        <f>ROUND(1841.09,2)</f>
        <v>1841.09</v>
      </c>
      <c r="O340" s="6"/>
      <c r="P340" s="6"/>
      <c r="Q340" s="7">
        <f>ROUND(249.55,2)</f>
        <v>249.55</v>
      </c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7">
        <f>ROUND(34.34,2)</f>
        <v>34.340000000000003</v>
      </c>
      <c r="AF340" s="6"/>
      <c r="AG340" s="7">
        <f>ROUND(16.92,2)</f>
        <v>16.920000000000002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7">
        <f>ROUND(68,2)</f>
        <v>68</v>
      </c>
      <c r="AV340" s="6"/>
      <c r="AW340" s="7">
        <f>ROUND(35.7,2)</f>
        <v>35.700000000000003</v>
      </c>
      <c r="AX340" s="7">
        <f>ROUND(4.3,2)</f>
        <v>4.3</v>
      </c>
      <c r="AY340" s="7">
        <f>ROUND(73.57,2)</f>
        <v>73.569999999999993</v>
      </c>
      <c r="AZ340" s="7">
        <f>ROUND(6.43,2)</f>
        <v>6.43</v>
      </c>
      <c r="BA340" s="6"/>
      <c r="BB340" s="7">
        <f>ROUND(40,2)</f>
        <v>40</v>
      </c>
      <c r="BC340" s="6"/>
      <c r="BD340" s="7">
        <f t="shared" si="25"/>
        <v>8</v>
      </c>
      <c r="BE340" s="6"/>
      <c r="BF340" s="6"/>
      <c r="BG340" s="7">
        <f>ROUND(26.27,2)</f>
        <v>26.27</v>
      </c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7">
        <f>ROUND(0.87,2)</f>
        <v>0.87</v>
      </c>
      <c r="BU340" s="6"/>
      <c r="BV340" s="6"/>
      <c r="BW340" s="6"/>
      <c r="BX340" s="6"/>
      <c r="BY340" s="6"/>
      <c r="BZ340" s="6"/>
      <c r="CA340" s="7">
        <f>ROUND(8,2)</f>
        <v>8</v>
      </c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7">
        <f>ROUND(2413.04,2)</f>
        <v>2413.04</v>
      </c>
      <c r="CR340" s="6"/>
      <c r="CS340" s="6"/>
      <c r="CT340" s="6"/>
      <c r="CU340" s="6"/>
      <c r="CV340" s="7">
        <f>ROUND(59922.6299999999,2)</f>
        <v>59922.63</v>
      </c>
      <c r="CW340" s="6"/>
      <c r="CX340" s="6"/>
      <c r="CY340" s="7">
        <f>ROUND(12214.7999999999,2)</f>
        <v>12214.8</v>
      </c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7">
        <f>ROUND(1146.26,2)</f>
        <v>1146.26</v>
      </c>
      <c r="DO340" s="6"/>
      <c r="DP340" s="7">
        <f>ROUND(847.19,2)</f>
        <v>847.19</v>
      </c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7">
        <f>ROUND(2215.48,2)</f>
        <v>2215.48</v>
      </c>
      <c r="EE340" s="6"/>
      <c r="EF340" s="7">
        <f>ROUND(1153.29,2)</f>
        <v>1153.29</v>
      </c>
      <c r="EG340" s="7">
        <f>ROUND(206.98,2)</f>
        <v>206.98</v>
      </c>
      <c r="EH340" s="7">
        <f>ROUND(2391.58,2)</f>
        <v>2391.58</v>
      </c>
      <c r="EI340" s="7">
        <f>ROUND(309.51,2)</f>
        <v>309.51</v>
      </c>
      <c r="EJ340" s="6"/>
      <c r="EK340" s="7">
        <f>ROUND(1322,2)</f>
        <v>1322</v>
      </c>
      <c r="EL340" s="6"/>
      <c r="EM340" s="6"/>
      <c r="EN340" s="7">
        <f t="shared" si="27"/>
        <v>256.72000000000003</v>
      </c>
      <c r="EO340" s="6"/>
      <c r="EP340" s="6"/>
      <c r="EQ340" s="7">
        <f>ROUND(868.22,2)</f>
        <v>868.22</v>
      </c>
      <c r="ER340" s="6"/>
      <c r="ES340" s="6"/>
      <c r="ET340" s="6"/>
      <c r="EU340" s="6"/>
      <c r="EV340" s="7">
        <f>ROUND(500,2)</f>
        <v>500</v>
      </c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7">
        <f>ROUND(1325,2)</f>
        <v>1325</v>
      </c>
      <c r="FK340" s="6"/>
      <c r="FL340" s="6"/>
      <c r="FM340" s="6"/>
      <c r="FN340" s="6"/>
      <c r="FO340" s="6"/>
      <c r="FP340" s="6"/>
      <c r="FQ340" s="6"/>
      <c r="FR340" s="6"/>
      <c r="FS340" s="6"/>
      <c r="FT340" s="7">
        <f t="shared" si="26"/>
        <v>3000</v>
      </c>
      <c r="FU340" s="6"/>
      <c r="FV340" s="6"/>
      <c r="FW340" s="6"/>
      <c r="FX340" s="6"/>
      <c r="FY340" s="7">
        <f>ROUND(87679.6599999999,2)</f>
        <v>87679.66</v>
      </c>
    </row>
    <row r="341" spans="1:181" x14ac:dyDescent="0.3">
      <c r="A341" s="4" t="s">
        <v>883</v>
      </c>
      <c r="B341" s="5" t="s">
        <v>1029</v>
      </c>
      <c r="C341" s="5" t="s">
        <v>181</v>
      </c>
      <c r="D341" s="5" t="s">
        <v>884</v>
      </c>
      <c r="E341" s="5" t="s">
        <v>0</v>
      </c>
      <c r="F341" s="5" t="s">
        <v>0</v>
      </c>
      <c r="G341" s="5" t="s">
        <v>183</v>
      </c>
      <c r="H341" s="8">
        <v>33.880000000000003</v>
      </c>
      <c r="I341" s="7">
        <f>ROUND(77176.2799999999,2)</f>
        <v>77176.28</v>
      </c>
      <c r="J341" s="6"/>
      <c r="K341" s="6"/>
      <c r="L341" s="6"/>
      <c r="M341" s="6"/>
      <c r="N341" s="7">
        <f>ROUND(583.28,2)</f>
        <v>583.28</v>
      </c>
      <c r="O341" s="6"/>
      <c r="P341" s="6"/>
      <c r="Q341" s="7">
        <f>ROUND(44.08,2)</f>
        <v>44.08</v>
      </c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7">
        <f>ROUND(1269,2)</f>
        <v>1269</v>
      </c>
      <c r="AF341" s="6"/>
      <c r="AG341" s="7">
        <f>ROUND(50.68,2)</f>
        <v>50.68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7">
        <f>ROUND(68,2)</f>
        <v>68</v>
      </c>
      <c r="AV341" s="6"/>
      <c r="AW341" s="7">
        <f>ROUND(32,2)</f>
        <v>32</v>
      </c>
      <c r="AX341" s="6"/>
      <c r="AY341" s="7">
        <f>ROUND(100,2)</f>
        <v>100</v>
      </c>
      <c r="AZ341" s="7">
        <f>ROUND(4,2)</f>
        <v>4</v>
      </c>
      <c r="BA341" s="6"/>
      <c r="BB341" s="7">
        <f>ROUND(16,2)</f>
        <v>16</v>
      </c>
      <c r="BC341" s="6"/>
      <c r="BD341" s="7">
        <f t="shared" si="25"/>
        <v>8</v>
      </c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7">
        <f>ROUND(16,2)</f>
        <v>16</v>
      </c>
      <c r="BT341" s="6"/>
      <c r="BU341" s="6"/>
      <c r="BV341" s="6"/>
      <c r="BW341" s="6"/>
      <c r="BX341" s="6"/>
      <c r="BY341" s="7">
        <f>ROUND(24,2)</f>
        <v>24</v>
      </c>
      <c r="BZ341" s="6"/>
      <c r="CA341" s="7">
        <f>ROUND(24,2)</f>
        <v>24</v>
      </c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7">
        <f>ROUND(2239.03999999999,2)</f>
        <v>2239.04</v>
      </c>
      <c r="CR341" s="6"/>
      <c r="CS341" s="6"/>
      <c r="CT341" s="6"/>
      <c r="CU341" s="6"/>
      <c r="CV341" s="7">
        <f>ROUND(19079.33,2)</f>
        <v>19079.330000000002</v>
      </c>
      <c r="CW341" s="6"/>
      <c r="CX341" s="6"/>
      <c r="CY341" s="7">
        <f>ROUND(2168.49999999999,2)</f>
        <v>2168.5</v>
      </c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7">
        <f>ROUND(41341.6499999999,2)</f>
        <v>41341.65</v>
      </c>
      <c r="DO341" s="6"/>
      <c r="DP341" s="7">
        <f>ROUND(2477.66,2)</f>
        <v>2477.66</v>
      </c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7">
        <f>ROUND(2215.48,2)</f>
        <v>2215.48</v>
      </c>
      <c r="EE341" s="6"/>
      <c r="EF341" s="7">
        <f>ROUND(1034.56,2)</f>
        <v>1034.56</v>
      </c>
      <c r="EG341" s="6"/>
      <c r="EH341" s="7">
        <f>ROUND(3268.52,2)</f>
        <v>3268.52</v>
      </c>
      <c r="EI341" s="7">
        <f>ROUND(195.42,2)</f>
        <v>195.42</v>
      </c>
      <c r="EJ341" s="6"/>
      <c r="EK341" s="7">
        <f>ROUND(513.44,2)</f>
        <v>513.44000000000005</v>
      </c>
      <c r="EL341" s="6"/>
      <c r="EM341" s="6"/>
      <c r="EN341" s="7">
        <f t="shared" si="27"/>
        <v>256.72000000000003</v>
      </c>
      <c r="EO341" s="6"/>
      <c r="EP341" s="6"/>
      <c r="EQ341" s="6"/>
      <c r="ER341" s="6"/>
      <c r="ES341" s="6"/>
      <c r="ET341" s="6"/>
      <c r="EU341" s="6"/>
      <c r="EV341" s="7">
        <f>ROUND(500,2)</f>
        <v>500</v>
      </c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7">
        <f>ROUND(1125,2)</f>
        <v>1125</v>
      </c>
      <c r="FK341" s="6"/>
      <c r="FL341" s="6"/>
      <c r="FM341" s="6"/>
      <c r="FN341" s="6"/>
      <c r="FO341" s="6"/>
      <c r="FP341" s="6"/>
      <c r="FQ341" s="6"/>
      <c r="FR341" s="6"/>
      <c r="FS341" s="6"/>
      <c r="FT341" s="7">
        <f t="shared" si="26"/>
        <v>3000</v>
      </c>
      <c r="FU341" s="6"/>
      <c r="FV341" s="6"/>
      <c r="FW341" s="6"/>
      <c r="FX341" s="6"/>
      <c r="FY341" s="7">
        <f>ROUND(77176.2799999999,2)</f>
        <v>77176.28</v>
      </c>
    </row>
    <row r="342" spans="1:181" x14ac:dyDescent="0.3">
      <c r="A342" s="4" t="s">
        <v>885</v>
      </c>
      <c r="B342" s="5" t="s">
        <v>1029</v>
      </c>
      <c r="C342" s="5" t="s">
        <v>181</v>
      </c>
      <c r="D342" s="5" t="s">
        <v>886</v>
      </c>
      <c r="E342" s="5" t="s">
        <v>0</v>
      </c>
      <c r="F342" s="5" t="s">
        <v>0</v>
      </c>
      <c r="G342" s="5" t="s">
        <v>183</v>
      </c>
      <c r="H342" s="8">
        <v>33.880000000000003</v>
      </c>
      <c r="I342" s="7">
        <f>ROUND(103251.4,2)</f>
        <v>103251.4</v>
      </c>
      <c r="J342" s="6"/>
      <c r="K342" s="6"/>
      <c r="L342" s="6"/>
      <c r="M342" s="6"/>
      <c r="N342" s="7">
        <f>ROUND(1974.36,2)</f>
        <v>1974.36</v>
      </c>
      <c r="O342" s="6"/>
      <c r="P342" s="6"/>
      <c r="Q342" s="7">
        <f>ROUND(476.989999999999,2)</f>
        <v>476.99</v>
      </c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>
        <f>ROUND(24,2)</f>
        <v>24</v>
      </c>
      <c r="AS342" s="6"/>
      <c r="AT342" s="6"/>
      <c r="AU342" s="7">
        <f>ROUND(68,2)</f>
        <v>68</v>
      </c>
      <c r="AV342" s="6"/>
      <c r="AW342" s="7">
        <f>ROUND(16,2)</f>
        <v>16</v>
      </c>
      <c r="AX342" s="7">
        <f>ROUND(8,2)</f>
        <v>8</v>
      </c>
      <c r="AY342" s="7">
        <f>ROUND(66.91,2)</f>
        <v>66.91</v>
      </c>
      <c r="AZ342" s="7">
        <f>ROUND(37.0899999999999,2)</f>
        <v>37.090000000000003</v>
      </c>
      <c r="BA342" s="6"/>
      <c r="BB342" s="7">
        <f>ROUND(40,2)</f>
        <v>40</v>
      </c>
      <c r="BC342" s="6"/>
      <c r="BD342" s="7">
        <f t="shared" si="25"/>
        <v>8</v>
      </c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7">
        <f>ROUND(1.79,2)</f>
        <v>1.79</v>
      </c>
      <c r="BU342" s="6"/>
      <c r="BV342" s="6"/>
      <c r="BW342" s="7">
        <f>ROUND(10,2)</f>
        <v>10</v>
      </c>
      <c r="BX342" s="6"/>
      <c r="BY342" s="7">
        <f>ROUND(8,2)</f>
        <v>8</v>
      </c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7">
        <f>ROUND(24,2)</f>
        <v>24</v>
      </c>
      <c r="CQ342" s="7">
        <f>ROUND(2763.14,2)</f>
        <v>2763.14</v>
      </c>
      <c r="CR342" s="6"/>
      <c r="CS342" s="6"/>
      <c r="CT342" s="6"/>
      <c r="CU342" s="6"/>
      <c r="CV342" s="7">
        <f>ROUND(64406.4999999999,2)</f>
        <v>64406.5</v>
      </c>
      <c r="CW342" s="6"/>
      <c r="CX342" s="6"/>
      <c r="CY342" s="7">
        <f>ROUND(23454.4199999999,2)</f>
        <v>23454.42</v>
      </c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7">
        <f>ROUND(1192.5,2)</f>
        <v>1192.5</v>
      </c>
      <c r="EB342" s="6"/>
      <c r="EC342" s="6"/>
      <c r="ED342" s="7">
        <f>ROUND(2218.12,2)</f>
        <v>2218.12</v>
      </c>
      <c r="EE342" s="6"/>
      <c r="EF342" s="7">
        <f>ROUND(513.44,2)</f>
        <v>513.44000000000005</v>
      </c>
      <c r="EG342" s="7">
        <f>ROUND(385.08,2)</f>
        <v>385.08</v>
      </c>
      <c r="EH342" s="7">
        <f>ROUND(2171.08,2)</f>
        <v>2171.08</v>
      </c>
      <c r="EI342" s="7">
        <f>ROUND(1795.54,2)</f>
        <v>1795.54</v>
      </c>
      <c r="EJ342" s="6"/>
      <c r="EK342" s="7">
        <f>ROUND(1298.96,2)</f>
        <v>1298.96</v>
      </c>
      <c r="EL342" s="6"/>
      <c r="EM342" s="6"/>
      <c r="EN342" s="7">
        <f t="shared" si="27"/>
        <v>256.72000000000003</v>
      </c>
      <c r="EO342" s="6"/>
      <c r="EP342" s="6"/>
      <c r="EQ342" s="6"/>
      <c r="ER342" s="6"/>
      <c r="ES342" s="6"/>
      <c r="ET342" s="6"/>
      <c r="EU342" s="6"/>
      <c r="EV342" s="7">
        <f>ROUND(500,2)</f>
        <v>500</v>
      </c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7">
        <f>ROUND(1250,2)</f>
        <v>1250</v>
      </c>
      <c r="FK342" s="6"/>
      <c r="FL342" s="6"/>
      <c r="FM342" s="6"/>
      <c r="FN342" s="6"/>
      <c r="FO342" s="6"/>
      <c r="FP342" s="6"/>
      <c r="FQ342" s="6"/>
      <c r="FR342" s="6"/>
      <c r="FS342" s="6"/>
      <c r="FT342" s="7">
        <f t="shared" si="26"/>
        <v>3000</v>
      </c>
      <c r="FU342" s="6"/>
      <c r="FV342" s="6"/>
      <c r="FW342" s="6"/>
      <c r="FX342" s="7">
        <f>ROUND(809.04,2)</f>
        <v>809.04</v>
      </c>
      <c r="FY342" s="7">
        <f>ROUND(103251.4,2)</f>
        <v>103251.4</v>
      </c>
    </row>
    <row r="343" spans="1:181" x14ac:dyDescent="0.3">
      <c r="A343" s="4" t="s">
        <v>887</v>
      </c>
      <c r="B343" s="5" t="s">
        <v>1029</v>
      </c>
      <c r="C343" s="5" t="s">
        <v>181</v>
      </c>
      <c r="D343" s="5" t="s">
        <v>590</v>
      </c>
      <c r="E343" s="5" t="s">
        <v>0</v>
      </c>
      <c r="F343" s="5" t="s">
        <v>0</v>
      </c>
      <c r="G343" s="5" t="s">
        <v>183</v>
      </c>
      <c r="H343" s="8">
        <v>33.880000000000003</v>
      </c>
      <c r="I343" s="7">
        <f>ROUND(109998.559999999,2)</f>
        <v>109998.56</v>
      </c>
      <c r="J343" s="6"/>
      <c r="K343" s="6"/>
      <c r="L343" s="6"/>
      <c r="M343" s="6"/>
      <c r="N343" s="7">
        <f>ROUND(674,2)</f>
        <v>674</v>
      </c>
      <c r="O343" s="6"/>
      <c r="P343" s="6"/>
      <c r="Q343" s="7">
        <f>ROUND(233.999999999999,2)</f>
        <v>234</v>
      </c>
      <c r="R343" s="6"/>
      <c r="S343" s="6"/>
      <c r="T343" s="6"/>
      <c r="U343" s="6"/>
      <c r="V343" s="6"/>
      <c r="W343" s="7">
        <f>ROUND(30.65,2)</f>
        <v>30.65</v>
      </c>
      <c r="X343" s="6"/>
      <c r="Y343" s="6"/>
      <c r="Z343" s="6"/>
      <c r="AA343" s="6"/>
      <c r="AB343" s="6"/>
      <c r="AC343" s="6"/>
      <c r="AD343" s="6"/>
      <c r="AE343" s="7">
        <f>ROUND(1310,2)</f>
        <v>1310</v>
      </c>
      <c r="AF343" s="6"/>
      <c r="AG343" s="7">
        <f>ROUND(331.009999999999,2)</f>
        <v>331.01</v>
      </c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>
        <f>ROUND(30,2)</f>
        <v>30</v>
      </c>
      <c r="AS343" s="6"/>
      <c r="AT343" s="6"/>
      <c r="AU343" s="7">
        <f>ROUND(60,2)</f>
        <v>60</v>
      </c>
      <c r="AV343" s="7">
        <f>ROUND(8,2)</f>
        <v>8</v>
      </c>
      <c r="AW343" s="7">
        <f>ROUND(32,2)</f>
        <v>32</v>
      </c>
      <c r="AX343" s="6"/>
      <c r="AY343" s="7">
        <f>ROUND(44,2)</f>
        <v>44</v>
      </c>
      <c r="AZ343" s="7">
        <f>ROUND(4,2)</f>
        <v>4</v>
      </c>
      <c r="BA343" s="6"/>
      <c r="BB343" s="6"/>
      <c r="BC343" s="6"/>
      <c r="BD343" s="7">
        <f t="shared" si="25"/>
        <v>8</v>
      </c>
      <c r="BE343" s="7">
        <f>ROUND(3.25,2)</f>
        <v>3.25</v>
      </c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7">
        <f>ROUND(120,2)</f>
        <v>120</v>
      </c>
      <c r="CQ343" s="7">
        <f>ROUND(2888.91,2)</f>
        <v>2888.91</v>
      </c>
      <c r="CR343" s="6"/>
      <c r="CS343" s="6"/>
      <c r="CT343" s="6"/>
      <c r="CU343" s="6"/>
      <c r="CV343" s="7">
        <f>ROUND(21871.2999999999,2)</f>
        <v>21871.3</v>
      </c>
      <c r="CW343" s="6"/>
      <c r="CX343" s="6"/>
      <c r="CY343" s="7">
        <f>ROUND(11370.25,2)</f>
        <v>11370.25</v>
      </c>
      <c r="CZ343" s="6"/>
      <c r="DA343" s="6"/>
      <c r="DB343" s="6"/>
      <c r="DC343" s="6"/>
      <c r="DD343" s="6"/>
      <c r="DE343" s="7">
        <f>ROUND(1509.90999999999,2)</f>
        <v>1509.91</v>
      </c>
      <c r="DF343" s="6"/>
      <c r="DG343" s="6"/>
      <c r="DH343" s="6"/>
      <c r="DI343" s="6"/>
      <c r="DJ343" s="6"/>
      <c r="DK343" s="6"/>
      <c r="DL343" s="6"/>
      <c r="DM343" s="6"/>
      <c r="DN343" s="7">
        <f>ROUND(43018.7199999999,2)</f>
        <v>43018.720000000001</v>
      </c>
      <c r="DO343" s="6"/>
      <c r="DP343" s="7">
        <f>ROUND(16325.6999999999,2)</f>
        <v>16325.7</v>
      </c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7">
        <f>ROUND(1484.01,2)</f>
        <v>1484.01</v>
      </c>
      <c r="EB343" s="6"/>
      <c r="EC343" s="6"/>
      <c r="ED343" s="7">
        <f>ROUND(1953.72,2)</f>
        <v>1953.72</v>
      </c>
      <c r="EE343" s="7">
        <f>ROUND(396.64,2)</f>
        <v>396.64</v>
      </c>
      <c r="EF343" s="7">
        <f>ROUND(1042.24,2)</f>
        <v>1042.24</v>
      </c>
      <c r="EG343" s="6"/>
      <c r="EH343" s="7">
        <f>ROUND(1427.32,2)</f>
        <v>1427.32</v>
      </c>
      <c r="EI343" s="7">
        <f>ROUND(192.54,2)</f>
        <v>192.54</v>
      </c>
      <c r="EJ343" s="6"/>
      <c r="EK343" s="6"/>
      <c r="EL343" s="6"/>
      <c r="EM343" s="6"/>
      <c r="EN343" s="7">
        <f t="shared" si="27"/>
        <v>256.72000000000003</v>
      </c>
      <c r="EO343" s="7">
        <f>ROUND(104.29,2)</f>
        <v>104.29</v>
      </c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7">
        <f>ROUND(2000,2)</f>
        <v>2000</v>
      </c>
      <c r="FK343" s="6"/>
      <c r="FL343" s="6"/>
      <c r="FM343" s="6"/>
      <c r="FN343" s="6"/>
      <c r="FO343" s="6"/>
      <c r="FP343" s="6"/>
      <c r="FQ343" s="6"/>
      <c r="FR343" s="6"/>
      <c r="FS343" s="6"/>
      <c r="FT343" s="7">
        <f t="shared" si="26"/>
        <v>3000</v>
      </c>
      <c r="FU343" s="6"/>
      <c r="FV343" s="6"/>
      <c r="FW343" s="6"/>
      <c r="FX343" s="7">
        <f>ROUND(4045.2,2)</f>
        <v>4045.2</v>
      </c>
      <c r="FY343" s="7">
        <f>ROUND(109998.559999999,2)</f>
        <v>109998.56</v>
      </c>
    </row>
    <row r="344" spans="1:181" x14ac:dyDescent="0.3">
      <c r="A344" s="4" t="s">
        <v>888</v>
      </c>
      <c r="B344" s="5" t="s">
        <v>1029</v>
      </c>
      <c r="C344" s="5" t="s">
        <v>181</v>
      </c>
      <c r="D344" s="5" t="s">
        <v>889</v>
      </c>
      <c r="E344" s="5" t="s">
        <v>0</v>
      </c>
      <c r="F344" s="5" t="s">
        <v>0</v>
      </c>
      <c r="G344" s="5" t="s">
        <v>183</v>
      </c>
      <c r="H344" s="8">
        <v>34.04</v>
      </c>
      <c r="I344" s="7">
        <f>ROUND(130711.3,2)</f>
        <v>130711.3</v>
      </c>
      <c r="J344" s="6"/>
      <c r="K344" s="6"/>
      <c r="L344" s="6"/>
      <c r="M344" s="6"/>
      <c r="N344" s="7">
        <f>ROUND(1769.08,2)</f>
        <v>1769.08</v>
      </c>
      <c r="O344" s="6"/>
      <c r="P344" s="6"/>
      <c r="Q344" s="7">
        <f>ROUND(816.379999999999,2)</f>
        <v>816.38</v>
      </c>
      <c r="R344" s="6"/>
      <c r="S344" s="6"/>
      <c r="T344" s="6"/>
      <c r="U344" s="6"/>
      <c r="V344" s="7">
        <f>ROUND(14.3,2)</f>
        <v>14.3</v>
      </c>
      <c r="W344" s="7">
        <f>ROUND(9.43,2)</f>
        <v>9.43</v>
      </c>
      <c r="X344" s="7">
        <f>ROUND(5,2)</f>
        <v>5</v>
      </c>
      <c r="Y344" s="7">
        <f>ROUND(4.02999999999999,2)</f>
        <v>4.03</v>
      </c>
      <c r="Z344" s="6"/>
      <c r="AA344" s="6"/>
      <c r="AB344" s="6"/>
      <c r="AC344" s="6"/>
      <c r="AD344" s="6"/>
      <c r="AE344" s="7">
        <f>ROUND(16.14,2)</f>
        <v>16.14</v>
      </c>
      <c r="AF344" s="6"/>
      <c r="AG344" s="7">
        <f>ROUND(87.58,2)</f>
        <v>87.58</v>
      </c>
      <c r="AH344" s="6"/>
      <c r="AI344" s="6"/>
      <c r="AJ344" s="6"/>
      <c r="AK344" s="6"/>
      <c r="AL344" s="6"/>
      <c r="AM344" s="6"/>
      <c r="AN344" s="6"/>
      <c r="AO344" s="6"/>
      <c r="AP344" s="7">
        <f>ROUND(191.87,2)</f>
        <v>191.87</v>
      </c>
      <c r="AQ344" s="6"/>
      <c r="AR344" s="7">
        <f>ROUND(93.93,2)</f>
        <v>93.93</v>
      </c>
      <c r="AS344" s="6"/>
      <c r="AT344" s="6"/>
      <c r="AU344" s="7">
        <f>ROUND(65.78,2)</f>
        <v>65.78</v>
      </c>
      <c r="AV344" s="7">
        <f>ROUND(2.22,2)</f>
        <v>2.2200000000000002</v>
      </c>
      <c r="AW344" s="7">
        <f>ROUND(8,2)</f>
        <v>8</v>
      </c>
      <c r="AX344" s="7">
        <f>ROUND(32,2)</f>
        <v>32</v>
      </c>
      <c r="AY344" s="7">
        <f>ROUND(4.83,2)</f>
        <v>4.83</v>
      </c>
      <c r="AZ344" s="7">
        <f>ROUND(27.17,2)</f>
        <v>27.17</v>
      </c>
      <c r="BA344" s="6"/>
      <c r="BB344" s="6"/>
      <c r="BC344" s="6"/>
      <c r="BD344" s="7">
        <f>ROUND(17,2)</f>
        <v>17</v>
      </c>
      <c r="BE344" s="6"/>
      <c r="BF344" s="6"/>
      <c r="BG344" s="6"/>
      <c r="BH344" s="7">
        <f>ROUND(8.55,2)</f>
        <v>8.5500000000000007</v>
      </c>
      <c r="BI344" s="6"/>
      <c r="BJ344" s="6"/>
      <c r="BK344" s="6"/>
      <c r="BL344" s="6"/>
      <c r="BM344" s="6"/>
      <c r="BN344" s="6"/>
      <c r="BO344" s="7">
        <f>ROUND(26.75,2)</f>
        <v>26.75</v>
      </c>
      <c r="BP344" s="6"/>
      <c r="BQ344" s="7">
        <f>ROUND(4.7,2)</f>
        <v>4.7</v>
      </c>
      <c r="BR344" s="7">
        <f>ROUND(3.3,2)</f>
        <v>3.3</v>
      </c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7">
        <f>ROUND(80,2)</f>
        <v>80</v>
      </c>
      <c r="CQ344" s="7">
        <f>ROUND(3288.04,2)</f>
        <v>3288.04</v>
      </c>
      <c r="CR344" s="6"/>
      <c r="CS344" s="6"/>
      <c r="CT344" s="6"/>
      <c r="CU344" s="6"/>
      <c r="CV344" s="7">
        <f>ROUND(58022.81,2)</f>
        <v>58022.81</v>
      </c>
      <c r="CW344" s="6"/>
      <c r="CX344" s="6"/>
      <c r="CY344" s="7">
        <f>ROUND(40133.9199999999,2)</f>
        <v>40133.919999999998</v>
      </c>
      <c r="CZ344" s="6"/>
      <c r="DA344" s="6"/>
      <c r="DB344" s="6"/>
      <c r="DC344" s="6"/>
      <c r="DD344" s="7">
        <f>ROUND(470.2,2)</f>
        <v>470.2</v>
      </c>
      <c r="DE344" s="7">
        <f>ROUND(461.679999999999,2)</f>
        <v>461.68</v>
      </c>
      <c r="DF344" s="7">
        <f>ROUND(160.97,2)</f>
        <v>160.97</v>
      </c>
      <c r="DG344" s="7">
        <f>ROUND(198.29,2)</f>
        <v>198.29</v>
      </c>
      <c r="DH344" s="6"/>
      <c r="DI344" s="6"/>
      <c r="DJ344" s="6"/>
      <c r="DK344" s="6"/>
      <c r="DL344" s="6"/>
      <c r="DM344" s="6"/>
      <c r="DN344" s="7">
        <f>ROUND(517.949999999999,2)</f>
        <v>517.95000000000005</v>
      </c>
      <c r="DO344" s="6"/>
      <c r="DP344" s="7">
        <f>ROUND(4231.11,2)</f>
        <v>4231.1099999999997</v>
      </c>
      <c r="DQ344" s="6"/>
      <c r="DR344" s="6"/>
      <c r="DS344" s="6"/>
      <c r="DT344" s="6"/>
      <c r="DU344" s="6"/>
      <c r="DV344" s="6"/>
      <c r="DW344" s="6"/>
      <c r="DX344" s="6"/>
      <c r="DY344" s="7">
        <f>ROUND(6258.20999999999,2)</f>
        <v>6258.21</v>
      </c>
      <c r="DZ344" s="6"/>
      <c r="EA344" s="7">
        <f>ROUND(4617.74,2)</f>
        <v>4617.74</v>
      </c>
      <c r="EB344" s="6"/>
      <c r="EC344" s="6"/>
      <c r="ED344" s="7">
        <f>ROUND(2142.11,2)</f>
        <v>2142.11</v>
      </c>
      <c r="EE344" s="7">
        <f>ROUND(110.07,2)</f>
        <v>110.07</v>
      </c>
      <c r="EF344" s="7">
        <f>ROUND(267.04,2)</f>
        <v>267.04000000000002</v>
      </c>
      <c r="EG344" s="7">
        <f>ROUND(1586.4,2)</f>
        <v>1586.4</v>
      </c>
      <c r="EH344" s="7">
        <f>ROUND(161.23,2)</f>
        <v>161.22999999999999</v>
      </c>
      <c r="EI344" s="7">
        <f>ROUND(1348.52,2)</f>
        <v>1348.52</v>
      </c>
      <c r="EJ344" s="6"/>
      <c r="EK344" s="6"/>
      <c r="EL344" s="6"/>
      <c r="EM344" s="6"/>
      <c r="EN344" s="7">
        <f>ROUND(554.17,2)</f>
        <v>554.16999999999996</v>
      </c>
      <c r="EO344" s="6"/>
      <c r="EP344" s="6"/>
      <c r="EQ344" s="6"/>
      <c r="ER344" s="7">
        <f>ROUND(344,2)</f>
        <v>344</v>
      </c>
      <c r="ES344" s="7">
        <f>ROUND(274.37,2)</f>
        <v>274.37</v>
      </c>
      <c r="ET344" s="6"/>
      <c r="EU344" s="6"/>
      <c r="EV344" s="6"/>
      <c r="EW344" s="6"/>
      <c r="EX344" s="6"/>
      <c r="EY344" s="6"/>
      <c r="EZ344" s="6"/>
      <c r="FA344" s="6"/>
      <c r="FB344" s="7">
        <f>ROUND(870.439999999999,2)</f>
        <v>870.44</v>
      </c>
      <c r="FC344" s="6"/>
      <c r="FD344" s="7">
        <f>ROUND(150.82,2)</f>
        <v>150.82</v>
      </c>
      <c r="FE344" s="7">
        <f>ROUND(158.85,2)</f>
        <v>158.85</v>
      </c>
      <c r="FF344" s="6"/>
      <c r="FG344" s="6"/>
      <c r="FH344" s="6"/>
      <c r="FI344" s="6"/>
      <c r="FJ344" s="7">
        <f>ROUND(2000,2)</f>
        <v>2000</v>
      </c>
      <c r="FK344" s="6"/>
      <c r="FL344" s="6"/>
      <c r="FM344" s="6"/>
      <c r="FN344" s="6"/>
      <c r="FO344" s="6"/>
      <c r="FP344" s="6"/>
      <c r="FQ344" s="6"/>
      <c r="FR344" s="6"/>
      <c r="FS344" s="6"/>
      <c r="FT344" s="7">
        <f t="shared" si="26"/>
        <v>3000</v>
      </c>
      <c r="FU344" s="6"/>
      <c r="FV344" s="6"/>
      <c r="FW344" s="6"/>
      <c r="FX344" s="7">
        <f>ROUND(2670.4,2)</f>
        <v>2670.4</v>
      </c>
      <c r="FY344" s="7">
        <f>ROUND(130711.3,2)</f>
        <v>130711.3</v>
      </c>
    </row>
    <row r="345" spans="1:181" x14ac:dyDescent="0.3">
      <c r="A345" s="4" t="s">
        <v>890</v>
      </c>
      <c r="B345" s="5" t="s">
        <v>1029</v>
      </c>
      <c r="C345" s="5" t="s">
        <v>181</v>
      </c>
      <c r="D345" s="5" t="s">
        <v>232</v>
      </c>
      <c r="E345" s="5" t="s">
        <v>0</v>
      </c>
      <c r="F345" s="5" t="s">
        <v>0</v>
      </c>
      <c r="G345" s="5" t="s">
        <v>183</v>
      </c>
      <c r="H345" s="8">
        <v>34.04</v>
      </c>
      <c r="I345" s="7">
        <f>ROUND(80912.3299999999,2)</f>
        <v>80912.33</v>
      </c>
      <c r="J345" s="6"/>
      <c r="K345" s="6"/>
      <c r="L345" s="6"/>
      <c r="M345" s="6"/>
      <c r="N345" s="7">
        <f>ROUND(-5,2)</f>
        <v>-5</v>
      </c>
      <c r="O345" s="6"/>
      <c r="P345" s="6"/>
      <c r="Q345" s="7">
        <f>ROUND(5,2)</f>
        <v>5</v>
      </c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7">
        <f>ROUND(1536,2)</f>
        <v>1536</v>
      </c>
      <c r="AF345" s="6"/>
      <c r="AG345" s="7">
        <f>ROUND(96.73,2)</f>
        <v>96.73</v>
      </c>
      <c r="AH345" s="6"/>
      <c r="AI345" s="6"/>
      <c r="AJ345" s="6"/>
      <c r="AK345" s="6"/>
      <c r="AL345" s="6"/>
      <c r="AM345" s="6"/>
      <c r="AN345" s="6"/>
      <c r="AO345" s="6"/>
      <c r="AP345" s="7">
        <f>ROUND(5,2)</f>
        <v>5</v>
      </c>
      <c r="AQ345" s="6"/>
      <c r="AR345" s="6"/>
      <c r="AS345" s="6"/>
      <c r="AT345" s="6"/>
      <c r="AU345" s="7">
        <f>ROUND(68,2)</f>
        <v>68</v>
      </c>
      <c r="AV345" s="6"/>
      <c r="AW345" s="7">
        <f>ROUND(40,2)</f>
        <v>40</v>
      </c>
      <c r="AX345" s="6"/>
      <c r="AY345" s="7">
        <f>ROUND(144,2)</f>
        <v>144</v>
      </c>
      <c r="AZ345" s="6"/>
      <c r="BA345" s="6"/>
      <c r="BB345" s="6"/>
      <c r="BC345" s="6"/>
      <c r="BD345" s="7">
        <f>ROUND(8,2)</f>
        <v>8</v>
      </c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7">
        <f>ROUND(331,2)</f>
        <v>331</v>
      </c>
      <c r="BR345" s="7">
        <f>ROUND(5,2)</f>
        <v>5</v>
      </c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7">
        <f>ROUND(16,2)</f>
        <v>16</v>
      </c>
      <c r="CQ345" s="7">
        <f>ROUND(2249.73,2)</f>
        <v>2249.73</v>
      </c>
      <c r="CR345" s="6"/>
      <c r="CS345" s="6"/>
      <c r="CT345" s="6"/>
      <c r="CU345" s="6"/>
      <c r="CV345" s="7">
        <f>ROUND(-165.25,2)</f>
        <v>-165.25</v>
      </c>
      <c r="CW345" s="6"/>
      <c r="CX345" s="6"/>
      <c r="CY345" s="7">
        <f>ROUND(247.88,2)</f>
        <v>247.88</v>
      </c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7">
        <f>ROUND(49921.4399999999,2)</f>
        <v>49921.440000000002</v>
      </c>
      <c r="DO345" s="6"/>
      <c r="DP345" s="7">
        <f>ROUND(4792.9,2)</f>
        <v>4792.8999999999996</v>
      </c>
      <c r="DQ345" s="6"/>
      <c r="DR345" s="6"/>
      <c r="DS345" s="6"/>
      <c r="DT345" s="6"/>
      <c r="DU345" s="6"/>
      <c r="DV345" s="6"/>
      <c r="DW345" s="6"/>
      <c r="DX345" s="6"/>
      <c r="DY345" s="7">
        <f>ROUND(165.25,2)</f>
        <v>165.25</v>
      </c>
      <c r="DZ345" s="6"/>
      <c r="EA345" s="6"/>
      <c r="EB345" s="6"/>
      <c r="EC345" s="6"/>
      <c r="ED345" s="7">
        <f>ROUND(2218.12,2)</f>
        <v>2218.12</v>
      </c>
      <c r="EE345" s="6"/>
      <c r="EF345" s="7">
        <f>ROUND(1298.96,2)</f>
        <v>1298.96</v>
      </c>
      <c r="EG345" s="6"/>
      <c r="EH345" s="7">
        <f>ROUND(4659.36,2)</f>
        <v>4659.3599999999997</v>
      </c>
      <c r="EI345" s="6"/>
      <c r="EJ345" s="6"/>
      <c r="EK345" s="6"/>
      <c r="EL345" s="6"/>
      <c r="EM345" s="6"/>
      <c r="EN345" s="7">
        <f>ROUND(256.72,2)</f>
        <v>256.72000000000003</v>
      </c>
      <c r="EO345" s="6"/>
      <c r="EP345" s="6"/>
      <c r="EQ345" s="6"/>
      <c r="ER345" s="7">
        <f>ROUND(279.6,2)</f>
        <v>279.60000000000002</v>
      </c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7">
        <f>ROUND(10950.11,2)</f>
        <v>10950.11</v>
      </c>
      <c r="FE345" s="7">
        <f>ROUND(247.88,2)</f>
        <v>247.88</v>
      </c>
      <c r="FF345" s="6"/>
      <c r="FG345" s="6"/>
      <c r="FH345" s="6"/>
      <c r="FI345" s="6"/>
      <c r="FJ345" s="7">
        <f>ROUND(2500,2)</f>
        <v>2500</v>
      </c>
      <c r="FK345" s="6"/>
      <c r="FL345" s="6"/>
      <c r="FM345" s="6"/>
      <c r="FN345" s="6"/>
      <c r="FO345" s="6"/>
      <c r="FP345" s="6"/>
      <c r="FQ345" s="6"/>
      <c r="FR345" s="6"/>
      <c r="FS345" s="6"/>
      <c r="FT345" s="7">
        <f t="shared" si="26"/>
        <v>3000</v>
      </c>
      <c r="FU345" s="6"/>
      <c r="FV345" s="6"/>
      <c r="FW345" s="6"/>
      <c r="FX345" s="7">
        <f>ROUND(539.36,2)</f>
        <v>539.36</v>
      </c>
      <c r="FY345" s="7">
        <f>ROUND(80912.3299999999,2)</f>
        <v>80912.33</v>
      </c>
    </row>
    <row r="346" spans="1:181" x14ac:dyDescent="0.3">
      <c r="A346" s="4" t="s">
        <v>891</v>
      </c>
      <c r="B346" s="5" t="s">
        <v>1029</v>
      </c>
      <c r="C346" s="5" t="s">
        <v>181</v>
      </c>
      <c r="D346" s="5" t="s">
        <v>892</v>
      </c>
      <c r="E346" s="5" t="s">
        <v>0</v>
      </c>
      <c r="F346" s="5" t="s">
        <v>0</v>
      </c>
      <c r="G346" s="5" t="s">
        <v>183</v>
      </c>
      <c r="H346" s="9">
        <v>33.380000000000003</v>
      </c>
      <c r="I346" s="7">
        <f>ROUND(71750.52,2)</f>
        <v>71750.52</v>
      </c>
      <c r="J346" s="6"/>
      <c r="K346" s="6"/>
      <c r="L346" s="6"/>
      <c r="M346" s="6"/>
      <c r="N346" s="7">
        <f>ROUND(780.44,2)</f>
        <v>780.44</v>
      </c>
      <c r="O346" s="6"/>
      <c r="P346" s="6"/>
      <c r="Q346" s="7">
        <f>ROUND(124.139999999999,2)</f>
        <v>124.14</v>
      </c>
      <c r="R346" s="6"/>
      <c r="S346" s="6"/>
      <c r="T346" s="6"/>
      <c r="U346" s="6"/>
      <c r="V346" s="7">
        <f>ROUND(33.47,2)</f>
        <v>33.47</v>
      </c>
      <c r="W346" s="6"/>
      <c r="X346" s="7">
        <f>ROUND(2.17,2)</f>
        <v>2.17</v>
      </c>
      <c r="Y346" s="6"/>
      <c r="Z346" s="6"/>
      <c r="AA346" s="6"/>
      <c r="AB346" s="6"/>
      <c r="AC346" s="6"/>
      <c r="AD346" s="6"/>
      <c r="AE346" s="7">
        <f>ROUND(211.4,2)</f>
        <v>211.4</v>
      </c>
      <c r="AF346" s="6"/>
      <c r="AG346" s="7">
        <f>ROUND(19.77,2)</f>
        <v>19.77</v>
      </c>
      <c r="AH346" s="6"/>
      <c r="AI346" s="6"/>
      <c r="AJ346" s="6"/>
      <c r="AK346" s="6"/>
      <c r="AL346" s="6"/>
      <c r="AM346" s="6"/>
      <c r="AN346" s="6"/>
      <c r="AO346" s="6"/>
      <c r="AP346" s="7">
        <f>ROUND(768,2)</f>
        <v>768</v>
      </c>
      <c r="AQ346" s="6"/>
      <c r="AR346" s="7">
        <f>ROUND(73.12,2)</f>
        <v>73.12</v>
      </c>
      <c r="AS346" s="6"/>
      <c r="AT346" s="6"/>
      <c r="AU346" s="7">
        <f>ROUND(64,2)</f>
        <v>64</v>
      </c>
      <c r="AV346" s="6"/>
      <c r="AW346" s="7">
        <f>ROUND(24.83,2)</f>
        <v>24.83</v>
      </c>
      <c r="AX346" s="7">
        <f>ROUND(1.17,2)</f>
        <v>1.17</v>
      </c>
      <c r="AY346" s="7">
        <f>ROUND(34.91,2)</f>
        <v>34.909999999999997</v>
      </c>
      <c r="AZ346" s="7">
        <f>ROUND(9.09,2)</f>
        <v>9.09</v>
      </c>
      <c r="BA346" s="6"/>
      <c r="BB346" s="6"/>
      <c r="BC346" s="6"/>
      <c r="BD346" s="7">
        <f>ROUND(8,2)</f>
        <v>8</v>
      </c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>
        <f>ROUND(8.83,2)</f>
        <v>8.83</v>
      </c>
      <c r="BP346" s="6"/>
      <c r="BQ346" s="7">
        <f>ROUND(17,2)</f>
        <v>17</v>
      </c>
      <c r="BR346" s="6"/>
      <c r="BS346" s="7">
        <f>ROUND(168,2)</f>
        <v>168</v>
      </c>
      <c r="BT346" s="6"/>
      <c r="BU346" s="6"/>
      <c r="BV346" s="6"/>
      <c r="BW346" s="7">
        <f>ROUND(8,2)</f>
        <v>8</v>
      </c>
      <c r="BX346" s="6"/>
      <c r="BY346" s="7">
        <f>ROUND(8,2)</f>
        <v>8</v>
      </c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7">
        <f>ROUND(2364.34,2)</f>
        <v>2364.34</v>
      </c>
      <c r="CR346" s="6"/>
      <c r="CS346" s="6"/>
      <c r="CT346" s="6"/>
      <c r="CU346" s="6"/>
      <c r="CV346" s="7">
        <f>ROUND(23302.76,2)</f>
        <v>23302.76</v>
      </c>
      <c r="CW346" s="6"/>
      <c r="CX346" s="6"/>
      <c r="CY346" s="7">
        <f>ROUND(5590.41,2)</f>
        <v>5590.41</v>
      </c>
      <c r="CZ346" s="6"/>
      <c r="DA346" s="6"/>
      <c r="DB346" s="6"/>
      <c r="DC346" s="6"/>
      <c r="DD346" s="7">
        <f>ROUND(1007.98999999999,2)</f>
        <v>1007.99</v>
      </c>
      <c r="DE346" s="6"/>
      <c r="DF346" s="7">
        <f>ROUND(61.92,2)</f>
        <v>61.92</v>
      </c>
      <c r="DG346" s="6"/>
      <c r="DH346" s="6"/>
      <c r="DI346" s="6"/>
      <c r="DJ346" s="6"/>
      <c r="DK346" s="6"/>
      <c r="DL346" s="6"/>
      <c r="DM346" s="6"/>
      <c r="DN346" s="7">
        <f>ROUND(6054.82,2)</f>
        <v>6054.82</v>
      </c>
      <c r="DO346" s="6"/>
      <c r="DP346" s="7">
        <f>ROUND(841.71,2)</f>
        <v>841.71</v>
      </c>
      <c r="DQ346" s="6"/>
      <c r="DR346" s="6"/>
      <c r="DS346" s="6"/>
      <c r="DT346" s="6"/>
      <c r="DU346" s="6"/>
      <c r="DV346" s="6"/>
      <c r="DW346" s="6"/>
      <c r="DX346" s="6"/>
      <c r="DY346" s="7">
        <f>ROUND(22304.1,2)</f>
        <v>22304.1</v>
      </c>
      <c r="DZ346" s="6"/>
      <c r="EA346" s="7">
        <f>ROUND(3092.32,2)</f>
        <v>3092.32</v>
      </c>
      <c r="EB346" s="6"/>
      <c r="EC346" s="6"/>
      <c r="ED346" s="7">
        <f>ROUND(1874.78,2)</f>
        <v>1874.78</v>
      </c>
      <c r="EE346" s="6"/>
      <c r="EF346" s="7">
        <f>ROUND(754.46,2)</f>
        <v>754.46</v>
      </c>
      <c r="EG346" s="7">
        <f>ROUND(55.11,2)</f>
        <v>55.11</v>
      </c>
      <c r="EH346" s="7">
        <f>ROUND(1043.69,2)</f>
        <v>1043.69</v>
      </c>
      <c r="EI346" s="7">
        <f>ROUND(418.9,2)</f>
        <v>418.9</v>
      </c>
      <c r="EJ346" s="6"/>
      <c r="EK346" s="6"/>
      <c r="EL346" s="6"/>
      <c r="EM346" s="6"/>
      <c r="EN346" s="7">
        <f>ROUND(231.04,2)</f>
        <v>231.04</v>
      </c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7">
        <f>ROUND(252.75,2)</f>
        <v>252.75</v>
      </c>
      <c r="FC346" s="6"/>
      <c r="FD346" s="7">
        <f>ROUND(463.76,2)</f>
        <v>463.76</v>
      </c>
      <c r="FE346" s="6"/>
      <c r="FF346" s="6"/>
      <c r="FG346" s="6"/>
      <c r="FH346" s="6"/>
      <c r="FI346" s="6"/>
      <c r="FJ346" s="7">
        <f>ROUND(1400,2)</f>
        <v>1400</v>
      </c>
      <c r="FK346" s="6"/>
      <c r="FL346" s="6"/>
      <c r="FM346" s="6"/>
      <c r="FN346" s="6"/>
      <c r="FO346" s="6"/>
      <c r="FP346" s="6"/>
      <c r="FQ346" s="6"/>
      <c r="FR346" s="6"/>
      <c r="FS346" s="6"/>
      <c r="FT346" s="7">
        <f t="shared" si="26"/>
        <v>3000</v>
      </c>
      <c r="FU346" s="6"/>
      <c r="FV346" s="6"/>
      <c r="FW346" s="6"/>
      <c r="FX346" s="6"/>
      <c r="FY346" s="7">
        <f>ROUND(71750.52,2)</f>
        <v>71750.52</v>
      </c>
    </row>
    <row r="347" spans="1:181" x14ac:dyDescent="0.3">
      <c r="A347" s="4" t="s">
        <v>893</v>
      </c>
      <c r="B347" s="5" t="s">
        <v>1029</v>
      </c>
      <c r="C347" s="5" t="s">
        <v>181</v>
      </c>
      <c r="D347" s="5" t="s">
        <v>424</v>
      </c>
      <c r="E347" s="5" t="s">
        <v>0</v>
      </c>
      <c r="F347" s="5" t="s">
        <v>0</v>
      </c>
      <c r="G347" s="5" t="s">
        <v>183</v>
      </c>
      <c r="H347" s="9">
        <v>33.380000000000003</v>
      </c>
      <c r="I347" s="7">
        <f>ROUND(80712.38,2)</f>
        <v>80712.38</v>
      </c>
      <c r="J347" s="6"/>
      <c r="K347" s="6"/>
      <c r="L347" s="6"/>
      <c r="M347" s="6"/>
      <c r="N347" s="7">
        <f>ROUND(909.759999999999,2)</f>
        <v>909.76</v>
      </c>
      <c r="O347" s="6"/>
      <c r="P347" s="6"/>
      <c r="Q347" s="7">
        <f>ROUND(127.399999999999,2)</f>
        <v>127.4</v>
      </c>
      <c r="R347" s="6"/>
      <c r="S347" s="6"/>
      <c r="T347" s="6"/>
      <c r="U347" s="6"/>
      <c r="V347" s="7">
        <f>ROUND(29.85,2)</f>
        <v>29.85</v>
      </c>
      <c r="W347" s="7">
        <f>ROUND(5.05,2)</f>
        <v>5.05</v>
      </c>
      <c r="X347" s="7">
        <f>ROUND(1.08,2)</f>
        <v>1.08</v>
      </c>
      <c r="Y347" s="6"/>
      <c r="Z347" s="6"/>
      <c r="AA347" s="6"/>
      <c r="AB347" s="6"/>
      <c r="AC347" s="6"/>
      <c r="AD347" s="6"/>
      <c r="AE347" s="7">
        <f>ROUND(204.77,2)</f>
        <v>204.77</v>
      </c>
      <c r="AF347" s="6"/>
      <c r="AG347" s="7">
        <f>ROUND(42.64,2)</f>
        <v>42.64</v>
      </c>
      <c r="AH347" s="6"/>
      <c r="AI347" s="6"/>
      <c r="AJ347" s="6"/>
      <c r="AK347" s="6"/>
      <c r="AL347" s="6"/>
      <c r="AM347" s="6"/>
      <c r="AN347" s="6"/>
      <c r="AO347" s="6"/>
      <c r="AP347" s="7">
        <f>ROUND(802.329999999999,2)</f>
        <v>802.33</v>
      </c>
      <c r="AQ347" s="6"/>
      <c r="AR347" s="7">
        <f>ROUND(104.82,2)</f>
        <v>104.82</v>
      </c>
      <c r="AS347" s="6"/>
      <c r="AT347" s="6"/>
      <c r="AU347" s="7">
        <f>ROUND(76,2)</f>
        <v>76</v>
      </c>
      <c r="AV347" s="6"/>
      <c r="AW347" s="7">
        <f>ROUND(32.93,2)</f>
        <v>32.93</v>
      </c>
      <c r="AX347" s="7">
        <f>ROUND(7.07,2)</f>
        <v>7.07</v>
      </c>
      <c r="AY347" s="7">
        <f>ROUND(10,2)</f>
        <v>10</v>
      </c>
      <c r="AZ347" s="6"/>
      <c r="BA347" s="6"/>
      <c r="BB347" s="6"/>
      <c r="BC347" s="6"/>
      <c r="BD347" s="7">
        <f>ROUND(9.77,2)</f>
        <v>9.77</v>
      </c>
      <c r="BE347" s="7">
        <f>ROUND(2.33,2)</f>
        <v>2.33</v>
      </c>
      <c r="BF347" s="6"/>
      <c r="BG347" s="7">
        <f>ROUND(38,2)</f>
        <v>38</v>
      </c>
      <c r="BH347" s="6"/>
      <c r="BI347" s="6"/>
      <c r="BJ347" s="6"/>
      <c r="BK347" s="6"/>
      <c r="BL347" s="6"/>
      <c r="BM347" s="6"/>
      <c r="BN347" s="6"/>
      <c r="BO347" s="7">
        <f>ROUND(5.42,2)</f>
        <v>5.42</v>
      </c>
      <c r="BP347" s="6"/>
      <c r="BQ347" s="7">
        <f>ROUND(8,2)</f>
        <v>8</v>
      </c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7">
        <f>ROUND(32,2)</f>
        <v>32</v>
      </c>
      <c r="CQ347" s="7">
        <f>ROUND(2449.22,2)</f>
        <v>2449.2199999999998</v>
      </c>
      <c r="CR347" s="6"/>
      <c r="CS347" s="6"/>
      <c r="CT347" s="6"/>
      <c r="CU347" s="6"/>
      <c r="CV347" s="7">
        <f>ROUND(27093.56,2)</f>
        <v>27093.56</v>
      </c>
      <c r="CW347" s="6"/>
      <c r="CX347" s="6"/>
      <c r="CY347" s="7">
        <f>ROUND(5756.45,2)</f>
        <v>5756.45</v>
      </c>
      <c r="CZ347" s="6"/>
      <c r="DA347" s="6"/>
      <c r="DB347" s="6"/>
      <c r="DC347" s="6"/>
      <c r="DD347" s="7">
        <f>ROUND(887.51,2)</f>
        <v>887.51</v>
      </c>
      <c r="DE347" s="7">
        <f>ROUND(227.55,2)</f>
        <v>227.55</v>
      </c>
      <c r="DF347" s="7">
        <f>ROUND(33.78,2)</f>
        <v>33.78</v>
      </c>
      <c r="DG347" s="6"/>
      <c r="DH347" s="6"/>
      <c r="DI347" s="6"/>
      <c r="DJ347" s="6"/>
      <c r="DK347" s="6"/>
      <c r="DL347" s="6"/>
      <c r="DM347" s="6"/>
      <c r="DN347" s="7">
        <f>ROUND(5991.01,2)</f>
        <v>5991.01</v>
      </c>
      <c r="DO347" s="6"/>
      <c r="DP347" s="7">
        <f>ROUND(1876.33,2)</f>
        <v>1876.33</v>
      </c>
      <c r="DQ347" s="6"/>
      <c r="DR347" s="6"/>
      <c r="DS347" s="6"/>
      <c r="DT347" s="6"/>
      <c r="DU347" s="6"/>
      <c r="DV347" s="6"/>
      <c r="DW347" s="6"/>
      <c r="DX347" s="6"/>
      <c r="DY347" s="7">
        <f>ROUND(23377.8299999999,2)</f>
        <v>23377.83</v>
      </c>
      <c r="DZ347" s="6"/>
      <c r="EA347" s="7">
        <f>ROUND(4546.39,2)</f>
        <v>4546.3900000000003</v>
      </c>
      <c r="EB347" s="6"/>
      <c r="EC347" s="6"/>
      <c r="ED347" s="7">
        <f>ROUND(2221.33999999999,2)</f>
        <v>2221.34</v>
      </c>
      <c r="EE347" s="6"/>
      <c r="EF347" s="7">
        <f>ROUND(954.88,2)</f>
        <v>954.88</v>
      </c>
      <c r="EG347" s="7">
        <f>ROUND(333,2)</f>
        <v>333</v>
      </c>
      <c r="EH347" s="7">
        <f>ROUND(297.5,2)</f>
        <v>297.5</v>
      </c>
      <c r="EI347" s="6"/>
      <c r="EJ347" s="6"/>
      <c r="EK347" s="6"/>
      <c r="EL347" s="6"/>
      <c r="EM347" s="6"/>
      <c r="EN347" s="7">
        <f>ROUND(283.7,2)</f>
        <v>283.7</v>
      </c>
      <c r="EO347" s="7">
        <f>ROUND(63.56,2)</f>
        <v>63.56</v>
      </c>
      <c r="EP347" s="6"/>
      <c r="EQ347" s="7">
        <f>ROUND(1120.08,2)</f>
        <v>1120.08</v>
      </c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7">
        <f>ROUND(170.19,2)</f>
        <v>170.19</v>
      </c>
      <c r="FC347" s="6"/>
      <c r="FD347" s="7">
        <f>ROUND(238,2)</f>
        <v>238</v>
      </c>
      <c r="FE347" s="6"/>
      <c r="FF347" s="6"/>
      <c r="FG347" s="6"/>
      <c r="FH347" s="6"/>
      <c r="FI347" s="6"/>
      <c r="FJ347" s="7">
        <f>ROUND(1225,2)</f>
        <v>1225</v>
      </c>
      <c r="FK347" s="6"/>
      <c r="FL347" s="6"/>
      <c r="FM347" s="6"/>
      <c r="FN347" s="6"/>
      <c r="FO347" s="6"/>
      <c r="FP347" s="6"/>
      <c r="FQ347" s="6"/>
      <c r="FR347" s="6"/>
      <c r="FS347" s="6"/>
      <c r="FT347" s="7">
        <f t="shared" si="26"/>
        <v>3000</v>
      </c>
      <c r="FU347" s="6"/>
      <c r="FV347" s="6"/>
      <c r="FW347" s="6"/>
      <c r="FX347" s="7">
        <f>ROUND(1014.72,2)</f>
        <v>1014.72</v>
      </c>
      <c r="FY347" s="7">
        <f>ROUND(80712.38,2)</f>
        <v>80712.38</v>
      </c>
    </row>
    <row r="348" spans="1:181" x14ac:dyDescent="0.3">
      <c r="A348" s="4" t="s">
        <v>894</v>
      </c>
      <c r="B348" s="5" t="s">
        <v>1029</v>
      </c>
      <c r="C348" s="5" t="s">
        <v>181</v>
      </c>
      <c r="D348" s="5" t="s">
        <v>446</v>
      </c>
      <c r="E348" s="5" t="s">
        <v>0</v>
      </c>
      <c r="F348" s="5" t="s">
        <v>0</v>
      </c>
      <c r="G348" s="5" t="s">
        <v>183</v>
      </c>
      <c r="H348" s="8">
        <v>34.04</v>
      </c>
      <c r="I348" s="7">
        <f>ROUND(119689.06,2)</f>
        <v>119689.06</v>
      </c>
      <c r="J348" s="6"/>
      <c r="K348" s="6"/>
      <c r="L348" s="6"/>
      <c r="M348" s="6"/>
      <c r="N348" s="7">
        <f>ROUND(1537.57,2)</f>
        <v>1537.57</v>
      </c>
      <c r="O348" s="6"/>
      <c r="P348" s="6"/>
      <c r="Q348" s="7">
        <f>ROUND(661.459999999999,2)</f>
        <v>661.46</v>
      </c>
      <c r="R348" s="6"/>
      <c r="S348" s="6"/>
      <c r="T348" s="6"/>
      <c r="U348" s="6"/>
      <c r="V348" s="7">
        <f>ROUND(5.92,2)</f>
        <v>5.92</v>
      </c>
      <c r="W348" s="7">
        <f>ROUND(27.32,2)</f>
        <v>27.32</v>
      </c>
      <c r="X348" s="7">
        <f>ROUND(0.5,2)</f>
        <v>0.5</v>
      </c>
      <c r="Y348" s="6"/>
      <c r="Z348" s="6"/>
      <c r="AA348" s="6"/>
      <c r="AB348" s="6"/>
      <c r="AC348" s="6"/>
      <c r="AD348" s="6"/>
      <c r="AE348" s="7">
        <f>ROUND(280,2)</f>
        <v>280</v>
      </c>
      <c r="AF348" s="6"/>
      <c r="AG348" s="7">
        <f>ROUND(108.17,2)</f>
        <v>108.17</v>
      </c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>
        <f>ROUND(67.37,2)</f>
        <v>67.37</v>
      </c>
      <c r="AS348" s="6"/>
      <c r="AT348" s="6"/>
      <c r="AU348" s="7">
        <f>ROUND(72,2)</f>
        <v>72</v>
      </c>
      <c r="AV348" s="6"/>
      <c r="AW348" s="7">
        <f>ROUND(30,2)</f>
        <v>30</v>
      </c>
      <c r="AX348" s="7">
        <f>ROUND(8,2)</f>
        <v>8</v>
      </c>
      <c r="AY348" s="7">
        <f>ROUND(192,2)</f>
        <v>192</v>
      </c>
      <c r="AZ348" s="6"/>
      <c r="BA348" s="6"/>
      <c r="BB348" s="6"/>
      <c r="BC348" s="6"/>
      <c r="BD348" s="7">
        <f>ROUND(17,2)</f>
        <v>17</v>
      </c>
      <c r="BE348" s="6"/>
      <c r="BF348" s="7">
        <f>ROUND(8,2)</f>
        <v>8</v>
      </c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7">
        <f>ROUND(15.64,2)</f>
        <v>15.64</v>
      </c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7">
        <f>ROUND(32,2)</f>
        <v>32</v>
      </c>
      <c r="CQ348" s="7">
        <f>ROUND(3062.94999999999,2)</f>
        <v>3062.95</v>
      </c>
      <c r="CR348" s="6"/>
      <c r="CS348" s="6"/>
      <c r="CT348" s="6"/>
      <c r="CU348" s="6"/>
      <c r="CV348" s="7">
        <f>ROUND(50450.1799999999,2)</f>
        <v>50450.18</v>
      </c>
      <c r="CW348" s="6"/>
      <c r="CX348" s="6"/>
      <c r="CY348" s="7">
        <f>ROUND(32571.5499999999,2)</f>
        <v>32571.55</v>
      </c>
      <c r="CZ348" s="6"/>
      <c r="DA348" s="6"/>
      <c r="DB348" s="6"/>
      <c r="DC348" s="6"/>
      <c r="DD348" s="7">
        <f>ROUND(190.86,2)</f>
        <v>190.86</v>
      </c>
      <c r="DE348" s="7">
        <f>ROUND(1350.48,2)</f>
        <v>1350.48</v>
      </c>
      <c r="DF348" s="7">
        <f>ROUND(16.05,2)</f>
        <v>16.05</v>
      </c>
      <c r="DG348" s="6"/>
      <c r="DH348" s="6"/>
      <c r="DI348" s="6"/>
      <c r="DJ348" s="6"/>
      <c r="DK348" s="6"/>
      <c r="DL348" s="6"/>
      <c r="DM348" s="6"/>
      <c r="DN348" s="7">
        <f>ROUND(9001.32,2)</f>
        <v>9001.32</v>
      </c>
      <c r="DO348" s="6"/>
      <c r="DP348" s="7">
        <f>ROUND(5222.75999999999,2)</f>
        <v>5222.76</v>
      </c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7">
        <f>ROUND(3341.70999999999,2)</f>
        <v>3341.71</v>
      </c>
      <c r="EB348" s="6"/>
      <c r="EC348" s="6"/>
      <c r="ED348" s="7">
        <f>ROUND(2349.12,2)</f>
        <v>2349.12</v>
      </c>
      <c r="EE348" s="6"/>
      <c r="EF348" s="7">
        <f>ROUND(962.7,2)</f>
        <v>962.7</v>
      </c>
      <c r="EG348" s="7">
        <f>ROUND(385.08,2)</f>
        <v>385.08</v>
      </c>
      <c r="EH348" s="7">
        <f>ROUND(6307.2,2)</f>
        <v>6307.2</v>
      </c>
      <c r="EI348" s="6"/>
      <c r="EJ348" s="6"/>
      <c r="EK348" s="6"/>
      <c r="EL348" s="6"/>
      <c r="EM348" s="6"/>
      <c r="EN348" s="7">
        <f>ROUND(554.17,2)</f>
        <v>554.16999999999996</v>
      </c>
      <c r="EO348" s="6"/>
      <c r="EP348" s="7">
        <f>ROUND(396.6,2)</f>
        <v>396.6</v>
      </c>
      <c r="EQ348" s="6"/>
      <c r="ER348" s="6"/>
      <c r="ES348" s="6"/>
      <c r="ET348" s="6"/>
      <c r="EU348" s="6"/>
      <c r="EV348" s="7">
        <f>ROUND(500,2)</f>
        <v>500</v>
      </c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7">
        <f>ROUND(2000,2)</f>
        <v>2000</v>
      </c>
      <c r="FK348" s="6"/>
      <c r="FL348" s="6"/>
      <c r="FM348" s="6"/>
      <c r="FN348" s="6"/>
      <c r="FO348" s="6"/>
      <c r="FP348" s="6"/>
      <c r="FQ348" s="6"/>
      <c r="FR348" s="6"/>
      <c r="FS348" s="6"/>
      <c r="FT348" s="7">
        <f t="shared" si="26"/>
        <v>3000</v>
      </c>
      <c r="FU348" s="6"/>
      <c r="FV348" s="6"/>
      <c r="FW348" s="6"/>
      <c r="FX348" s="7">
        <f>ROUND(1089.28,2)</f>
        <v>1089.28</v>
      </c>
      <c r="FY348" s="7">
        <f>ROUND(119689.06,2)</f>
        <v>119689.06</v>
      </c>
    </row>
    <row r="349" spans="1:181" x14ac:dyDescent="0.3">
      <c r="A349" s="4" t="s">
        <v>897</v>
      </c>
      <c r="B349" s="5" t="s">
        <v>1029</v>
      </c>
      <c r="C349" s="5" t="s">
        <v>181</v>
      </c>
      <c r="D349" s="5" t="s">
        <v>499</v>
      </c>
      <c r="E349" s="5" t="s">
        <v>898</v>
      </c>
      <c r="F349" s="5" t="s">
        <v>0</v>
      </c>
      <c r="G349" s="5" t="s">
        <v>183</v>
      </c>
      <c r="H349" s="8">
        <v>33.880000000000003</v>
      </c>
      <c r="I349" s="7">
        <f>ROUND(97332.97,2)</f>
        <v>97332.97</v>
      </c>
      <c r="J349" s="6"/>
      <c r="K349" s="6"/>
      <c r="L349" s="6"/>
      <c r="M349" s="6"/>
      <c r="N349" s="7">
        <f>ROUND(344.469999999999,2)</f>
        <v>344.47</v>
      </c>
      <c r="O349" s="6"/>
      <c r="P349" s="6"/>
      <c r="Q349" s="7">
        <f>ROUND(138.34,2)</f>
        <v>138.34</v>
      </c>
      <c r="R349" s="6"/>
      <c r="S349" s="6"/>
      <c r="T349" s="6"/>
      <c r="U349" s="6"/>
      <c r="V349" s="7">
        <f>ROUND(25.23,2)</f>
        <v>25.23</v>
      </c>
      <c r="W349" s="7">
        <f>ROUND(33.17,2)</f>
        <v>33.17</v>
      </c>
      <c r="X349" s="7">
        <f>ROUND(7.1,2)</f>
        <v>7.1</v>
      </c>
      <c r="Y349" s="7">
        <f>ROUND(5.71,2)</f>
        <v>5.71</v>
      </c>
      <c r="Z349" s="6"/>
      <c r="AA349" s="6"/>
      <c r="AB349" s="6"/>
      <c r="AC349" s="6"/>
      <c r="AD349" s="6"/>
      <c r="AE349" s="7">
        <f>ROUND(9.75,2)</f>
        <v>9.75</v>
      </c>
      <c r="AF349" s="6"/>
      <c r="AG349" s="7">
        <f>ROUND(36.75,2)</f>
        <v>36.75</v>
      </c>
      <c r="AH349" s="6"/>
      <c r="AI349" s="6"/>
      <c r="AJ349" s="6"/>
      <c r="AK349" s="6"/>
      <c r="AL349" s="6"/>
      <c r="AM349" s="6"/>
      <c r="AN349" s="6"/>
      <c r="AO349" s="6"/>
      <c r="AP349" s="7">
        <f>ROUND(58.36,2)</f>
        <v>58.36</v>
      </c>
      <c r="AQ349" s="6"/>
      <c r="AR349" s="7">
        <f>ROUND(195.799999999999,2)</f>
        <v>195.8</v>
      </c>
      <c r="AS349" s="6"/>
      <c r="AT349" s="6"/>
      <c r="AU349" s="7">
        <f>ROUND(54.17,2)</f>
        <v>54.17</v>
      </c>
      <c r="AV349" s="7">
        <f>ROUND(5.83,2)</f>
        <v>5.83</v>
      </c>
      <c r="AW349" s="7">
        <f>ROUND(32,2)</f>
        <v>32</v>
      </c>
      <c r="AX349" s="7">
        <f>ROUND(8,2)</f>
        <v>8</v>
      </c>
      <c r="AY349" s="7">
        <f>ROUND(144,2)</f>
        <v>144</v>
      </c>
      <c r="AZ349" s="6"/>
      <c r="BA349" s="6"/>
      <c r="BB349" s="7">
        <f>ROUND(40,2)</f>
        <v>40</v>
      </c>
      <c r="BC349" s="6"/>
      <c r="BD349" s="7">
        <f>ROUND(8,2)</f>
        <v>8</v>
      </c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>
        <f>ROUND(1331.09,2)</f>
        <v>1331.09</v>
      </c>
      <c r="BP349" s="7">
        <f>ROUND(94.24,2)</f>
        <v>94.24</v>
      </c>
      <c r="BQ349" s="6"/>
      <c r="BR349" s="7">
        <f>ROUND(9,2)</f>
        <v>9</v>
      </c>
      <c r="BS349" s="6"/>
      <c r="BT349" s="7">
        <f>ROUND(7.67,2)</f>
        <v>7.67</v>
      </c>
      <c r="BU349" s="6"/>
      <c r="BV349" s="6"/>
      <c r="BW349" s="7">
        <f>ROUND(8,2)</f>
        <v>8</v>
      </c>
      <c r="BX349" s="7">
        <f>ROUND(72,2)</f>
        <v>72</v>
      </c>
      <c r="BY349" s="6"/>
      <c r="BZ349" s="6"/>
      <c r="CA349" s="7">
        <f>ROUND(45.05,2)</f>
        <v>45.05</v>
      </c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7">
        <f>ROUND(24,2)</f>
        <v>24</v>
      </c>
      <c r="CQ349" s="7">
        <f>ROUND(2737.73,2)</f>
        <v>2737.73</v>
      </c>
      <c r="CR349" s="6"/>
      <c r="CS349" s="6"/>
      <c r="CT349" s="6"/>
      <c r="CU349" s="6"/>
      <c r="CV349" s="7">
        <f>ROUND(11128.5299999999,2)</f>
        <v>11128.53</v>
      </c>
      <c r="CW349" s="6"/>
      <c r="CX349" s="6"/>
      <c r="CY349" s="7">
        <f>ROUND(6790.92,2)</f>
        <v>6790.92</v>
      </c>
      <c r="CZ349" s="6"/>
      <c r="DA349" s="6"/>
      <c r="DB349" s="6"/>
      <c r="DC349" s="6"/>
      <c r="DD349" s="7">
        <f>ROUND(822.86,2)</f>
        <v>822.86</v>
      </c>
      <c r="DE349" s="7">
        <f>ROUND(1626.83,2)</f>
        <v>1626.83</v>
      </c>
      <c r="DF349" s="7">
        <f>ROUND(234.14,2)</f>
        <v>234.14</v>
      </c>
      <c r="DG349" s="7">
        <f>ROUND(277.449999999999,2)</f>
        <v>277.45</v>
      </c>
      <c r="DH349" s="6"/>
      <c r="DI349" s="6"/>
      <c r="DJ349" s="6"/>
      <c r="DK349" s="6"/>
      <c r="DL349" s="6"/>
      <c r="DM349" s="6"/>
      <c r="DN349" s="7">
        <f>ROUND(318.43,2)</f>
        <v>318.43</v>
      </c>
      <c r="DO349" s="6"/>
      <c r="DP349" s="7">
        <f>ROUND(1818.32,2)</f>
        <v>1818.32</v>
      </c>
      <c r="DQ349" s="6"/>
      <c r="DR349" s="6"/>
      <c r="DS349" s="6"/>
      <c r="DT349" s="6"/>
      <c r="DU349" s="6"/>
      <c r="DV349" s="6"/>
      <c r="DW349" s="6"/>
      <c r="DX349" s="6"/>
      <c r="DY349" s="7">
        <f>ROUND(1911.07,2)</f>
        <v>1911.07</v>
      </c>
      <c r="DZ349" s="6"/>
      <c r="EA349" s="7">
        <f>ROUND(9597.78999999999,2)</f>
        <v>9597.7900000000009</v>
      </c>
      <c r="EB349" s="6"/>
      <c r="EC349" s="6"/>
      <c r="ED349" s="7">
        <f>ROUND(1762.4,2)</f>
        <v>1762.4</v>
      </c>
      <c r="EE349" s="7">
        <f>ROUND(289.05,2)</f>
        <v>289.05</v>
      </c>
      <c r="EF349" s="7">
        <f>ROUND(1056.56,2)</f>
        <v>1056.56</v>
      </c>
      <c r="EG349" s="7">
        <f>ROUND(385.08,2)</f>
        <v>385.08</v>
      </c>
      <c r="EH349" s="7">
        <f>ROUND(4690.08,2)</f>
        <v>4690.08</v>
      </c>
      <c r="EI349" s="6"/>
      <c r="EJ349" s="6"/>
      <c r="EK349" s="7">
        <f>ROUND(1283.6,2)</f>
        <v>1283.5999999999999</v>
      </c>
      <c r="EL349" s="6"/>
      <c r="EM349" s="6"/>
      <c r="EN349" s="7">
        <f>ROUND(256.72,2)</f>
        <v>256.72000000000003</v>
      </c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7">
        <f>ROUND(43502.2599999999,2)</f>
        <v>43502.26</v>
      </c>
      <c r="FC349" s="7">
        <f>ROUND(4659.54,2)</f>
        <v>4659.54</v>
      </c>
      <c r="FD349" s="6"/>
      <c r="FE349" s="7">
        <f>ROUND(433.22,2)</f>
        <v>433.22</v>
      </c>
      <c r="FF349" s="6"/>
      <c r="FG349" s="6"/>
      <c r="FH349" s="6"/>
      <c r="FI349" s="6"/>
      <c r="FJ349" s="7">
        <f>ROUND(675,2)</f>
        <v>675</v>
      </c>
      <c r="FK349" s="6"/>
      <c r="FL349" s="6"/>
      <c r="FM349" s="6"/>
      <c r="FN349" s="6"/>
      <c r="FO349" s="6"/>
      <c r="FP349" s="6"/>
      <c r="FQ349" s="6"/>
      <c r="FR349" s="6"/>
      <c r="FS349" s="6"/>
      <c r="FT349" s="7">
        <f t="shared" si="26"/>
        <v>3000</v>
      </c>
      <c r="FU349" s="6"/>
      <c r="FV349" s="6"/>
      <c r="FW349" s="6"/>
      <c r="FX349" s="7">
        <f>ROUND(813.12,2)</f>
        <v>813.12</v>
      </c>
      <c r="FY349" s="7">
        <f>ROUND(97332.97,2)</f>
        <v>97332.97</v>
      </c>
    </row>
    <row r="350" spans="1:181" x14ac:dyDescent="0.3">
      <c r="A350" s="4" t="s">
        <v>899</v>
      </c>
      <c r="B350" s="5" t="s">
        <v>1029</v>
      </c>
      <c r="C350" s="5" t="s">
        <v>181</v>
      </c>
      <c r="D350" s="5" t="s">
        <v>219</v>
      </c>
      <c r="E350" s="5" t="s">
        <v>0</v>
      </c>
      <c r="F350" s="5" t="s">
        <v>0</v>
      </c>
      <c r="G350" s="5" t="s">
        <v>183</v>
      </c>
      <c r="H350" s="8">
        <v>33.380000000000003</v>
      </c>
      <c r="I350" s="7">
        <f>ROUND(88030.58,2)</f>
        <v>88030.58</v>
      </c>
      <c r="J350" s="6"/>
      <c r="K350" s="6"/>
      <c r="L350" s="6"/>
      <c r="M350" s="6"/>
      <c r="N350" s="7">
        <f>ROUND(988.76,2)</f>
        <v>988.76</v>
      </c>
      <c r="O350" s="6"/>
      <c r="P350" s="6"/>
      <c r="Q350" s="7">
        <f>ROUND(152.449999999999,2)</f>
        <v>152.44999999999999</v>
      </c>
      <c r="R350" s="6"/>
      <c r="S350" s="6"/>
      <c r="T350" s="6"/>
      <c r="U350" s="6"/>
      <c r="V350" s="7">
        <f>ROUND(13.8,2)</f>
        <v>13.8</v>
      </c>
      <c r="W350" s="7">
        <f>ROUND(32.31,2)</f>
        <v>32.31</v>
      </c>
      <c r="X350" s="7">
        <f>ROUND(0.75,2)</f>
        <v>0.75</v>
      </c>
      <c r="Y350" s="6"/>
      <c r="Z350" s="6"/>
      <c r="AA350" s="6"/>
      <c r="AB350" s="6"/>
      <c r="AC350" s="6"/>
      <c r="AD350" s="6"/>
      <c r="AE350" s="7">
        <f>ROUND(333.22,2)</f>
        <v>333.22</v>
      </c>
      <c r="AF350" s="6"/>
      <c r="AG350" s="7">
        <f>ROUND(32.82,2)</f>
        <v>32.82</v>
      </c>
      <c r="AH350" s="6"/>
      <c r="AI350" s="6"/>
      <c r="AJ350" s="6"/>
      <c r="AK350" s="6"/>
      <c r="AL350" s="6"/>
      <c r="AM350" s="6"/>
      <c r="AN350" s="6"/>
      <c r="AO350" s="6"/>
      <c r="AP350" s="7">
        <f>ROUND(515.329999999999,2)</f>
        <v>515.33000000000004</v>
      </c>
      <c r="AQ350" s="6"/>
      <c r="AR350" s="7">
        <f>ROUND(83.08,2)</f>
        <v>83.08</v>
      </c>
      <c r="AS350" s="6"/>
      <c r="AT350" s="6"/>
      <c r="AU350" s="7">
        <f>ROUND(76,2)</f>
        <v>76</v>
      </c>
      <c r="AV350" s="6"/>
      <c r="AW350" s="7">
        <f>ROUND(20,2)</f>
        <v>20</v>
      </c>
      <c r="AX350" s="6"/>
      <c r="AY350" s="7">
        <f>ROUND(70,2)</f>
        <v>70</v>
      </c>
      <c r="AZ350" s="6"/>
      <c r="BA350" s="6"/>
      <c r="BB350" s="7">
        <f>ROUND(8,2)</f>
        <v>8</v>
      </c>
      <c r="BC350" s="6"/>
      <c r="BD350" s="7">
        <f>ROUND(8,2)</f>
        <v>8</v>
      </c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>
        <f>ROUND(16.27,2)</f>
        <v>16.27</v>
      </c>
      <c r="BP350" s="6"/>
      <c r="BQ350" s="7">
        <f>ROUND(39.5,2)</f>
        <v>39.5</v>
      </c>
      <c r="BR350" s="7">
        <f>ROUND(3.3,2)</f>
        <v>3.3</v>
      </c>
      <c r="BS350" s="6"/>
      <c r="BT350" s="7">
        <f>ROUND(0.97,2)</f>
        <v>0.97</v>
      </c>
      <c r="BU350" s="6"/>
      <c r="BV350" s="6"/>
      <c r="BW350" s="6"/>
      <c r="BX350" s="7">
        <f>ROUND(24,2)</f>
        <v>24</v>
      </c>
      <c r="BY350" s="7">
        <f>ROUND(26,2)</f>
        <v>26</v>
      </c>
      <c r="BZ350" s="6"/>
      <c r="CA350" s="7">
        <f>ROUND(15,2)</f>
        <v>15</v>
      </c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7">
        <f>ROUND(16,2)</f>
        <v>16</v>
      </c>
      <c r="CQ350" s="7">
        <f>ROUND(2475.56,2)</f>
        <v>2475.56</v>
      </c>
      <c r="CR350" s="6"/>
      <c r="CS350" s="6"/>
      <c r="CT350" s="6"/>
      <c r="CU350" s="6"/>
      <c r="CV350" s="7">
        <f>ROUND(32313.37,2)</f>
        <v>32313.37</v>
      </c>
      <c r="CW350" s="6"/>
      <c r="CX350" s="6"/>
      <c r="CY350" s="7">
        <f>ROUND(7535.00999999999,2)</f>
        <v>7535.01</v>
      </c>
      <c r="CZ350" s="6"/>
      <c r="DA350" s="6"/>
      <c r="DB350" s="6"/>
      <c r="DC350" s="6"/>
      <c r="DD350" s="7">
        <f>ROUND(449.55,2)</f>
        <v>449.55</v>
      </c>
      <c r="DE350" s="7">
        <f>ROUND(1594.01,2)</f>
        <v>1594.01</v>
      </c>
      <c r="DF350" s="7">
        <f>ROUND(24.79,2)</f>
        <v>24.79</v>
      </c>
      <c r="DG350" s="6"/>
      <c r="DH350" s="6"/>
      <c r="DI350" s="6"/>
      <c r="DJ350" s="6"/>
      <c r="DK350" s="6"/>
      <c r="DL350" s="6"/>
      <c r="DM350" s="6"/>
      <c r="DN350" s="7">
        <f>ROUND(10889.12,2)</f>
        <v>10889.12</v>
      </c>
      <c r="DO350" s="6"/>
      <c r="DP350" s="7">
        <f>ROUND(1620.88999999999,2)</f>
        <v>1620.89</v>
      </c>
      <c r="DQ350" s="6"/>
      <c r="DR350" s="6"/>
      <c r="DS350" s="6"/>
      <c r="DT350" s="6"/>
      <c r="DU350" s="6"/>
      <c r="DV350" s="6"/>
      <c r="DW350" s="6"/>
      <c r="DX350" s="6"/>
      <c r="DY350" s="7">
        <f>ROUND(16749.67,2)</f>
        <v>16749.669999999998</v>
      </c>
      <c r="DZ350" s="6"/>
      <c r="EA350" s="7">
        <f>ROUND(4080.23,2)</f>
        <v>4080.23</v>
      </c>
      <c r="EB350" s="6"/>
      <c r="EC350" s="6"/>
      <c r="ED350" s="7">
        <f>ROUND(2474.12,2)</f>
        <v>2474.12</v>
      </c>
      <c r="EE350" s="6"/>
      <c r="EF350" s="7">
        <f>ROUND(651.4,2)</f>
        <v>651.4</v>
      </c>
      <c r="EG350" s="6"/>
      <c r="EH350" s="7">
        <f>ROUND(2265.5,2)</f>
        <v>2265.5</v>
      </c>
      <c r="EI350" s="6"/>
      <c r="EJ350" s="6"/>
      <c r="EK350" s="7">
        <f>ROUND(256.72,2)</f>
        <v>256.72000000000003</v>
      </c>
      <c r="EL350" s="6"/>
      <c r="EM350" s="6"/>
      <c r="EN350" s="7">
        <f>ROUND(256.72,2)</f>
        <v>256.72000000000003</v>
      </c>
      <c r="EO350" s="6"/>
      <c r="EP350" s="6"/>
      <c r="EQ350" s="6"/>
      <c r="ER350" s="7">
        <f>ROUND(295,2)</f>
        <v>295</v>
      </c>
      <c r="ES350" s="6"/>
      <c r="ET350" s="6"/>
      <c r="EU350" s="6"/>
      <c r="EV350" s="6"/>
      <c r="EW350" s="6"/>
      <c r="EX350" s="6"/>
      <c r="EY350" s="6"/>
      <c r="EZ350" s="6"/>
      <c r="FA350" s="6"/>
      <c r="FB350" s="7">
        <f>ROUND(539.37,2)</f>
        <v>539.37</v>
      </c>
      <c r="FC350" s="6"/>
      <c r="FD350" s="7">
        <f>ROUND(1287.43,2)</f>
        <v>1287.43</v>
      </c>
      <c r="FE350" s="7">
        <f>ROUND(163.6,2)</f>
        <v>163.6</v>
      </c>
      <c r="FF350" s="6"/>
      <c r="FG350" s="6"/>
      <c r="FH350" s="6"/>
      <c r="FI350" s="6"/>
      <c r="FJ350" s="7">
        <f>ROUND(1050,2)</f>
        <v>1050</v>
      </c>
      <c r="FK350" s="6"/>
      <c r="FL350" s="6"/>
      <c r="FM350" s="6"/>
      <c r="FN350" s="6"/>
      <c r="FO350" s="6"/>
      <c r="FP350" s="6"/>
      <c r="FQ350" s="6"/>
      <c r="FR350" s="6"/>
      <c r="FS350" s="6"/>
      <c r="FT350" s="7">
        <f t="shared" si="26"/>
        <v>3000</v>
      </c>
      <c r="FU350" s="6"/>
      <c r="FV350" s="6"/>
      <c r="FW350" s="6"/>
      <c r="FX350" s="7">
        <f>ROUND(534.08,2)</f>
        <v>534.08000000000004</v>
      </c>
      <c r="FY350" s="7">
        <f>ROUND(88030.5799999999,2)</f>
        <v>88030.58</v>
      </c>
    </row>
    <row r="351" spans="1:181" x14ac:dyDescent="0.3">
      <c r="A351" s="4" t="s">
        <v>900</v>
      </c>
      <c r="B351" s="5" t="s">
        <v>1029</v>
      </c>
      <c r="C351" s="5" t="s">
        <v>181</v>
      </c>
      <c r="D351" s="5" t="s">
        <v>901</v>
      </c>
      <c r="E351" s="5" t="s">
        <v>0</v>
      </c>
      <c r="F351" s="5" t="s">
        <v>0</v>
      </c>
      <c r="G351" s="5" t="s">
        <v>183</v>
      </c>
      <c r="H351" s="8">
        <v>32.090000000000003</v>
      </c>
      <c r="I351" s="7">
        <f>ROUND(67597.51,2)</f>
        <v>67597.509999999995</v>
      </c>
      <c r="J351" s="6"/>
      <c r="K351" s="6"/>
      <c r="L351" s="6"/>
      <c r="M351" s="6"/>
      <c r="N351" s="7">
        <f>ROUND(1036.66,2)</f>
        <v>1036.6600000000001</v>
      </c>
      <c r="O351" s="6"/>
      <c r="P351" s="6"/>
      <c r="Q351" s="7">
        <f>ROUND(146.97,2)</f>
        <v>146.97</v>
      </c>
      <c r="R351" s="6"/>
      <c r="S351" s="6"/>
      <c r="T351" s="6"/>
      <c r="U351" s="6"/>
      <c r="V351" s="7">
        <f>ROUND(25.42,2)</f>
        <v>25.42</v>
      </c>
      <c r="W351" s="6"/>
      <c r="X351" s="6"/>
      <c r="Y351" s="6"/>
      <c r="Z351" s="6"/>
      <c r="AA351" s="6"/>
      <c r="AB351" s="6"/>
      <c r="AC351" s="6"/>
      <c r="AD351" s="6"/>
      <c r="AE351" s="7">
        <f>ROUND(90.64,2)</f>
        <v>90.64</v>
      </c>
      <c r="AF351" s="6"/>
      <c r="AG351" s="7">
        <f>ROUND(13.9699999999999,2)</f>
        <v>13.97</v>
      </c>
      <c r="AH351" s="6"/>
      <c r="AI351" s="6"/>
      <c r="AJ351" s="6"/>
      <c r="AK351" s="6"/>
      <c r="AL351" s="6"/>
      <c r="AM351" s="6"/>
      <c r="AN351" s="6"/>
      <c r="AO351" s="6"/>
      <c r="AP351" s="7">
        <f>ROUND(203.95,2)</f>
        <v>203.95</v>
      </c>
      <c r="AQ351" s="6"/>
      <c r="AR351" s="7">
        <f>ROUND(22.58,2)</f>
        <v>22.58</v>
      </c>
      <c r="AS351" s="6"/>
      <c r="AT351" s="6"/>
      <c r="AU351" s="7">
        <f>ROUND(54,2)</f>
        <v>54</v>
      </c>
      <c r="AV351" s="6"/>
      <c r="AW351" s="7">
        <f>ROUND(24,2)</f>
        <v>24</v>
      </c>
      <c r="AX351" s="6"/>
      <c r="AY351" s="7">
        <f>ROUND(42,2)</f>
        <v>42</v>
      </c>
      <c r="AZ351" s="6"/>
      <c r="BA351" s="6"/>
      <c r="BB351" s="7">
        <f>ROUND(34,2)</f>
        <v>34</v>
      </c>
      <c r="BC351" s="6"/>
      <c r="BD351" s="7">
        <f>ROUND(8,2)</f>
        <v>8</v>
      </c>
      <c r="BE351" s="6"/>
      <c r="BF351" s="6"/>
      <c r="BG351" s="7">
        <f>ROUND(73.12,2)</f>
        <v>73.12</v>
      </c>
      <c r="BH351" s="6"/>
      <c r="BI351" s="6"/>
      <c r="BJ351" s="6"/>
      <c r="BK351" s="6"/>
      <c r="BL351" s="6"/>
      <c r="BM351" s="6"/>
      <c r="BN351" s="6"/>
      <c r="BO351" s="7">
        <f>ROUND(19.22,2)</f>
        <v>19.22</v>
      </c>
      <c r="BP351" s="7">
        <f>ROUND(0.78,2)</f>
        <v>0.78</v>
      </c>
      <c r="BQ351" s="7">
        <f>ROUND(61,2)</f>
        <v>61</v>
      </c>
      <c r="BR351" s="7">
        <f>ROUND(14,2)</f>
        <v>14</v>
      </c>
      <c r="BS351" s="7">
        <f>ROUND(24,2)</f>
        <v>24</v>
      </c>
      <c r="BT351" s="7">
        <f>ROUND(5.49,2)</f>
        <v>5.49</v>
      </c>
      <c r="BU351" s="7">
        <f>ROUND(80,2)</f>
        <v>80</v>
      </c>
      <c r="BV351" s="6"/>
      <c r="BW351" s="7">
        <f>ROUND(16,2)</f>
        <v>16</v>
      </c>
      <c r="BX351" s="7">
        <f>ROUND(24,2)</f>
        <v>24</v>
      </c>
      <c r="BY351" s="7">
        <f>ROUND(8,2)</f>
        <v>8</v>
      </c>
      <c r="BZ351" s="6"/>
      <c r="CA351" s="7">
        <f>ROUND(56,2)</f>
        <v>56</v>
      </c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7">
        <f>ROUND(8,2)</f>
        <v>8</v>
      </c>
      <c r="CQ351" s="7">
        <f>ROUND(2091.79999999999,2)</f>
        <v>2091.8000000000002</v>
      </c>
      <c r="CR351" s="6"/>
      <c r="CS351" s="6"/>
      <c r="CT351" s="6"/>
      <c r="CU351" s="6"/>
      <c r="CV351" s="7">
        <f>ROUND(33633.58,2)</f>
        <v>33633.58</v>
      </c>
      <c r="CW351" s="6"/>
      <c r="CX351" s="6"/>
      <c r="CY351" s="7">
        <f>ROUND(7125.39,2)</f>
        <v>7125.39</v>
      </c>
      <c r="CZ351" s="6"/>
      <c r="DA351" s="6"/>
      <c r="DB351" s="6"/>
      <c r="DC351" s="6"/>
      <c r="DD351" s="7">
        <f>ROUND(818.31,2)</f>
        <v>818.31</v>
      </c>
      <c r="DE351" s="6"/>
      <c r="DF351" s="6"/>
      <c r="DG351" s="6"/>
      <c r="DH351" s="6"/>
      <c r="DI351" s="6"/>
      <c r="DJ351" s="6"/>
      <c r="DK351" s="6"/>
      <c r="DL351" s="6"/>
      <c r="DM351" s="6"/>
      <c r="DN351" s="7">
        <f>ROUND(2940.79999999999,2)</f>
        <v>2940.8</v>
      </c>
      <c r="DO351" s="6"/>
      <c r="DP351" s="7">
        <f>ROUND(674.7,2)</f>
        <v>674.7</v>
      </c>
      <c r="DQ351" s="6"/>
      <c r="DR351" s="6"/>
      <c r="DS351" s="6"/>
      <c r="DT351" s="6"/>
      <c r="DU351" s="6"/>
      <c r="DV351" s="6"/>
      <c r="DW351" s="6"/>
      <c r="DX351" s="6"/>
      <c r="DY351" s="7">
        <f>ROUND(6670.24999999999,2)</f>
        <v>6670.25</v>
      </c>
      <c r="DZ351" s="6"/>
      <c r="EA351" s="7">
        <f>ROUND(1101.94,2)</f>
        <v>1101.94</v>
      </c>
      <c r="EB351" s="6"/>
      <c r="EC351" s="6"/>
      <c r="ED351" s="7">
        <f>ROUND(1750.14,2)</f>
        <v>1750.14</v>
      </c>
      <c r="EE351" s="6"/>
      <c r="EF351" s="7">
        <f>ROUND(770.16,2)</f>
        <v>770.16</v>
      </c>
      <c r="EG351" s="6"/>
      <c r="EH351" s="7">
        <f>ROUND(1347.78,2)</f>
        <v>1347.78</v>
      </c>
      <c r="EI351" s="6"/>
      <c r="EJ351" s="6"/>
      <c r="EK351" s="7">
        <f>ROUND(1091.06,2)</f>
        <v>1091.06</v>
      </c>
      <c r="EL351" s="6"/>
      <c r="EM351" s="6"/>
      <c r="EN351" s="7">
        <f>ROUND(256.72,2)</f>
        <v>256.72000000000003</v>
      </c>
      <c r="EO351" s="6"/>
      <c r="EP351" s="6"/>
      <c r="EQ351" s="7">
        <f>ROUND(2391.41,2)</f>
        <v>2391.41</v>
      </c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7">
        <f>ROUND(616.77,2)</f>
        <v>616.77</v>
      </c>
      <c r="FC351" s="7">
        <f>ROUND(37.55,2)</f>
        <v>37.549999999999997</v>
      </c>
      <c r="FD351" s="7">
        <f>ROUND(1992.05,2)</f>
        <v>1992.05</v>
      </c>
      <c r="FE351" s="7">
        <f>ROUND(686.86,2)</f>
        <v>686.86</v>
      </c>
      <c r="FF351" s="6"/>
      <c r="FG351" s="6"/>
      <c r="FH351" s="6"/>
      <c r="FI351" s="6"/>
      <c r="FJ351" s="7">
        <f>ROUND(425,2)</f>
        <v>425</v>
      </c>
      <c r="FK351" s="6"/>
      <c r="FL351" s="6"/>
      <c r="FM351" s="6"/>
      <c r="FN351" s="6"/>
      <c r="FO351" s="6"/>
      <c r="FP351" s="6"/>
      <c r="FQ351" s="6"/>
      <c r="FR351" s="6"/>
      <c r="FS351" s="6"/>
      <c r="FT351" s="7">
        <f t="shared" si="26"/>
        <v>3000</v>
      </c>
      <c r="FU351" s="6"/>
      <c r="FV351" s="6"/>
      <c r="FW351" s="6"/>
      <c r="FX351" s="7">
        <f>ROUND(267.04,2)</f>
        <v>267.04000000000002</v>
      </c>
      <c r="FY351" s="7">
        <f>ROUND(67597.51,2)</f>
        <v>67597.509999999995</v>
      </c>
    </row>
    <row r="352" spans="1:181" x14ac:dyDescent="0.3">
      <c r="A352" s="4" t="s">
        <v>904</v>
      </c>
      <c r="B352" s="5" t="s">
        <v>1029</v>
      </c>
      <c r="C352" s="5" t="s">
        <v>181</v>
      </c>
      <c r="D352" s="5" t="s">
        <v>398</v>
      </c>
      <c r="E352" s="5" t="s">
        <v>905</v>
      </c>
      <c r="F352" s="5" t="s">
        <v>0</v>
      </c>
      <c r="G352" s="5" t="s">
        <v>183</v>
      </c>
      <c r="H352" s="8">
        <v>32.090000000000003</v>
      </c>
      <c r="I352" s="7">
        <f>ROUND(9065.43,2)</f>
        <v>9065.43</v>
      </c>
      <c r="J352" s="6"/>
      <c r="K352" s="6"/>
      <c r="L352" s="6"/>
      <c r="M352" s="6"/>
      <c r="N352" s="7">
        <f>ROUND(111.5,2)</f>
        <v>111.5</v>
      </c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7">
        <f>ROUND(18,2)</f>
        <v>18</v>
      </c>
      <c r="AF352" s="6"/>
      <c r="AG352" s="7">
        <f>ROUND(6,2)</f>
        <v>6</v>
      </c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7">
        <f>ROUND(16,2)</f>
        <v>16</v>
      </c>
      <c r="AV352" s="6"/>
      <c r="AW352" s="7">
        <f>ROUND(8,2)</f>
        <v>8</v>
      </c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7">
        <f>ROUND(8,2)</f>
        <v>8</v>
      </c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7">
        <f>ROUND(112,2)</f>
        <v>112</v>
      </c>
      <c r="CQ352" s="7">
        <f>ROUND(279.5,2)</f>
        <v>279.5</v>
      </c>
      <c r="CR352" s="6"/>
      <c r="CS352" s="6"/>
      <c r="CT352" s="6"/>
      <c r="CU352" s="6"/>
      <c r="CV352" s="7">
        <f>ROUND(3578.04,2)</f>
        <v>3578.04</v>
      </c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7">
        <f>ROUND(577.62,2)</f>
        <v>577.62</v>
      </c>
      <c r="DO352" s="6"/>
      <c r="DP352" s="7">
        <f>ROUND(288.81,2)</f>
        <v>288.81</v>
      </c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7">
        <f>ROUND(513.44,2)</f>
        <v>513.44000000000005</v>
      </c>
      <c r="EE352" s="6"/>
      <c r="EF352" s="7">
        <f>ROUND(256.72,2)</f>
        <v>256.72000000000003</v>
      </c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7">
        <f>ROUND(256.72,2)</f>
        <v>256.72000000000003</v>
      </c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7">
        <f>ROUND(3594.08,2)</f>
        <v>3594.08</v>
      </c>
      <c r="FY352" s="7">
        <f>ROUND(9065.43,2)</f>
        <v>9065.43</v>
      </c>
    </row>
    <row r="353" spans="1:181" x14ac:dyDescent="0.3">
      <c r="A353" s="4" t="s">
        <v>910</v>
      </c>
      <c r="B353" s="5" t="s">
        <v>1029</v>
      </c>
      <c r="C353" s="5" t="s">
        <v>181</v>
      </c>
      <c r="D353" s="5" t="s">
        <v>911</v>
      </c>
      <c r="E353" s="5" t="s">
        <v>912</v>
      </c>
      <c r="F353" s="5" t="s">
        <v>0</v>
      </c>
      <c r="G353" s="5" t="s">
        <v>183</v>
      </c>
      <c r="H353" s="8">
        <v>32.090000000000003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</row>
    <row r="354" spans="1:181" x14ac:dyDescent="0.3">
      <c r="A354" s="4" t="s">
        <v>913</v>
      </c>
      <c r="B354" s="5" t="s">
        <v>1029</v>
      </c>
      <c r="C354" s="5" t="s">
        <v>181</v>
      </c>
      <c r="D354" s="5" t="s">
        <v>303</v>
      </c>
      <c r="E354" s="5" t="s">
        <v>914</v>
      </c>
      <c r="F354" s="5" t="s">
        <v>0</v>
      </c>
      <c r="G354" s="5" t="s">
        <v>183</v>
      </c>
      <c r="H354" s="9">
        <v>31.71</v>
      </c>
      <c r="I354" s="7">
        <f>ROUND(60228.45,2)</f>
        <v>60228.45</v>
      </c>
      <c r="J354" s="6"/>
      <c r="K354" s="6"/>
      <c r="L354" s="6"/>
      <c r="M354" s="6"/>
      <c r="N354" s="7">
        <f>ROUND(658.349999999999,2)</f>
        <v>658.35</v>
      </c>
      <c r="O354" s="6"/>
      <c r="P354" s="6"/>
      <c r="Q354" s="7">
        <f>ROUND(92.95,2)</f>
        <v>92.95</v>
      </c>
      <c r="R354" s="6"/>
      <c r="S354" s="6"/>
      <c r="T354" s="6"/>
      <c r="U354" s="6"/>
      <c r="V354" s="7">
        <f>ROUND(12,2)</f>
        <v>12</v>
      </c>
      <c r="W354" s="7">
        <f>ROUND(15.05,2)</f>
        <v>15.05</v>
      </c>
      <c r="X354" s="7">
        <f>ROUND(1.52999999999999,2)</f>
        <v>1.53</v>
      </c>
      <c r="Y354" s="7">
        <f>ROUND(0.83,2)</f>
        <v>0.83</v>
      </c>
      <c r="Z354" s="6"/>
      <c r="AA354" s="6"/>
      <c r="AB354" s="6"/>
      <c r="AC354" s="6"/>
      <c r="AD354" s="6"/>
      <c r="AE354" s="7">
        <f>ROUND(169.1,2)</f>
        <v>169.1</v>
      </c>
      <c r="AF354" s="6"/>
      <c r="AG354" s="7">
        <f>ROUND(34.23,2)</f>
        <v>34.229999999999997</v>
      </c>
      <c r="AH354" s="6"/>
      <c r="AI354" s="6"/>
      <c r="AJ354" s="6"/>
      <c r="AK354" s="6"/>
      <c r="AL354" s="6"/>
      <c r="AM354" s="6"/>
      <c r="AN354" s="6"/>
      <c r="AO354" s="6"/>
      <c r="AP354" s="7">
        <f>ROUND(568.33,2)</f>
        <v>568.33000000000004</v>
      </c>
      <c r="AQ354" s="6"/>
      <c r="AR354" s="7">
        <f>ROUND(115.8,2)</f>
        <v>115.8</v>
      </c>
      <c r="AS354" s="6"/>
      <c r="AT354" s="6"/>
      <c r="AU354" s="7">
        <f>ROUND(60,2)</f>
        <v>60</v>
      </c>
      <c r="AV354" s="6"/>
      <c r="AW354" s="7">
        <f>ROUND(23.97,2)</f>
        <v>23.97</v>
      </c>
      <c r="AX354" s="7">
        <f>ROUND(2.03,2)</f>
        <v>2.0299999999999998</v>
      </c>
      <c r="AY354" s="7">
        <f>ROUND(10,2)</f>
        <v>10</v>
      </c>
      <c r="AZ354" s="6"/>
      <c r="BA354" s="6"/>
      <c r="BB354" s="7">
        <f>ROUND(36,2)</f>
        <v>36</v>
      </c>
      <c r="BC354" s="6"/>
      <c r="BD354" s="7">
        <f t="shared" ref="BD354:BD359" si="28">ROUND(8,2)</f>
        <v>8</v>
      </c>
      <c r="BE354" s="7">
        <f>ROUND(1.33,2)</f>
        <v>1.33</v>
      </c>
      <c r="BF354" s="6"/>
      <c r="BG354" s="6"/>
      <c r="BH354" s="6"/>
      <c r="BI354" s="6"/>
      <c r="BJ354" s="6"/>
      <c r="BK354" s="6"/>
      <c r="BL354" s="6"/>
      <c r="BM354" s="6"/>
      <c r="BN354" s="6"/>
      <c r="BO354" s="7">
        <f>ROUND(18,2)</f>
        <v>18</v>
      </c>
      <c r="BP354" s="6"/>
      <c r="BQ354" s="7">
        <f>ROUND(33.58,2)</f>
        <v>33.58</v>
      </c>
      <c r="BR354" s="6"/>
      <c r="BS354" s="7">
        <f>ROUND(32,2)</f>
        <v>32</v>
      </c>
      <c r="BT354" s="7">
        <f>ROUND(7.33,2)</f>
        <v>7.33</v>
      </c>
      <c r="BU354" s="6"/>
      <c r="BV354" s="6"/>
      <c r="BW354" s="7">
        <f>ROUND(8,2)</f>
        <v>8</v>
      </c>
      <c r="BX354" s="6"/>
      <c r="BY354" s="7">
        <f>ROUND(10,2)</f>
        <v>10</v>
      </c>
      <c r="BZ354" s="7">
        <f>ROUND(96,2)</f>
        <v>96</v>
      </c>
      <c r="CA354" s="7">
        <f>ROUND(432,2)</f>
        <v>432</v>
      </c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7">
        <f>ROUND(2446.41,2)</f>
        <v>2446.41</v>
      </c>
      <c r="CR354" s="6"/>
      <c r="CS354" s="6"/>
      <c r="CT354" s="6"/>
      <c r="CU354" s="6"/>
      <c r="CV354" s="7">
        <f>ROUND(19760.46,2)</f>
        <v>19760.46</v>
      </c>
      <c r="CW354" s="6"/>
      <c r="CX354" s="6"/>
      <c r="CY354" s="7">
        <f>ROUND(4191.79,2)</f>
        <v>4191.79</v>
      </c>
      <c r="CZ354" s="6"/>
      <c r="DA354" s="6"/>
      <c r="DB354" s="6"/>
      <c r="DC354" s="6"/>
      <c r="DD354" s="7">
        <f>ROUND(358.94,2)</f>
        <v>358.94</v>
      </c>
      <c r="DE354" s="7">
        <f>ROUND(708.77,2)</f>
        <v>708.77</v>
      </c>
      <c r="DF354" s="7">
        <f>ROUND(45.12,2)</f>
        <v>45.12</v>
      </c>
      <c r="DG354" s="7">
        <f>ROUND(35.96,2)</f>
        <v>35.96</v>
      </c>
      <c r="DH354" s="6"/>
      <c r="DI354" s="6"/>
      <c r="DJ354" s="6"/>
      <c r="DK354" s="6"/>
      <c r="DL354" s="6"/>
      <c r="DM354" s="6"/>
      <c r="DN354" s="7">
        <f>ROUND(5109.13999999999,2)</f>
        <v>5109.1400000000003</v>
      </c>
      <c r="DO354" s="6"/>
      <c r="DP354" s="7">
        <f>ROUND(1499.35,2)</f>
        <v>1499.35</v>
      </c>
      <c r="DQ354" s="6"/>
      <c r="DR354" s="6"/>
      <c r="DS354" s="6"/>
      <c r="DT354" s="6"/>
      <c r="DU354" s="6"/>
      <c r="DV354" s="6"/>
      <c r="DW354" s="6"/>
      <c r="DX354" s="6"/>
      <c r="DY354" s="7">
        <f>ROUND(17087.5,2)</f>
        <v>17087.5</v>
      </c>
      <c r="DZ354" s="6"/>
      <c r="EA354" s="7">
        <f>ROUND(5176.95,2)</f>
        <v>5176.95</v>
      </c>
      <c r="EB354" s="6"/>
      <c r="EC354" s="6"/>
      <c r="ED354" s="7">
        <f>ROUND(1794.26,2)</f>
        <v>1794.26</v>
      </c>
      <c r="EE354" s="6"/>
      <c r="EF354" s="7">
        <f>ROUND(737.61,2)</f>
        <v>737.61</v>
      </c>
      <c r="EG354" s="7">
        <f>ROUND(87.94,2)</f>
        <v>87.94</v>
      </c>
      <c r="EH354" s="7">
        <f>ROUND(304.9,2)</f>
        <v>304.89999999999998</v>
      </c>
      <c r="EI354" s="6"/>
      <c r="EJ354" s="6"/>
      <c r="EK354" s="7">
        <f>ROUND(1101.13999999999,2)</f>
        <v>1101.1400000000001</v>
      </c>
      <c r="EL354" s="6"/>
      <c r="EM354" s="6"/>
      <c r="EN354" s="7">
        <f>ROUND(243.92,2)</f>
        <v>243.92</v>
      </c>
      <c r="EO354" s="7">
        <f>ROUND(38.41,2)</f>
        <v>38.409999999999997</v>
      </c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7">
        <f>ROUND(556.099999999999,2)</f>
        <v>556.1</v>
      </c>
      <c r="FC354" s="6"/>
      <c r="FD354" s="7">
        <f>ROUND(990.19,2)</f>
        <v>990.19</v>
      </c>
      <c r="FE354" s="6"/>
      <c r="FF354" s="6"/>
      <c r="FG354" s="6"/>
      <c r="FH354" s="6"/>
      <c r="FI354" s="6"/>
      <c r="FJ354" s="7">
        <f>ROUND(400,2)</f>
        <v>400</v>
      </c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7">
        <f>ROUND(60228.45,2)</f>
        <v>60228.45</v>
      </c>
    </row>
    <row r="355" spans="1:181" x14ac:dyDescent="0.3">
      <c r="A355" s="4" t="s">
        <v>918</v>
      </c>
      <c r="B355" s="5" t="s">
        <v>1029</v>
      </c>
      <c r="C355" s="5" t="s">
        <v>181</v>
      </c>
      <c r="D355" s="5" t="s">
        <v>249</v>
      </c>
      <c r="E355" s="5" t="s">
        <v>0</v>
      </c>
      <c r="F355" s="5" t="s">
        <v>0</v>
      </c>
      <c r="G355" s="5" t="s">
        <v>183</v>
      </c>
      <c r="H355" s="8">
        <v>33.880000000000003</v>
      </c>
      <c r="I355" s="7">
        <f>ROUND(116552.299999999,2)</f>
        <v>116552.3</v>
      </c>
      <c r="J355" s="6"/>
      <c r="K355" s="6"/>
      <c r="L355" s="6"/>
      <c r="M355" s="6"/>
      <c r="N355" s="7">
        <f>ROUND(1803.85,2)</f>
        <v>1803.85</v>
      </c>
      <c r="O355" s="6"/>
      <c r="P355" s="6"/>
      <c r="Q355" s="7">
        <f>ROUND(660.15,2)</f>
        <v>660.15</v>
      </c>
      <c r="R355" s="6"/>
      <c r="S355" s="6"/>
      <c r="T355" s="6"/>
      <c r="U355" s="6"/>
      <c r="V355" s="7">
        <f>ROUND(6.5,2)</f>
        <v>6.5</v>
      </c>
      <c r="W355" s="7">
        <f>ROUND(16.05,2)</f>
        <v>16.05</v>
      </c>
      <c r="X355" s="6"/>
      <c r="Y355" s="7">
        <f>ROUND(0.83,2)</f>
        <v>0.83</v>
      </c>
      <c r="Z355" s="6"/>
      <c r="AA355" s="6"/>
      <c r="AB355" s="6"/>
      <c r="AC355" s="6"/>
      <c r="AD355" s="6"/>
      <c r="AE355" s="7">
        <f>ROUND(17.93,2)</f>
        <v>17.93</v>
      </c>
      <c r="AF355" s="6"/>
      <c r="AG355" s="7">
        <f>ROUND(28.88,2)</f>
        <v>28.88</v>
      </c>
      <c r="AH355" s="6"/>
      <c r="AI355" s="6"/>
      <c r="AJ355" s="6"/>
      <c r="AK355" s="6"/>
      <c r="AL355" s="6"/>
      <c r="AM355" s="6"/>
      <c r="AN355" s="6"/>
      <c r="AO355" s="6"/>
      <c r="AP355" s="7">
        <f>ROUND(90.4799999999999,2)</f>
        <v>90.48</v>
      </c>
      <c r="AQ355" s="6"/>
      <c r="AR355" s="7">
        <f>ROUND(93,2)</f>
        <v>93</v>
      </c>
      <c r="AS355" s="6"/>
      <c r="AT355" s="6"/>
      <c r="AU355" s="7">
        <f>ROUND(61.13,2)</f>
        <v>61.13</v>
      </c>
      <c r="AV355" s="7">
        <f>ROUND(6.87,2)</f>
        <v>6.87</v>
      </c>
      <c r="AW355" s="7">
        <f>ROUND(30,2)</f>
        <v>30</v>
      </c>
      <c r="AX355" s="7">
        <f>ROUND(8,2)</f>
        <v>8</v>
      </c>
      <c r="AY355" s="7">
        <f>ROUND(45.92,2)</f>
        <v>45.92</v>
      </c>
      <c r="AZ355" s="7">
        <f>ROUND(6.08,2)</f>
        <v>6.08</v>
      </c>
      <c r="BA355" s="6"/>
      <c r="BB355" s="7">
        <f>ROUND(26,2)</f>
        <v>26</v>
      </c>
      <c r="BC355" s="6"/>
      <c r="BD355" s="7">
        <f t="shared" si="28"/>
        <v>8</v>
      </c>
      <c r="BE355" s="7">
        <f>ROUND(1.93,2)</f>
        <v>1.93</v>
      </c>
      <c r="BF355" s="6"/>
      <c r="BG355" s="7">
        <f>ROUND(54.36,2)</f>
        <v>54.36</v>
      </c>
      <c r="BH355" s="6"/>
      <c r="BI355" s="6"/>
      <c r="BJ355" s="6"/>
      <c r="BK355" s="6"/>
      <c r="BL355" s="6"/>
      <c r="BM355" s="6"/>
      <c r="BN355" s="6"/>
      <c r="BO355" s="7">
        <f>ROUND(7.25,2)</f>
        <v>7.25</v>
      </c>
      <c r="BP355" s="7">
        <f>ROUND(2.75,2)</f>
        <v>2.75</v>
      </c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7">
        <f>ROUND(48,2)</f>
        <v>48</v>
      </c>
      <c r="CQ355" s="7">
        <f>ROUND(3023.96,2)</f>
        <v>3023.96</v>
      </c>
      <c r="CR355" s="6"/>
      <c r="CS355" s="6"/>
      <c r="CT355" s="6"/>
      <c r="CU355" s="6"/>
      <c r="CV355" s="7">
        <f>ROUND(58852.5699999999,2)</f>
        <v>58852.57</v>
      </c>
      <c r="CW355" s="6"/>
      <c r="CX355" s="6"/>
      <c r="CY355" s="7">
        <f>ROUND(32341.74,2)</f>
        <v>32341.74</v>
      </c>
      <c r="CZ355" s="6"/>
      <c r="DA355" s="6"/>
      <c r="DB355" s="6"/>
      <c r="DC355" s="6"/>
      <c r="DD355" s="7">
        <f>ROUND(215.8,2)</f>
        <v>215.8</v>
      </c>
      <c r="DE355" s="7">
        <f>ROUND(783.739999999999,2)</f>
        <v>783.74</v>
      </c>
      <c r="DF355" s="6"/>
      <c r="DG355" s="7">
        <f>ROUND(39.95,2)</f>
        <v>39.950000000000003</v>
      </c>
      <c r="DH355" s="6"/>
      <c r="DI355" s="6"/>
      <c r="DJ355" s="6"/>
      <c r="DK355" s="6"/>
      <c r="DL355" s="6"/>
      <c r="DM355" s="6"/>
      <c r="DN355" s="7">
        <f>ROUND(604.01,2)</f>
        <v>604.01</v>
      </c>
      <c r="DO355" s="6"/>
      <c r="DP355" s="7">
        <f>ROUND(1390.14,2)</f>
        <v>1390.14</v>
      </c>
      <c r="DQ355" s="6"/>
      <c r="DR355" s="6"/>
      <c r="DS355" s="6"/>
      <c r="DT355" s="6"/>
      <c r="DU355" s="6"/>
      <c r="DV355" s="6"/>
      <c r="DW355" s="6"/>
      <c r="DX355" s="6"/>
      <c r="DY355" s="7">
        <f>ROUND(2986.05,2)</f>
        <v>2986.05</v>
      </c>
      <c r="DZ355" s="6"/>
      <c r="EA355" s="7">
        <f>ROUND(4495.79,2)</f>
        <v>4495.79</v>
      </c>
      <c r="EB355" s="6"/>
      <c r="EC355" s="6"/>
      <c r="ED355" s="7">
        <f>ROUND(1988.42999999999,2)</f>
        <v>1988.43</v>
      </c>
      <c r="EE355" s="7">
        <f>ROUND(340.61,2)</f>
        <v>340.61</v>
      </c>
      <c r="EF355" s="7">
        <f>ROUND(991.5,2)</f>
        <v>991.5</v>
      </c>
      <c r="EG355" s="7">
        <f>ROUND(396.6,2)</f>
        <v>396.6</v>
      </c>
      <c r="EH355" s="7">
        <f>ROUND(1517.65999999999,2)</f>
        <v>1517.66</v>
      </c>
      <c r="EI355" s="7">
        <f>ROUND(301.42,2)</f>
        <v>301.42</v>
      </c>
      <c r="EJ355" s="6"/>
      <c r="EK355" s="7">
        <f>ROUND(859.3,2)</f>
        <v>859.3</v>
      </c>
      <c r="EL355" s="6"/>
      <c r="EM355" s="6"/>
      <c r="EN355" s="7">
        <f>ROUND(256.72,2)</f>
        <v>256.72000000000003</v>
      </c>
      <c r="EO355" s="7">
        <f>ROUND(63.79,2)</f>
        <v>63.79</v>
      </c>
      <c r="EP355" s="6"/>
      <c r="EQ355" s="7">
        <f>ROUND(1796.59,2)</f>
        <v>1796.59</v>
      </c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7">
        <f>ROUND(240.7,2)</f>
        <v>240.7</v>
      </c>
      <c r="FC355" s="7">
        <f>ROUND(136.95,2)</f>
        <v>136.94999999999999</v>
      </c>
      <c r="FD355" s="6"/>
      <c r="FE355" s="6"/>
      <c r="FF355" s="6"/>
      <c r="FG355" s="6"/>
      <c r="FH355" s="6"/>
      <c r="FI355" s="6"/>
      <c r="FJ355" s="7">
        <f>ROUND(1350,2)</f>
        <v>1350</v>
      </c>
      <c r="FK355" s="6"/>
      <c r="FL355" s="6"/>
      <c r="FM355" s="6"/>
      <c r="FN355" s="6"/>
      <c r="FO355" s="6"/>
      <c r="FP355" s="6"/>
      <c r="FQ355" s="6"/>
      <c r="FR355" s="6"/>
      <c r="FS355" s="6"/>
      <c r="FT355" s="7">
        <f>ROUND(3000,2)</f>
        <v>3000</v>
      </c>
      <c r="FU355" s="6"/>
      <c r="FV355" s="6"/>
      <c r="FW355" s="6"/>
      <c r="FX355" s="7">
        <f>ROUND(1602.24,2)</f>
        <v>1602.24</v>
      </c>
      <c r="FY355" s="7">
        <f>ROUND(116552.299999999,2)</f>
        <v>116552.3</v>
      </c>
    </row>
    <row r="356" spans="1:181" x14ac:dyDescent="0.3">
      <c r="A356" s="4" t="s">
        <v>919</v>
      </c>
      <c r="B356" s="5" t="s">
        <v>1029</v>
      </c>
      <c r="C356" s="5" t="s">
        <v>181</v>
      </c>
      <c r="D356" s="5" t="s">
        <v>920</v>
      </c>
      <c r="E356" s="5" t="s">
        <v>0</v>
      </c>
      <c r="F356" s="5" t="s">
        <v>0</v>
      </c>
      <c r="G356" s="5" t="s">
        <v>183</v>
      </c>
      <c r="H356" s="8">
        <v>34.04</v>
      </c>
      <c r="I356" s="7">
        <f>ROUND(102992.449999999,2)</f>
        <v>102992.45</v>
      </c>
      <c r="J356" s="6"/>
      <c r="K356" s="6"/>
      <c r="L356" s="6"/>
      <c r="M356" s="6"/>
      <c r="N356" s="7">
        <f>ROUND(1353.35,2)</f>
        <v>1353.35</v>
      </c>
      <c r="O356" s="6"/>
      <c r="P356" s="6"/>
      <c r="Q356" s="7">
        <f>ROUND(383.62,2)</f>
        <v>383.62</v>
      </c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7">
        <f>ROUND(550,2)</f>
        <v>550</v>
      </c>
      <c r="AF356" s="6"/>
      <c r="AG356" s="7">
        <f>ROUND(142.079999999999,2)</f>
        <v>142.08000000000001</v>
      </c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7">
        <f>ROUND(68,2)</f>
        <v>68</v>
      </c>
      <c r="AV356" s="6"/>
      <c r="AW356" s="7">
        <f>ROUND(32,2)</f>
        <v>32</v>
      </c>
      <c r="AX356" s="6"/>
      <c r="AY356" s="7">
        <f>ROUND(120.65,2)</f>
        <v>120.65</v>
      </c>
      <c r="AZ356" s="7">
        <f>ROUND(7.35,2)</f>
        <v>7.35</v>
      </c>
      <c r="BA356" s="6"/>
      <c r="BB356" s="6"/>
      <c r="BC356" s="6"/>
      <c r="BD356" s="7">
        <f t="shared" si="28"/>
        <v>8</v>
      </c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7">
        <f>ROUND(72,2)</f>
        <v>72</v>
      </c>
      <c r="CQ356" s="7">
        <f>ROUND(2737.05,2)</f>
        <v>2737.05</v>
      </c>
      <c r="CR356" s="6"/>
      <c r="CS356" s="6"/>
      <c r="CT356" s="6"/>
      <c r="CU356" s="6"/>
      <c r="CV356" s="7">
        <f>ROUND(44050.4599999999,2)</f>
        <v>44050.46</v>
      </c>
      <c r="CW356" s="6"/>
      <c r="CX356" s="6"/>
      <c r="CY356" s="7">
        <f>ROUND(18737.15,2)</f>
        <v>18737.150000000001</v>
      </c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7">
        <f>ROUND(17978.06,2)</f>
        <v>17978.060000000001</v>
      </c>
      <c r="DO356" s="6"/>
      <c r="DP356" s="7">
        <f>ROUND(6962.23,2)</f>
        <v>6962.23</v>
      </c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7">
        <f>ROUND(2219.48,2)</f>
        <v>2219.48</v>
      </c>
      <c r="EE356" s="6"/>
      <c r="EF356" s="7">
        <f>ROUND(1026.88,2)</f>
        <v>1026.8800000000001</v>
      </c>
      <c r="EG356" s="6"/>
      <c r="EH356" s="7">
        <f>ROUND(3948.58,2)</f>
        <v>3948.58</v>
      </c>
      <c r="EI356" s="7">
        <f>ROUND(373.53,2)</f>
        <v>373.53</v>
      </c>
      <c r="EJ356" s="6"/>
      <c r="EK356" s="6"/>
      <c r="EL356" s="6"/>
      <c r="EM356" s="6"/>
      <c r="EN356" s="7">
        <f>ROUND(256.72,2)</f>
        <v>256.72000000000003</v>
      </c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7">
        <f>ROUND(2000,2)</f>
        <v>2000</v>
      </c>
      <c r="FK356" s="6"/>
      <c r="FL356" s="6"/>
      <c r="FM356" s="6"/>
      <c r="FN356" s="6"/>
      <c r="FO356" s="6"/>
      <c r="FP356" s="6"/>
      <c r="FQ356" s="6"/>
      <c r="FR356" s="6"/>
      <c r="FS356" s="6"/>
      <c r="FT356" s="7">
        <f>ROUND(3000,2)</f>
        <v>3000</v>
      </c>
      <c r="FU356" s="6"/>
      <c r="FV356" s="6"/>
      <c r="FW356" s="6"/>
      <c r="FX356" s="7">
        <f>ROUND(2439.36,2)</f>
        <v>2439.36</v>
      </c>
      <c r="FY356" s="7">
        <f>ROUND(102992.449999999,2)</f>
        <v>102992.45</v>
      </c>
    </row>
    <row r="357" spans="1:181" x14ac:dyDescent="0.3">
      <c r="A357" s="4" t="s">
        <v>921</v>
      </c>
      <c r="B357" s="5" t="s">
        <v>1029</v>
      </c>
      <c r="C357" s="5" t="s">
        <v>181</v>
      </c>
      <c r="D357" s="5" t="s">
        <v>390</v>
      </c>
      <c r="E357" s="5" t="s">
        <v>0</v>
      </c>
      <c r="F357" s="5" t="s">
        <v>0</v>
      </c>
      <c r="G357" s="5" t="s">
        <v>183</v>
      </c>
      <c r="H357" s="9">
        <v>33.380000000000003</v>
      </c>
      <c r="I357" s="7">
        <f>ROUND(103911.399999999,2)</f>
        <v>103911.4</v>
      </c>
      <c r="J357" s="6"/>
      <c r="K357" s="6"/>
      <c r="L357" s="6"/>
      <c r="M357" s="6"/>
      <c r="N357" s="7">
        <f>ROUND(1150.41999999999,2)</f>
        <v>1150.42</v>
      </c>
      <c r="O357" s="6"/>
      <c r="P357" s="6"/>
      <c r="Q357" s="7">
        <f>ROUND(360.71,2)</f>
        <v>360.71</v>
      </c>
      <c r="R357" s="6"/>
      <c r="S357" s="6"/>
      <c r="T357" s="6"/>
      <c r="U357" s="6"/>
      <c r="V357" s="7">
        <f>ROUND(17.42,2)</f>
        <v>17.420000000000002</v>
      </c>
      <c r="W357" s="7">
        <f>ROUND(16.53,2)</f>
        <v>16.53</v>
      </c>
      <c r="X357" s="7">
        <f>ROUND(1.8,2)</f>
        <v>1.8</v>
      </c>
      <c r="Y357" s="7">
        <f>ROUND(0.87,2)</f>
        <v>0.87</v>
      </c>
      <c r="Z357" s="6"/>
      <c r="AA357" s="6"/>
      <c r="AB357" s="6"/>
      <c r="AC357" s="6"/>
      <c r="AD357" s="6"/>
      <c r="AE357" s="7">
        <f>ROUND(247.27,2)</f>
        <v>247.27</v>
      </c>
      <c r="AF357" s="6"/>
      <c r="AG357" s="7">
        <f>ROUND(124.71,2)</f>
        <v>124.71</v>
      </c>
      <c r="AH357" s="6"/>
      <c r="AI357" s="6"/>
      <c r="AJ357" s="6"/>
      <c r="AK357" s="6"/>
      <c r="AL357" s="6"/>
      <c r="AM357" s="6"/>
      <c r="AN357" s="6"/>
      <c r="AO357" s="6"/>
      <c r="AP357" s="7">
        <f>ROUND(533.259999999999,2)</f>
        <v>533.26</v>
      </c>
      <c r="AQ357" s="6"/>
      <c r="AR357" s="7">
        <f>ROUND(151.58,2)</f>
        <v>151.58000000000001</v>
      </c>
      <c r="AS357" s="6"/>
      <c r="AT357" s="6"/>
      <c r="AU357" s="7">
        <f>ROUND(68,2)</f>
        <v>68</v>
      </c>
      <c r="AV357" s="6"/>
      <c r="AW357" s="7">
        <f>ROUND(32,2)</f>
        <v>32</v>
      </c>
      <c r="AX357" s="6"/>
      <c r="AY357" s="7">
        <f>ROUND(39.5,2)</f>
        <v>39.5</v>
      </c>
      <c r="AZ357" s="7">
        <f>ROUND(0.5,2)</f>
        <v>0.5</v>
      </c>
      <c r="BA357" s="6"/>
      <c r="BB357" s="6"/>
      <c r="BC357" s="6"/>
      <c r="BD357" s="7">
        <f t="shared" si="28"/>
        <v>8</v>
      </c>
      <c r="BE357" s="7">
        <f>ROUND(2.67,2)</f>
        <v>2.67</v>
      </c>
      <c r="BF357" s="6"/>
      <c r="BG357" s="6"/>
      <c r="BH357" s="6"/>
      <c r="BI357" s="6"/>
      <c r="BJ357" s="6"/>
      <c r="BK357" s="6"/>
      <c r="BL357" s="6"/>
      <c r="BM357" s="7">
        <f>ROUND(0.33,2)</f>
        <v>0.33</v>
      </c>
      <c r="BN357" s="7">
        <f>ROUND(3,2)</f>
        <v>3</v>
      </c>
      <c r="BO357" s="7">
        <f>ROUND(31.33,2)</f>
        <v>31.33</v>
      </c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7">
        <f>ROUND(2789.9,2)</f>
        <v>2789.9</v>
      </c>
      <c r="CR357" s="6"/>
      <c r="CS357" s="6"/>
      <c r="CT357" s="6"/>
      <c r="CU357" s="6"/>
      <c r="CV357" s="7">
        <f>ROUND(36141.91,2)</f>
        <v>36141.910000000003</v>
      </c>
      <c r="CW357" s="6"/>
      <c r="CX357" s="6"/>
      <c r="CY357" s="7">
        <f>ROUND(16954.39,2)</f>
        <v>16954.39</v>
      </c>
      <c r="CZ357" s="6"/>
      <c r="DA357" s="6"/>
      <c r="DB357" s="6"/>
      <c r="DC357" s="6"/>
      <c r="DD357" s="7">
        <f>ROUND(576.21,2)</f>
        <v>576.21</v>
      </c>
      <c r="DE357" s="7">
        <f>ROUND(805.18,2)</f>
        <v>805.18</v>
      </c>
      <c r="DF357" s="7">
        <f>ROUND(59.4899999999999,2)</f>
        <v>59.49</v>
      </c>
      <c r="DG357" s="7">
        <f>ROUND(43.1299999999999,2)</f>
        <v>43.13</v>
      </c>
      <c r="DH357" s="6"/>
      <c r="DI357" s="6"/>
      <c r="DJ357" s="6"/>
      <c r="DK357" s="6"/>
      <c r="DL357" s="6"/>
      <c r="DM357" s="6"/>
      <c r="DN357" s="7">
        <f>ROUND(7963.26999999999,2)</f>
        <v>7963.27</v>
      </c>
      <c r="DO357" s="6"/>
      <c r="DP357" s="7">
        <f>ROUND(6050.81999999999,2)</f>
        <v>6050.82</v>
      </c>
      <c r="DQ357" s="6"/>
      <c r="DR357" s="6"/>
      <c r="DS357" s="6"/>
      <c r="DT357" s="6"/>
      <c r="DU357" s="6"/>
      <c r="DV357" s="6"/>
      <c r="DW357" s="6"/>
      <c r="DX357" s="6"/>
      <c r="DY357" s="7">
        <f>ROUND(17033.16,2)</f>
        <v>17033.16</v>
      </c>
      <c r="DZ357" s="6"/>
      <c r="EA357" s="7">
        <f>ROUND(7296.64,2)</f>
        <v>7296.64</v>
      </c>
      <c r="EB357" s="6"/>
      <c r="EC357" s="6"/>
      <c r="ED357" s="7">
        <f>ROUND(2118.92,2)</f>
        <v>2118.92</v>
      </c>
      <c r="EE357" s="6"/>
      <c r="EF357" s="7">
        <f>ROUND(1037.12,2)</f>
        <v>1037.1199999999999</v>
      </c>
      <c r="EG357" s="6"/>
      <c r="EH357" s="7">
        <f>ROUND(1305.48,2)</f>
        <v>1305.48</v>
      </c>
      <c r="EI357" s="7">
        <f>ROUND(24.79,2)</f>
        <v>24.79</v>
      </c>
      <c r="EJ357" s="6"/>
      <c r="EK357" s="6"/>
      <c r="EL357" s="6"/>
      <c r="EM357" s="6"/>
      <c r="EN357" s="7">
        <f>ROUND(243.92,2)</f>
        <v>243.92</v>
      </c>
      <c r="EO357" s="7">
        <f>ROUND(88.24,2)</f>
        <v>88.24</v>
      </c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7">
        <f>ROUND(10.96,2)</f>
        <v>10.96</v>
      </c>
      <c r="FA357" s="7">
        <f>ROUND(149.4,2)</f>
        <v>149.4</v>
      </c>
      <c r="FB357" s="7">
        <f>ROUND(1008.36999999999,2)</f>
        <v>1008.37</v>
      </c>
      <c r="FC357" s="6"/>
      <c r="FD357" s="6"/>
      <c r="FE357" s="6"/>
      <c r="FF357" s="6"/>
      <c r="FG357" s="6"/>
      <c r="FH357" s="6"/>
      <c r="FI357" s="6"/>
      <c r="FJ357" s="7">
        <f>ROUND(2000,2)</f>
        <v>2000</v>
      </c>
      <c r="FK357" s="6"/>
      <c r="FL357" s="6"/>
      <c r="FM357" s="6"/>
      <c r="FN357" s="6"/>
      <c r="FO357" s="6"/>
      <c r="FP357" s="6"/>
      <c r="FQ357" s="6"/>
      <c r="FR357" s="6"/>
      <c r="FS357" s="6"/>
      <c r="FT357" s="7">
        <f>ROUND(3000,2)</f>
        <v>3000</v>
      </c>
      <c r="FU357" s="6"/>
      <c r="FV357" s="6"/>
      <c r="FW357" s="6"/>
      <c r="FX357" s="6"/>
      <c r="FY357" s="7">
        <f>ROUND(103911.399999999,2)</f>
        <v>103911.4</v>
      </c>
    </row>
    <row r="358" spans="1:181" x14ac:dyDescent="0.3">
      <c r="A358" s="4" t="s">
        <v>922</v>
      </c>
      <c r="B358" s="5" t="s">
        <v>1029</v>
      </c>
      <c r="C358" s="5" t="s">
        <v>181</v>
      </c>
      <c r="D358" s="5" t="s">
        <v>196</v>
      </c>
      <c r="E358" s="5" t="s">
        <v>0</v>
      </c>
      <c r="F358" s="5" t="s">
        <v>0</v>
      </c>
      <c r="G358" s="5" t="s">
        <v>183</v>
      </c>
      <c r="H358" s="8">
        <v>33.380000000000003</v>
      </c>
      <c r="I358" s="7">
        <f>ROUND(101720.229999999,2)</f>
        <v>101720.23</v>
      </c>
      <c r="J358" s="6"/>
      <c r="K358" s="6"/>
      <c r="L358" s="6"/>
      <c r="M358" s="6"/>
      <c r="N358" s="7">
        <f>ROUND(891.45,2)</f>
        <v>891.45</v>
      </c>
      <c r="O358" s="6"/>
      <c r="P358" s="6"/>
      <c r="Q358" s="7">
        <f>ROUND(247.549999999999,2)</f>
        <v>247.55</v>
      </c>
      <c r="R358" s="6"/>
      <c r="S358" s="6"/>
      <c r="T358" s="6"/>
      <c r="U358" s="6"/>
      <c r="V358" s="7">
        <f>ROUND(6.75,2)</f>
        <v>6.75</v>
      </c>
      <c r="W358" s="7">
        <f>ROUND(40.5,2)</f>
        <v>40.5</v>
      </c>
      <c r="X358" s="7">
        <f>ROUND(0.42,2)</f>
        <v>0.42</v>
      </c>
      <c r="Y358" s="6"/>
      <c r="Z358" s="7">
        <f>ROUND(0.17,2)</f>
        <v>0.17</v>
      </c>
      <c r="AA358" s="6"/>
      <c r="AB358" s="6"/>
      <c r="AC358" s="6"/>
      <c r="AD358" s="6"/>
      <c r="AE358" s="7">
        <f>ROUND(269.119999999999,2)</f>
        <v>269.12</v>
      </c>
      <c r="AF358" s="6"/>
      <c r="AG358" s="7">
        <f>ROUND(91.11,2)</f>
        <v>91.11</v>
      </c>
      <c r="AH358" s="6"/>
      <c r="AI358" s="6"/>
      <c r="AJ358" s="6"/>
      <c r="AK358" s="6"/>
      <c r="AL358" s="6"/>
      <c r="AM358" s="6"/>
      <c r="AN358" s="6"/>
      <c r="AO358" s="6"/>
      <c r="AP358" s="7">
        <f>ROUND(612.61,2)</f>
        <v>612.61</v>
      </c>
      <c r="AQ358" s="6"/>
      <c r="AR358" s="7">
        <f>ROUND(175.34,2)</f>
        <v>175.34</v>
      </c>
      <c r="AS358" s="6"/>
      <c r="AT358" s="6"/>
      <c r="AU358" s="7">
        <f>ROUND(76,2)</f>
        <v>76</v>
      </c>
      <c r="AV358" s="6"/>
      <c r="AW358" s="7">
        <f>ROUND(44,2)</f>
        <v>44</v>
      </c>
      <c r="AX358" s="6"/>
      <c r="AY358" s="7">
        <f>ROUND(72.23,2)</f>
        <v>72.23</v>
      </c>
      <c r="AZ358" s="7">
        <f>ROUND(1.77,2)</f>
        <v>1.77</v>
      </c>
      <c r="BA358" s="6"/>
      <c r="BB358" s="6"/>
      <c r="BC358" s="6"/>
      <c r="BD358" s="7">
        <f t="shared" si="28"/>
        <v>8</v>
      </c>
      <c r="BE358" s="7">
        <f>ROUND(1.42,2)</f>
        <v>1.42</v>
      </c>
      <c r="BF358" s="6"/>
      <c r="BG358" s="6"/>
      <c r="BH358" s="6"/>
      <c r="BI358" s="6"/>
      <c r="BJ358" s="6"/>
      <c r="BK358" s="6"/>
      <c r="BL358" s="6"/>
      <c r="BM358" s="6"/>
      <c r="BN358" s="6"/>
      <c r="BO358" s="7">
        <f>ROUND(110.76,2)</f>
        <v>110.76</v>
      </c>
      <c r="BP358" s="7">
        <f>ROUND(3.9,2)</f>
        <v>3.9</v>
      </c>
      <c r="BQ358" s="7">
        <f>ROUND(39.67,2)</f>
        <v>39.67</v>
      </c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7">
        <f>ROUND(8,2)</f>
        <v>8</v>
      </c>
      <c r="CQ358" s="7">
        <f>ROUND(2700.77,2)</f>
        <v>2700.77</v>
      </c>
      <c r="CR358" s="6"/>
      <c r="CS358" s="6"/>
      <c r="CT358" s="6"/>
      <c r="CU358" s="6"/>
      <c r="CV358" s="7">
        <f>ROUND(29054.68,2)</f>
        <v>29054.68</v>
      </c>
      <c r="CW358" s="6"/>
      <c r="CX358" s="6"/>
      <c r="CY358" s="7">
        <f>ROUND(12108.76,2)</f>
        <v>12108.76</v>
      </c>
      <c r="CZ358" s="6"/>
      <c r="DA358" s="6"/>
      <c r="DB358" s="6"/>
      <c r="DC358" s="6"/>
      <c r="DD358" s="7">
        <f>ROUND(227.02,2)</f>
        <v>227.02</v>
      </c>
      <c r="DE358" s="7">
        <f>ROUND(1967.55,2)</f>
        <v>1967.55</v>
      </c>
      <c r="DF358" s="7">
        <f>ROUND(13.94,2)</f>
        <v>13.94</v>
      </c>
      <c r="DG358" s="6"/>
      <c r="DH358" s="7">
        <f>ROUND(11.24,2)</f>
        <v>11.24</v>
      </c>
      <c r="DI358" s="6"/>
      <c r="DJ358" s="6"/>
      <c r="DK358" s="6"/>
      <c r="DL358" s="6"/>
      <c r="DM358" s="6"/>
      <c r="DN358" s="7">
        <f>ROUND(8776,2)</f>
        <v>8776</v>
      </c>
      <c r="DO358" s="6"/>
      <c r="DP358" s="7">
        <f>ROUND(4431.37999999999,2)</f>
        <v>4431.38</v>
      </c>
      <c r="DQ358" s="6"/>
      <c r="DR358" s="6"/>
      <c r="DS358" s="6"/>
      <c r="DT358" s="6"/>
      <c r="DU358" s="6"/>
      <c r="DV358" s="6"/>
      <c r="DW358" s="6"/>
      <c r="DX358" s="6"/>
      <c r="DY358" s="7">
        <f>ROUND(19964.41,2)</f>
        <v>19964.41</v>
      </c>
      <c r="DZ358" s="6"/>
      <c r="EA358" s="7">
        <f>ROUND(8624.43,2)</f>
        <v>8624.43</v>
      </c>
      <c r="EB358" s="6"/>
      <c r="EC358" s="6"/>
      <c r="ED358" s="7">
        <f>ROUND(2474.12,2)</f>
        <v>2474.12</v>
      </c>
      <c r="EE358" s="6"/>
      <c r="EF358" s="7">
        <f>ROUND(1447.9,2)</f>
        <v>1447.9</v>
      </c>
      <c r="EG358" s="6"/>
      <c r="EH358" s="7">
        <f>ROUND(2371.62,2)</f>
        <v>2371.62</v>
      </c>
      <c r="EI358" s="7">
        <f>ROUND(85.2,2)</f>
        <v>85.2</v>
      </c>
      <c r="EJ358" s="6"/>
      <c r="EK358" s="6"/>
      <c r="EL358" s="6"/>
      <c r="EM358" s="6"/>
      <c r="EN358" s="7">
        <f>ROUND(256.72,2)</f>
        <v>256.72000000000003</v>
      </c>
      <c r="EO358" s="7">
        <f>ROUND(68.35,2)</f>
        <v>68.349999999999994</v>
      </c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7">
        <f>ROUND(3618.60999999999,2)</f>
        <v>3618.61</v>
      </c>
      <c r="FC358" s="7">
        <f>ROUND(191.3,2)</f>
        <v>191.3</v>
      </c>
      <c r="FD358" s="7">
        <f>ROUND(1309.96,2)</f>
        <v>1309.96</v>
      </c>
      <c r="FE358" s="6"/>
      <c r="FF358" s="6"/>
      <c r="FG358" s="6"/>
      <c r="FH358" s="6"/>
      <c r="FI358" s="6"/>
      <c r="FJ358" s="7">
        <f>ROUND(1450,2)</f>
        <v>1450</v>
      </c>
      <c r="FK358" s="6"/>
      <c r="FL358" s="6"/>
      <c r="FM358" s="6"/>
      <c r="FN358" s="6"/>
      <c r="FO358" s="6"/>
      <c r="FP358" s="6"/>
      <c r="FQ358" s="6"/>
      <c r="FR358" s="6"/>
      <c r="FS358" s="6"/>
      <c r="FT358" s="7">
        <f>ROUND(3000,2)</f>
        <v>3000</v>
      </c>
      <c r="FU358" s="6"/>
      <c r="FV358" s="6"/>
      <c r="FW358" s="6"/>
      <c r="FX358" s="7">
        <f>ROUND(267.04,2)</f>
        <v>267.04000000000002</v>
      </c>
      <c r="FY358" s="7">
        <f>ROUND(101720.229999999,2)</f>
        <v>101720.23</v>
      </c>
    </row>
    <row r="359" spans="1:181" x14ac:dyDescent="0.3">
      <c r="A359" s="4" t="s">
        <v>923</v>
      </c>
      <c r="B359" s="5" t="s">
        <v>1029</v>
      </c>
      <c r="C359" s="5" t="s">
        <v>181</v>
      </c>
      <c r="D359" s="5" t="s">
        <v>400</v>
      </c>
      <c r="E359" s="5" t="s">
        <v>0</v>
      </c>
      <c r="F359" s="5" t="s">
        <v>0</v>
      </c>
      <c r="G359" s="5" t="s">
        <v>183</v>
      </c>
      <c r="H359" s="8">
        <v>33.880000000000003</v>
      </c>
      <c r="I359" s="7">
        <f>ROUND(93356.33,2)</f>
        <v>93356.33</v>
      </c>
      <c r="J359" s="6"/>
      <c r="K359" s="6"/>
      <c r="L359" s="6"/>
      <c r="M359" s="6"/>
      <c r="N359" s="7">
        <f>ROUND(1852.32999999999,2)</f>
        <v>1852.33</v>
      </c>
      <c r="O359" s="6"/>
      <c r="P359" s="6"/>
      <c r="Q359" s="7">
        <f>ROUND(302.44,2)</f>
        <v>302.44</v>
      </c>
      <c r="R359" s="6"/>
      <c r="S359" s="6"/>
      <c r="T359" s="6"/>
      <c r="U359" s="6"/>
      <c r="V359" s="6"/>
      <c r="W359" s="7">
        <f>ROUND(27.55,2)</f>
        <v>27.55</v>
      </c>
      <c r="X359" s="7">
        <f>ROUND(0.17,2)</f>
        <v>0.17</v>
      </c>
      <c r="Y359" s="7">
        <f>ROUND(0.92,2)</f>
        <v>0.92</v>
      </c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7">
        <f>ROUND(33.08,2)</f>
        <v>33.08</v>
      </c>
      <c r="AS359" s="6"/>
      <c r="AT359" s="6"/>
      <c r="AU359" s="7">
        <f>ROUND(65.33,2)</f>
        <v>65.33</v>
      </c>
      <c r="AV359" s="7">
        <f>ROUND(2.67,2)</f>
        <v>2.67</v>
      </c>
      <c r="AW359" s="7">
        <f>ROUND(24,2)</f>
        <v>24</v>
      </c>
      <c r="AX359" s="7">
        <f>ROUND(8,2)</f>
        <v>8</v>
      </c>
      <c r="AY359" s="7">
        <f>ROUND(163.41,2)</f>
        <v>163.41</v>
      </c>
      <c r="AZ359" s="7">
        <f>ROUND(12.59,2)</f>
        <v>12.59</v>
      </c>
      <c r="BA359" s="6"/>
      <c r="BB359" s="7">
        <f>ROUND(24,2)</f>
        <v>24</v>
      </c>
      <c r="BC359" s="6"/>
      <c r="BD359" s="7">
        <f t="shared" si="28"/>
        <v>8</v>
      </c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7">
        <f>ROUND(8.75,2)</f>
        <v>8.75</v>
      </c>
      <c r="BQ359" s="6"/>
      <c r="BR359" s="6"/>
      <c r="BS359" s="6"/>
      <c r="BT359" s="7">
        <f>ROUND(6.75,2)</f>
        <v>6.75</v>
      </c>
      <c r="BU359" s="7">
        <f>ROUND(8,2)</f>
        <v>8</v>
      </c>
      <c r="BV359" s="6"/>
      <c r="BW359" s="6"/>
      <c r="BX359" s="6"/>
      <c r="BY359" s="7">
        <f>ROUND(8,2)</f>
        <v>8</v>
      </c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7">
        <f>ROUND(2555.98999999999,2)</f>
        <v>2555.9899999999998</v>
      </c>
      <c r="CR359" s="6"/>
      <c r="CS359" s="6"/>
      <c r="CT359" s="6"/>
      <c r="CU359" s="6"/>
      <c r="CV359" s="7">
        <f>ROUND(60463.8499999999,2)</f>
        <v>60463.85</v>
      </c>
      <c r="CW359" s="6"/>
      <c r="CX359" s="6"/>
      <c r="CY359" s="7">
        <f>ROUND(14789.49,2)</f>
        <v>14789.49</v>
      </c>
      <c r="CZ359" s="6"/>
      <c r="DA359" s="6"/>
      <c r="DB359" s="6"/>
      <c r="DC359" s="6"/>
      <c r="DD359" s="6"/>
      <c r="DE359" s="7">
        <f>ROUND(1360.29,2)</f>
        <v>1360.29</v>
      </c>
      <c r="DF359" s="7">
        <f>ROUND(5.62,2)</f>
        <v>5.62</v>
      </c>
      <c r="DG359" s="7">
        <f>ROUND(45.61,2)</f>
        <v>45.61</v>
      </c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7">
        <f>ROUND(1614.01999999999,2)</f>
        <v>1614.02</v>
      </c>
      <c r="EB359" s="6"/>
      <c r="EC359" s="6"/>
      <c r="ED359" s="7">
        <f>ROUND(2131.24,2)</f>
        <v>2131.2399999999998</v>
      </c>
      <c r="EE359" s="7">
        <f>ROUND(132.38,2)</f>
        <v>132.38</v>
      </c>
      <c r="EF359" s="7">
        <f>ROUND(777.84,2)</f>
        <v>777.84</v>
      </c>
      <c r="EG359" s="7">
        <f>ROUND(396.6,2)</f>
        <v>396.6</v>
      </c>
      <c r="EH359" s="7">
        <f>ROUND(5308.78999999999,2)</f>
        <v>5308.79</v>
      </c>
      <c r="EI359" s="7">
        <f>ROUND(612.26,2)</f>
        <v>612.26</v>
      </c>
      <c r="EJ359" s="6"/>
      <c r="EK359" s="7">
        <f>ROUND(777.84,2)</f>
        <v>777.84</v>
      </c>
      <c r="EL359" s="6"/>
      <c r="EM359" s="6"/>
      <c r="EN359" s="7">
        <f>ROUND(256.72,2)</f>
        <v>256.72000000000003</v>
      </c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7">
        <f>ROUND(433.78,2)</f>
        <v>433.78</v>
      </c>
      <c r="FD359" s="6"/>
      <c r="FE359" s="6"/>
      <c r="FF359" s="6"/>
      <c r="FG359" s="6"/>
      <c r="FH359" s="6"/>
      <c r="FI359" s="6"/>
      <c r="FJ359" s="7">
        <f>ROUND(1250,2)</f>
        <v>1250</v>
      </c>
      <c r="FK359" s="6"/>
      <c r="FL359" s="6"/>
      <c r="FM359" s="6"/>
      <c r="FN359" s="6"/>
      <c r="FO359" s="6"/>
      <c r="FP359" s="6"/>
      <c r="FQ359" s="6"/>
      <c r="FR359" s="6"/>
      <c r="FS359" s="6"/>
      <c r="FT359" s="7">
        <f>ROUND(3000,2)</f>
        <v>3000</v>
      </c>
      <c r="FU359" s="6"/>
      <c r="FV359" s="6"/>
      <c r="FW359" s="6"/>
      <c r="FX359" s="6"/>
      <c r="FY359" s="7">
        <f>ROUND(93356.33,2)</f>
        <v>93356.33</v>
      </c>
    </row>
    <row r="360" spans="1:181" x14ac:dyDescent="0.3">
      <c r="A360" s="4" t="s">
        <v>924</v>
      </c>
      <c r="B360" s="5" t="s">
        <v>1029</v>
      </c>
      <c r="C360" s="5" t="s">
        <v>181</v>
      </c>
      <c r="D360" s="5" t="s">
        <v>925</v>
      </c>
      <c r="E360" s="5" t="s">
        <v>926</v>
      </c>
      <c r="F360" s="5" t="s">
        <v>0</v>
      </c>
      <c r="G360" s="5" t="s">
        <v>183</v>
      </c>
      <c r="H360" s="8">
        <v>32.090000000000003</v>
      </c>
      <c r="I360" s="7">
        <f>ROUND(18633.74,2)</f>
        <v>18633.740000000002</v>
      </c>
      <c r="J360" s="6"/>
      <c r="K360" s="6"/>
      <c r="L360" s="6"/>
      <c r="M360" s="6"/>
      <c r="N360" s="7">
        <f>ROUND(276.23,2)</f>
        <v>276.23</v>
      </c>
      <c r="O360" s="6"/>
      <c r="P360" s="6"/>
      <c r="Q360" s="7">
        <f>ROUND(30.21,2)</f>
        <v>30.21</v>
      </c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7">
        <f>ROUND(16,2)</f>
        <v>16</v>
      </c>
      <c r="AV360" s="6"/>
      <c r="AW360" s="7">
        <f>ROUND(16,2)</f>
        <v>16</v>
      </c>
      <c r="AX360" s="7">
        <f>ROUND(8,2)</f>
        <v>8</v>
      </c>
      <c r="AY360" s="7">
        <f>ROUND(91.77,2)</f>
        <v>91.77</v>
      </c>
      <c r="AZ360" s="7">
        <f>ROUND(4.23,2)</f>
        <v>4.2300000000000004</v>
      </c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7">
        <f>ROUND(104,2)</f>
        <v>104</v>
      </c>
      <c r="CQ360" s="7">
        <f>ROUND(546.439999999999,2)</f>
        <v>546.44000000000005</v>
      </c>
      <c r="CR360" s="6"/>
      <c r="CS360" s="6"/>
      <c r="CT360" s="6"/>
      <c r="CU360" s="6"/>
      <c r="CV360" s="7">
        <f>ROUND(8906.75,2)</f>
        <v>8906.75</v>
      </c>
      <c r="CW360" s="6"/>
      <c r="CX360" s="6"/>
      <c r="CY360" s="7">
        <f>ROUND(1454.15999999999,2)</f>
        <v>1454.16</v>
      </c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7">
        <f>ROUND(513.44,2)</f>
        <v>513.44000000000005</v>
      </c>
      <c r="EE360" s="6"/>
      <c r="EF360" s="7">
        <f>ROUND(513.44,2)</f>
        <v>513.44000000000005</v>
      </c>
      <c r="EG360" s="7">
        <f>ROUND(385.08,2)</f>
        <v>385.08</v>
      </c>
      <c r="EH360" s="7">
        <f>ROUND(2944.9,2)</f>
        <v>2944.9</v>
      </c>
      <c r="EI360" s="7">
        <f>ROUND(203.61,2)</f>
        <v>203.61</v>
      </c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7">
        <f>ROUND(375,2)</f>
        <v>375</v>
      </c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7">
        <f>ROUND(3337.36,2)</f>
        <v>3337.36</v>
      </c>
      <c r="FY360" s="7">
        <f>ROUND(18633.74,2)</f>
        <v>18633.740000000002</v>
      </c>
    </row>
    <row r="361" spans="1:181" x14ac:dyDescent="0.3">
      <c r="A361" s="4" t="s">
        <v>930</v>
      </c>
      <c r="B361" s="5" t="s">
        <v>1029</v>
      </c>
      <c r="C361" s="5" t="s">
        <v>181</v>
      </c>
      <c r="D361" s="5" t="s">
        <v>931</v>
      </c>
      <c r="E361" s="5" t="s">
        <v>932</v>
      </c>
      <c r="F361" s="5" t="s">
        <v>0</v>
      </c>
      <c r="G361" s="5" t="s">
        <v>183</v>
      </c>
      <c r="H361" s="8">
        <v>32.090000000000003</v>
      </c>
      <c r="I361" s="7">
        <f>ROUND(33567.5099999999,2)</f>
        <v>33567.51</v>
      </c>
      <c r="J361" s="6"/>
      <c r="K361" s="6"/>
      <c r="L361" s="6"/>
      <c r="M361" s="6"/>
      <c r="N361" s="7">
        <f>ROUND(669.01,2)</f>
        <v>669.01</v>
      </c>
      <c r="O361" s="6"/>
      <c r="P361" s="6"/>
      <c r="Q361" s="7">
        <f>ROUND(72.32,2)</f>
        <v>72.319999999999993</v>
      </c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7">
        <f>ROUND(28,2)</f>
        <v>28</v>
      </c>
      <c r="AV361" s="6"/>
      <c r="AW361" s="7">
        <f>ROUND(20.5,2)</f>
        <v>20.5</v>
      </c>
      <c r="AX361" s="7">
        <f>ROUND(3.5,2)</f>
        <v>3.5</v>
      </c>
      <c r="AY361" s="7">
        <f>ROUND(40,2)</f>
        <v>40</v>
      </c>
      <c r="AZ361" s="6"/>
      <c r="BA361" s="6"/>
      <c r="BB361" s="7">
        <f>ROUND(32,2)</f>
        <v>32</v>
      </c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7">
        <f>ROUND(865.329999999999,2)</f>
        <v>865.33</v>
      </c>
      <c r="CR361" s="6"/>
      <c r="CS361" s="6"/>
      <c r="CT361" s="6"/>
      <c r="CU361" s="6"/>
      <c r="CV361" s="7">
        <f>ROUND(21468.54,2)</f>
        <v>21468.54</v>
      </c>
      <c r="CW361" s="6"/>
      <c r="CX361" s="6"/>
      <c r="CY361" s="7">
        <f>ROUND(3481.13,2)</f>
        <v>3481.13</v>
      </c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7">
        <f>ROUND(898.52,2)</f>
        <v>898.52</v>
      </c>
      <c r="EE361" s="6"/>
      <c r="EF361" s="7">
        <f>ROUND(657.85,2)</f>
        <v>657.85</v>
      </c>
      <c r="EG361" s="7">
        <f>ROUND(168.47,2)</f>
        <v>168.47</v>
      </c>
      <c r="EH361" s="7">
        <f>ROUND(1283.6,2)</f>
        <v>1283.5999999999999</v>
      </c>
      <c r="EI361" s="6"/>
      <c r="EJ361" s="6"/>
      <c r="EK361" s="7">
        <f>ROUND(1026.88,2)</f>
        <v>1026.8800000000001</v>
      </c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7">
        <f>ROUND(4582.52,2)</f>
        <v>4582.5200000000004</v>
      </c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7">
        <f>ROUND(33567.5099999999,2)</f>
        <v>33567.51</v>
      </c>
    </row>
    <row r="362" spans="1:181" x14ac:dyDescent="0.3">
      <c r="A362" s="4" t="s">
        <v>933</v>
      </c>
      <c r="B362" s="5" t="s">
        <v>1029</v>
      </c>
      <c r="C362" s="5" t="s">
        <v>181</v>
      </c>
      <c r="D362" s="5" t="s">
        <v>934</v>
      </c>
      <c r="E362" s="5" t="s">
        <v>0</v>
      </c>
      <c r="F362" s="5" t="s">
        <v>0</v>
      </c>
      <c r="G362" s="5" t="s">
        <v>183</v>
      </c>
      <c r="H362" s="8">
        <v>33.880000000000003</v>
      </c>
      <c r="I362" s="7">
        <f>ROUND(95504.17,2)</f>
        <v>95504.17</v>
      </c>
      <c r="J362" s="6"/>
      <c r="K362" s="6"/>
      <c r="L362" s="6"/>
      <c r="M362" s="6"/>
      <c r="N362" s="7">
        <f>ROUND(854.6,2)</f>
        <v>854.6</v>
      </c>
      <c r="O362" s="6"/>
      <c r="P362" s="6"/>
      <c r="Q362" s="7">
        <f>ROUND(160.77,2)</f>
        <v>160.77000000000001</v>
      </c>
      <c r="R362" s="6"/>
      <c r="S362" s="6"/>
      <c r="T362" s="6"/>
      <c r="U362" s="6"/>
      <c r="V362" s="7">
        <f>ROUND(11.32,2)</f>
        <v>11.32</v>
      </c>
      <c r="W362" s="7">
        <f>ROUND(10.05,2)</f>
        <v>10.050000000000001</v>
      </c>
      <c r="X362" s="7">
        <f>ROUND(0.17,2)</f>
        <v>0.17</v>
      </c>
      <c r="Y362" s="7">
        <f>ROUND(0.58,2)</f>
        <v>0.57999999999999996</v>
      </c>
      <c r="Z362" s="7">
        <f>ROUND(0.53,2)</f>
        <v>0.53</v>
      </c>
      <c r="AA362" s="6"/>
      <c r="AB362" s="6"/>
      <c r="AC362" s="6"/>
      <c r="AD362" s="6"/>
      <c r="AE362" s="7">
        <f>ROUND(634.46,2)</f>
        <v>634.46</v>
      </c>
      <c r="AF362" s="6"/>
      <c r="AG362" s="7">
        <f>ROUND(192.88,2)</f>
        <v>192.88</v>
      </c>
      <c r="AH362" s="6"/>
      <c r="AI362" s="6"/>
      <c r="AJ362" s="6"/>
      <c r="AK362" s="6"/>
      <c r="AL362" s="6"/>
      <c r="AM362" s="6"/>
      <c r="AN362" s="6"/>
      <c r="AO362" s="6"/>
      <c r="AP362" s="7">
        <f>ROUND(344.03,2)</f>
        <v>344.03</v>
      </c>
      <c r="AQ362" s="6"/>
      <c r="AR362" s="7">
        <f>ROUND(58.3,2)</f>
        <v>58.3</v>
      </c>
      <c r="AS362" s="6"/>
      <c r="AT362" s="6"/>
      <c r="AU362" s="7">
        <f>ROUND(66,2)</f>
        <v>66</v>
      </c>
      <c r="AV362" s="7">
        <f>ROUND(8,2)</f>
        <v>8</v>
      </c>
      <c r="AW362" s="7">
        <f>ROUND(36,2)</f>
        <v>36</v>
      </c>
      <c r="AX362" s="6"/>
      <c r="AY362" s="7">
        <f>ROUND(100.92,2)</f>
        <v>100.92</v>
      </c>
      <c r="AZ362" s="7">
        <f>ROUND(1.08,2)</f>
        <v>1.08</v>
      </c>
      <c r="BA362" s="6"/>
      <c r="BB362" s="7">
        <f>ROUND(8,2)</f>
        <v>8</v>
      </c>
      <c r="BC362" s="6"/>
      <c r="BD362" s="7">
        <f>ROUND(8,2)</f>
        <v>8</v>
      </c>
      <c r="BE362" s="7">
        <f>ROUND(1.07,2)</f>
        <v>1.07</v>
      </c>
      <c r="BF362" s="6"/>
      <c r="BG362" s="7">
        <f>ROUND(40,2)</f>
        <v>40</v>
      </c>
      <c r="BH362" s="6"/>
      <c r="BI362" s="6"/>
      <c r="BJ362" s="6"/>
      <c r="BK362" s="6"/>
      <c r="BL362" s="6"/>
      <c r="BM362" s="6"/>
      <c r="BN362" s="6"/>
      <c r="BO362" s="7">
        <f>ROUND(10,2)</f>
        <v>10</v>
      </c>
      <c r="BP362" s="6"/>
      <c r="BQ362" s="6"/>
      <c r="BR362" s="6"/>
      <c r="BS362" s="6"/>
      <c r="BT362" s="7">
        <f>ROUND(11.5,2)</f>
        <v>11.5</v>
      </c>
      <c r="BU362" s="6"/>
      <c r="BV362" s="6"/>
      <c r="BW362" s="6"/>
      <c r="BX362" s="6"/>
      <c r="BY362" s="7">
        <f>ROUND(16,2)</f>
        <v>16</v>
      </c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7">
        <f>ROUND(16,2)</f>
        <v>16</v>
      </c>
      <c r="CQ362" s="7">
        <f>ROUND(2590.25999999999,2)</f>
        <v>2590.2600000000002</v>
      </c>
      <c r="CR362" s="6"/>
      <c r="CS362" s="6"/>
      <c r="CT362" s="6"/>
      <c r="CU362" s="6"/>
      <c r="CV362" s="7">
        <f>ROUND(28083.26,2)</f>
        <v>28083.26</v>
      </c>
      <c r="CW362" s="6"/>
      <c r="CX362" s="6"/>
      <c r="CY362" s="7">
        <f>ROUND(7906.4,2)</f>
        <v>7906.4</v>
      </c>
      <c r="CZ362" s="6"/>
      <c r="DA362" s="6"/>
      <c r="DB362" s="6"/>
      <c r="DC362" s="6"/>
      <c r="DD362" s="7">
        <f>ROUND(371.71,2)</f>
        <v>371.71</v>
      </c>
      <c r="DE362" s="7">
        <f>ROUND(500.49,2)</f>
        <v>500.49</v>
      </c>
      <c r="DF362" s="7">
        <f>ROUND(5.62,2)</f>
        <v>5.62</v>
      </c>
      <c r="DG362" s="7">
        <f>ROUND(27.92,2)</f>
        <v>27.92</v>
      </c>
      <c r="DH362" s="7">
        <f>ROUND(34.02,2)</f>
        <v>34.020000000000003</v>
      </c>
      <c r="DI362" s="6"/>
      <c r="DJ362" s="6"/>
      <c r="DK362" s="6"/>
      <c r="DL362" s="6"/>
      <c r="DM362" s="6"/>
      <c r="DN362" s="7">
        <f>ROUND(20411.57,2)</f>
        <v>20411.57</v>
      </c>
      <c r="DO362" s="6"/>
      <c r="DP362" s="7">
        <f>ROUND(9292.22,2)</f>
        <v>9292.2199999999993</v>
      </c>
      <c r="DQ362" s="6"/>
      <c r="DR362" s="6"/>
      <c r="DS362" s="6"/>
      <c r="DT362" s="6"/>
      <c r="DU362" s="6"/>
      <c r="DV362" s="6"/>
      <c r="DW362" s="6"/>
      <c r="DX362" s="6"/>
      <c r="DY362" s="7">
        <f>ROUND(11215.87,2)</f>
        <v>11215.87</v>
      </c>
      <c r="DZ362" s="6"/>
      <c r="EA362" s="7">
        <f>ROUND(2847.13,2)</f>
        <v>2847.13</v>
      </c>
      <c r="EB362" s="6"/>
      <c r="EC362" s="6"/>
      <c r="ED362" s="7">
        <f>ROUND(2143.62,2)</f>
        <v>2143.62</v>
      </c>
      <c r="EE362" s="7">
        <f>ROUND(396.64,2)</f>
        <v>396.64</v>
      </c>
      <c r="EF362" s="7">
        <f>ROUND(1170.6,2)</f>
        <v>1170.5999999999999</v>
      </c>
      <c r="EG362" s="6"/>
      <c r="EH362" s="7">
        <f>ROUND(3307.64,2)</f>
        <v>3307.64</v>
      </c>
      <c r="EI362" s="7">
        <f>ROUND(51.99,2)</f>
        <v>51.99</v>
      </c>
      <c r="EJ362" s="6"/>
      <c r="EK362" s="7">
        <f>ROUND(256.72,2)</f>
        <v>256.72000000000003</v>
      </c>
      <c r="EL362" s="6"/>
      <c r="EM362" s="6"/>
      <c r="EN362" s="7">
        <f>ROUND(256.72,2)</f>
        <v>256.72000000000003</v>
      </c>
      <c r="EO362" s="7">
        <f>ROUND(53.05,2)</f>
        <v>53.05</v>
      </c>
      <c r="EP362" s="6"/>
      <c r="EQ362" s="7">
        <f>ROUND(1322,2)</f>
        <v>1322</v>
      </c>
      <c r="ER362" s="7">
        <f>ROUND(344,2)</f>
        <v>344</v>
      </c>
      <c r="ES362" s="6"/>
      <c r="ET362" s="6"/>
      <c r="EU362" s="6"/>
      <c r="EV362" s="7">
        <f>ROUND(500,2)</f>
        <v>500</v>
      </c>
      <c r="EW362" s="6"/>
      <c r="EX362" s="6"/>
      <c r="EY362" s="6"/>
      <c r="EZ362" s="6"/>
      <c r="FA362" s="6"/>
      <c r="FB362" s="7">
        <f>ROUND(320.9,2)</f>
        <v>320.89999999999998</v>
      </c>
      <c r="FC362" s="6"/>
      <c r="FD362" s="6"/>
      <c r="FE362" s="6"/>
      <c r="FF362" s="6"/>
      <c r="FG362" s="6"/>
      <c r="FH362" s="6"/>
      <c r="FI362" s="6"/>
      <c r="FJ362" s="7">
        <f>ROUND(1150,2)</f>
        <v>1150</v>
      </c>
      <c r="FK362" s="6"/>
      <c r="FL362" s="6"/>
      <c r="FM362" s="6"/>
      <c r="FN362" s="6"/>
      <c r="FO362" s="6"/>
      <c r="FP362" s="6"/>
      <c r="FQ362" s="6"/>
      <c r="FR362" s="6"/>
      <c r="FS362" s="6"/>
      <c r="FT362" s="7">
        <f>ROUND(3000,2)</f>
        <v>3000</v>
      </c>
      <c r="FU362" s="6"/>
      <c r="FV362" s="6"/>
      <c r="FW362" s="6"/>
      <c r="FX362" s="7">
        <f>ROUND(534.08,2)</f>
        <v>534.08000000000004</v>
      </c>
      <c r="FY362" s="7">
        <f>ROUND(95504.17,2)</f>
        <v>95504.17</v>
      </c>
    </row>
    <row r="363" spans="1:181" x14ac:dyDescent="0.3">
      <c r="A363" s="4" t="s">
        <v>935</v>
      </c>
      <c r="B363" s="5" t="s">
        <v>1029</v>
      </c>
      <c r="C363" s="5" t="s">
        <v>181</v>
      </c>
      <c r="D363" s="5" t="s">
        <v>190</v>
      </c>
      <c r="E363" s="5" t="s">
        <v>0</v>
      </c>
      <c r="F363" s="5" t="s">
        <v>0</v>
      </c>
      <c r="G363" s="5" t="s">
        <v>183</v>
      </c>
      <c r="H363" s="8">
        <v>34.04</v>
      </c>
      <c r="I363" s="7">
        <f>ROUND(102701.459999999,2)</f>
        <v>102701.46</v>
      </c>
      <c r="J363" s="6"/>
      <c r="K363" s="6"/>
      <c r="L363" s="6"/>
      <c r="M363" s="6"/>
      <c r="N363" s="7">
        <f>ROUND(588.5,2)</f>
        <v>588.5</v>
      </c>
      <c r="O363" s="6"/>
      <c r="P363" s="6"/>
      <c r="Q363" s="7">
        <f>ROUND(217.42,2)</f>
        <v>217.42</v>
      </c>
      <c r="R363" s="6"/>
      <c r="S363" s="6"/>
      <c r="T363" s="6"/>
      <c r="U363" s="6"/>
      <c r="V363" s="6"/>
      <c r="W363" s="7">
        <f>ROUND(12.95,2)</f>
        <v>12.95</v>
      </c>
      <c r="X363" s="6"/>
      <c r="Y363" s="7">
        <f>ROUND(0.32,2)</f>
        <v>0.32</v>
      </c>
      <c r="Z363" s="6"/>
      <c r="AA363" s="6"/>
      <c r="AB363" s="6"/>
      <c r="AC363" s="6"/>
      <c r="AD363" s="6"/>
      <c r="AE363" s="7">
        <f>ROUND(1320.3,2)</f>
        <v>1320.3</v>
      </c>
      <c r="AF363" s="6"/>
      <c r="AG363" s="7">
        <f>ROUND(230.8,2)</f>
        <v>230.8</v>
      </c>
      <c r="AH363" s="6"/>
      <c r="AI363" s="6"/>
      <c r="AJ363" s="6"/>
      <c r="AK363" s="6"/>
      <c r="AL363" s="6"/>
      <c r="AM363" s="6"/>
      <c r="AN363" s="6"/>
      <c r="AO363" s="6"/>
      <c r="AP363" s="7">
        <f>ROUND(1.75,2)</f>
        <v>1.75</v>
      </c>
      <c r="AQ363" s="6"/>
      <c r="AR363" s="7">
        <f>ROUND(101.4,2)</f>
        <v>101.4</v>
      </c>
      <c r="AS363" s="6"/>
      <c r="AT363" s="6"/>
      <c r="AU363" s="7">
        <f>ROUND(64,2)</f>
        <v>64</v>
      </c>
      <c r="AV363" s="7">
        <f>ROUND(4,2)</f>
        <v>4</v>
      </c>
      <c r="AW363" s="7">
        <f>ROUND(32,2)</f>
        <v>32</v>
      </c>
      <c r="AX363" s="6"/>
      <c r="AY363" s="7">
        <f>ROUND(109.5,2)</f>
        <v>109.5</v>
      </c>
      <c r="AZ363" s="7">
        <f>ROUND(2.5,2)</f>
        <v>2.5</v>
      </c>
      <c r="BA363" s="6"/>
      <c r="BB363" s="7">
        <f>ROUND(40,2)</f>
        <v>40</v>
      </c>
      <c r="BC363" s="6"/>
      <c r="BD363" s="7">
        <f>ROUND(8,2)</f>
        <v>8</v>
      </c>
      <c r="BE363" s="7">
        <f>ROUND(1.95,2)</f>
        <v>1.95</v>
      </c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7">
        <f>ROUND(7.75,2)</f>
        <v>7.75</v>
      </c>
      <c r="BT363" s="7">
        <f>ROUND(0.12,2)</f>
        <v>0.12</v>
      </c>
      <c r="BU363" s="6"/>
      <c r="BV363" s="6"/>
      <c r="BW363" s="7">
        <f>ROUND(8,2)</f>
        <v>8</v>
      </c>
      <c r="BX363" s="6"/>
      <c r="BY363" s="6"/>
      <c r="BZ363" s="6"/>
      <c r="CA363" s="7">
        <f>ROUND(9.33,2)</f>
        <v>9.33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7">
        <f>ROUND(8,2)</f>
        <v>8</v>
      </c>
      <c r="CQ363" s="7">
        <f>ROUND(2768.59,2)</f>
        <v>2768.59</v>
      </c>
      <c r="CR363" s="6"/>
      <c r="CS363" s="6"/>
      <c r="CT363" s="6"/>
      <c r="CU363" s="6"/>
      <c r="CV363" s="7">
        <f>ROUND(19179.26,2)</f>
        <v>19179.259999999998</v>
      </c>
      <c r="CW363" s="6"/>
      <c r="CX363" s="6"/>
      <c r="CY363" s="7">
        <f>ROUND(10661.46,2)</f>
        <v>10661.46</v>
      </c>
      <c r="CZ363" s="6"/>
      <c r="DA363" s="6"/>
      <c r="DB363" s="6"/>
      <c r="DC363" s="6"/>
      <c r="DD363" s="6"/>
      <c r="DE363" s="7">
        <f>ROUND(633.6,2)</f>
        <v>633.6</v>
      </c>
      <c r="DF363" s="6"/>
      <c r="DG363" s="7">
        <f>ROUND(15.4,2)</f>
        <v>15.4</v>
      </c>
      <c r="DH363" s="6"/>
      <c r="DI363" s="6"/>
      <c r="DJ363" s="6"/>
      <c r="DK363" s="6"/>
      <c r="DL363" s="6"/>
      <c r="DM363" s="6"/>
      <c r="DN363" s="7">
        <f>ROUND(43066.7799999999,2)</f>
        <v>43066.78</v>
      </c>
      <c r="DO363" s="6"/>
      <c r="DP363" s="7">
        <f>ROUND(11307.0399999999,2)</f>
        <v>11307.04</v>
      </c>
      <c r="DQ363" s="6"/>
      <c r="DR363" s="6"/>
      <c r="DS363" s="6"/>
      <c r="DT363" s="6"/>
      <c r="DU363" s="6"/>
      <c r="DV363" s="6"/>
      <c r="DW363" s="6"/>
      <c r="DX363" s="6"/>
      <c r="DY363" s="7">
        <f>ROUND(56.42,2)</f>
        <v>56.42</v>
      </c>
      <c r="DZ363" s="6"/>
      <c r="EA363" s="7">
        <f>ROUND(4956.68,2)</f>
        <v>4956.68</v>
      </c>
      <c r="EB363" s="6"/>
      <c r="EC363" s="6"/>
      <c r="ED363" s="7">
        <f>ROUND(2085.92,2)</f>
        <v>2085.92</v>
      </c>
      <c r="EE363" s="7">
        <f>ROUND(198.32,2)</f>
        <v>198.32</v>
      </c>
      <c r="EF363" s="7">
        <f>ROUND(1026.88,2)</f>
        <v>1026.8800000000001</v>
      </c>
      <c r="EG363" s="6"/>
      <c r="EH363" s="7">
        <f>ROUND(3534.5,2)</f>
        <v>3534.5</v>
      </c>
      <c r="EI363" s="7">
        <f>ROUND(123.94,2)</f>
        <v>123.94</v>
      </c>
      <c r="EJ363" s="6"/>
      <c r="EK363" s="7">
        <f>ROUND(1291.28,2)</f>
        <v>1291.28</v>
      </c>
      <c r="EL363" s="6"/>
      <c r="EM363" s="6"/>
      <c r="EN363" s="7">
        <f>ROUND(256.72,2)</f>
        <v>256.72000000000003</v>
      </c>
      <c r="EO363" s="7">
        <f>ROUND(62.58,2)</f>
        <v>62.58</v>
      </c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7">
        <f>ROUND(975,2)</f>
        <v>975</v>
      </c>
      <c r="FK363" s="6"/>
      <c r="FL363" s="6"/>
      <c r="FM363" s="6"/>
      <c r="FN363" s="6"/>
      <c r="FO363" s="6"/>
      <c r="FP363" s="6"/>
      <c r="FQ363" s="6"/>
      <c r="FR363" s="6"/>
      <c r="FS363" s="6"/>
      <c r="FT363" s="7">
        <f>ROUND(3000,2)</f>
        <v>3000</v>
      </c>
      <c r="FU363" s="6"/>
      <c r="FV363" s="6"/>
      <c r="FW363" s="6"/>
      <c r="FX363" s="7">
        <f>ROUND(269.68,2)</f>
        <v>269.68</v>
      </c>
      <c r="FY363" s="7">
        <f>ROUND(102701.459999999,2)</f>
        <v>102701.46</v>
      </c>
    </row>
    <row r="364" spans="1:181" x14ac:dyDescent="0.3">
      <c r="A364" s="4" t="s">
        <v>936</v>
      </c>
      <c r="B364" s="5" t="s">
        <v>1029</v>
      </c>
      <c r="C364" s="5" t="s">
        <v>181</v>
      </c>
      <c r="D364" s="5" t="s">
        <v>937</v>
      </c>
      <c r="E364" s="5" t="s">
        <v>0</v>
      </c>
      <c r="F364" s="5" t="s">
        <v>0</v>
      </c>
      <c r="G364" s="5" t="s">
        <v>183</v>
      </c>
      <c r="H364" s="8">
        <v>34.04</v>
      </c>
      <c r="I364" s="7">
        <f>ROUND(76064.6599999999,2)</f>
        <v>76064.66</v>
      </c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7">
        <f>ROUND(60,2)</f>
        <v>60</v>
      </c>
      <c r="AV364" s="6"/>
      <c r="AW364" s="7">
        <f>ROUND(32,2)</f>
        <v>32</v>
      </c>
      <c r="AX364" s="6"/>
      <c r="AY364" s="7">
        <f>ROUND(195.5,2)</f>
        <v>195.5</v>
      </c>
      <c r="AZ364" s="7">
        <f>ROUND(12.5,2)</f>
        <v>12.5</v>
      </c>
      <c r="BA364" s="6"/>
      <c r="BB364" s="7">
        <f>ROUND(40,2)</f>
        <v>40</v>
      </c>
      <c r="BC364" s="6"/>
      <c r="BD364" s="7">
        <f>ROUND(8,2)</f>
        <v>8</v>
      </c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7">
        <f>ROUND(1504.1,2)</f>
        <v>1504.1</v>
      </c>
      <c r="BP364" s="7">
        <f>ROUND(252.51,2)</f>
        <v>252.51</v>
      </c>
      <c r="BQ364" s="6"/>
      <c r="BR364" s="6"/>
      <c r="BS364" s="7">
        <f>ROUND(94.33,2)</f>
        <v>94.33</v>
      </c>
      <c r="BT364" s="7">
        <f>ROUND(15.42,2)</f>
        <v>15.42</v>
      </c>
      <c r="BU364" s="6"/>
      <c r="BV364" s="6"/>
      <c r="BW364" s="7">
        <f>ROUND(8,2)</f>
        <v>8</v>
      </c>
      <c r="BX364" s="6"/>
      <c r="BY364" s="6"/>
      <c r="BZ364" s="6"/>
      <c r="CA364" s="7">
        <f>ROUND(24,2)</f>
        <v>24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7">
        <f>ROUND(2246.36,2)</f>
        <v>2246.36</v>
      </c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7">
        <f>ROUND(1956.36,2)</f>
        <v>1956.36</v>
      </c>
      <c r="EE364" s="6"/>
      <c r="EF364" s="7">
        <f>ROUND(1050.15999999999,2)</f>
        <v>1050.1600000000001</v>
      </c>
      <c r="EG364" s="6"/>
      <c r="EH364" s="7">
        <f>ROUND(6380.26,2)</f>
        <v>6380.26</v>
      </c>
      <c r="EI364" s="7">
        <f>ROUND(614.85,2)</f>
        <v>614.85</v>
      </c>
      <c r="EJ364" s="6"/>
      <c r="EK364" s="7">
        <f>ROUND(1283.6,2)</f>
        <v>1283.5999999999999</v>
      </c>
      <c r="EL364" s="6"/>
      <c r="EM364" s="6"/>
      <c r="EN364" s="7">
        <f>ROUND(256.72,2)</f>
        <v>256.72000000000003</v>
      </c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7">
        <f>ROUND(48898.9499999999,2)</f>
        <v>48898.95</v>
      </c>
      <c r="FC364" s="7">
        <f>ROUND(12298.7599999999,2)</f>
        <v>12298.76</v>
      </c>
      <c r="FD364" s="6"/>
      <c r="FE364" s="6"/>
      <c r="FF364" s="6"/>
      <c r="FG364" s="6"/>
      <c r="FH364" s="6"/>
      <c r="FI364" s="6"/>
      <c r="FJ364" s="7">
        <f>ROUND(325,2)</f>
        <v>325</v>
      </c>
      <c r="FK364" s="6"/>
      <c r="FL364" s="6"/>
      <c r="FM364" s="6"/>
      <c r="FN364" s="6"/>
      <c r="FO364" s="6"/>
      <c r="FP364" s="6"/>
      <c r="FQ364" s="6"/>
      <c r="FR364" s="6"/>
      <c r="FS364" s="6"/>
      <c r="FT364" s="7">
        <f>ROUND(3000,2)</f>
        <v>3000</v>
      </c>
      <c r="FU364" s="6"/>
      <c r="FV364" s="6"/>
      <c r="FW364" s="6"/>
      <c r="FX364" s="6"/>
      <c r="FY364" s="7">
        <f>ROUND(76064.6599999999,2)</f>
        <v>76064.66</v>
      </c>
    </row>
    <row r="365" spans="1:181" x14ac:dyDescent="0.3">
      <c r="A365" s="4" t="s">
        <v>938</v>
      </c>
      <c r="B365" s="5" t="s">
        <v>1029</v>
      </c>
      <c r="C365" s="5" t="s">
        <v>181</v>
      </c>
      <c r="D365" s="5" t="s">
        <v>939</v>
      </c>
      <c r="E365" s="5" t="s">
        <v>0</v>
      </c>
      <c r="F365" s="5" t="s">
        <v>0</v>
      </c>
      <c r="G365" s="5" t="s">
        <v>183</v>
      </c>
      <c r="H365" s="8">
        <v>33.380000000000003</v>
      </c>
      <c r="I365" s="7">
        <f>ROUND(41809.22,2)</f>
        <v>41809.22</v>
      </c>
      <c r="J365" s="6"/>
      <c r="K365" s="6"/>
      <c r="L365" s="6"/>
      <c r="M365" s="6"/>
      <c r="N365" s="7">
        <f>ROUND(1116.53,2)</f>
        <v>1116.53</v>
      </c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7">
        <f>ROUND(40,2)</f>
        <v>40</v>
      </c>
      <c r="AV365" s="6"/>
      <c r="AW365" s="6"/>
      <c r="AX365" s="6"/>
      <c r="AY365" s="7">
        <f>ROUND(25,2)</f>
        <v>25</v>
      </c>
      <c r="AZ365" s="6"/>
      <c r="BA365" s="6"/>
      <c r="BB365" s="7">
        <f>ROUND(20,2)</f>
        <v>20</v>
      </c>
      <c r="BC365" s="6"/>
      <c r="BD365" s="7">
        <f>ROUND(8,2)</f>
        <v>8</v>
      </c>
      <c r="BE365" s="6"/>
      <c r="BF365" s="6"/>
      <c r="BG365" s="7">
        <f>ROUND(16.75,2)</f>
        <v>16.75</v>
      </c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7">
        <f>ROUND(125,2)</f>
        <v>125</v>
      </c>
      <c r="BT365" s="6"/>
      <c r="BU365" s="6"/>
      <c r="BV365" s="6"/>
      <c r="BW365" s="6"/>
      <c r="BX365" s="6"/>
      <c r="BY365" s="7">
        <f>ROUND(5,2)</f>
        <v>5</v>
      </c>
      <c r="BZ365" s="7">
        <f>ROUND(5,2)</f>
        <v>5</v>
      </c>
      <c r="CA365" s="7">
        <f>ROUND(75,2)</f>
        <v>75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7">
        <f>ROUND(5,2)</f>
        <v>5</v>
      </c>
      <c r="CQ365" s="7">
        <f>ROUND(1441.28,2)</f>
        <v>1441.28</v>
      </c>
      <c r="CR365" s="6"/>
      <c r="CS365" s="6"/>
      <c r="CT365" s="6"/>
      <c r="CU365" s="6"/>
      <c r="CV365" s="7">
        <f>ROUND(36444.79,2)</f>
        <v>36444.79</v>
      </c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7">
        <f>ROUND(1304.45,2)</f>
        <v>1304.45</v>
      </c>
      <c r="EE365" s="6"/>
      <c r="EF365" s="6"/>
      <c r="EG365" s="6"/>
      <c r="EH365" s="7">
        <f>ROUND(807.05,2)</f>
        <v>807.05</v>
      </c>
      <c r="EI365" s="6"/>
      <c r="EJ365" s="6"/>
      <c r="EK365" s="7">
        <f>ROUND(641.8,2)</f>
        <v>641.79999999999995</v>
      </c>
      <c r="EL365" s="6"/>
      <c r="EM365" s="6"/>
      <c r="EN365" s="7">
        <f>ROUND(256.72,2)</f>
        <v>256.72000000000003</v>
      </c>
      <c r="EO365" s="6"/>
      <c r="EP365" s="6"/>
      <c r="EQ365" s="7">
        <f>ROUND(537.51,2)</f>
        <v>537.51</v>
      </c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7">
        <f>ROUND(150,2)</f>
        <v>150</v>
      </c>
      <c r="FK365" s="6"/>
      <c r="FL365" s="6"/>
      <c r="FM365" s="6"/>
      <c r="FN365" s="6"/>
      <c r="FO365" s="6"/>
      <c r="FP365" s="6"/>
      <c r="FQ365" s="6"/>
      <c r="FR365" s="6"/>
      <c r="FS365" s="6"/>
      <c r="FT365" s="7">
        <f>ROUND(1500,2)</f>
        <v>1500</v>
      </c>
      <c r="FU365" s="6"/>
      <c r="FV365" s="6"/>
      <c r="FW365" s="6"/>
      <c r="FX365" s="7">
        <f>ROUND(166.9,2)</f>
        <v>166.9</v>
      </c>
      <c r="FY365" s="7">
        <f>ROUND(41809.22,2)</f>
        <v>41809.22</v>
      </c>
    </row>
    <row r="366" spans="1:181" x14ac:dyDescent="0.3">
      <c r="A366" s="4" t="s">
        <v>940</v>
      </c>
      <c r="B366" s="5" t="s">
        <v>1029</v>
      </c>
      <c r="C366" s="5" t="s">
        <v>181</v>
      </c>
      <c r="D366" s="5" t="s">
        <v>309</v>
      </c>
      <c r="E366" s="5" t="s">
        <v>0</v>
      </c>
      <c r="F366" s="5" t="s">
        <v>0</v>
      </c>
      <c r="G366" s="5" t="s">
        <v>183</v>
      </c>
      <c r="H366" s="8">
        <v>33.380000000000003</v>
      </c>
      <c r="I366" s="7">
        <f>ROUND(113956.239999999,2)</f>
        <v>113956.24</v>
      </c>
      <c r="J366" s="6"/>
      <c r="K366" s="6"/>
      <c r="L366" s="6"/>
      <c r="M366" s="6"/>
      <c r="N366" s="7">
        <f>ROUND(1701.97,2)</f>
        <v>1701.97</v>
      </c>
      <c r="O366" s="6"/>
      <c r="P366" s="6"/>
      <c r="Q366" s="7">
        <f>ROUND(734.779999999999,2)</f>
        <v>734.78</v>
      </c>
      <c r="R366" s="6"/>
      <c r="S366" s="6"/>
      <c r="T366" s="6"/>
      <c r="U366" s="6"/>
      <c r="V366" s="7">
        <f>ROUND(7.36,2)</f>
        <v>7.36</v>
      </c>
      <c r="W366" s="7">
        <f>ROUND(12.97,2)</f>
        <v>12.97</v>
      </c>
      <c r="X366" s="7">
        <f>ROUND(0.42,2)</f>
        <v>0.42</v>
      </c>
      <c r="Y366" s="7">
        <f>ROUND(0.33,2)</f>
        <v>0.33</v>
      </c>
      <c r="Z366" s="6"/>
      <c r="AA366" s="6"/>
      <c r="AB366" s="6"/>
      <c r="AC366" s="6"/>
      <c r="AD366" s="6"/>
      <c r="AE366" s="7">
        <f>ROUND(95.1,2)</f>
        <v>95.1</v>
      </c>
      <c r="AF366" s="6"/>
      <c r="AG366" s="7">
        <f>ROUND(10.4,2)</f>
        <v>10.4</v>
      </c>
      <c r="AH366" s="6"/>
      <c r="AI366" s="6"/>
      <c r="AJ366" s="6"/>
      <c r="AK366" s="6"/>
      <c r="AL366" s="6"/>
      <c r="AM366" s="6"/>
      <c r="AN366" s="6"/>
      <c r="AO366" s="6"/>
      <c r="AP366" s="7">
        <f>ROUND(147.21,2)</f>
        <v>147.21</v>
      </c>
      <c r="AQ366" s="6"/>
      <c r="AR366" s="7">
        <f>ROUND(5.61,2)</f>
        <v>5.61</v>
      </c>
      <c r="AS366" s="6"/>
      <c r="AT366" s="6"/>
      <c r="AU366" s="7">
        <f>ROUND(69.38,2)</f>
        <v>69.38</v>
      </c>
      <c r="AV366" s="7">
        <f>ROUND(2.62,2)</f>
        <v>2.62</v>
      </c>
      <c r="AW366" s="7">
        <f>ROUND(16,2)</f>
        <v>16</v>
      </c>
      <c r="AX366" s="6"/>
      <c r="AY366" s="7">
        <f>ROUND(48,2)</f>
        <v>48</v>
      </c>
      <c r="AZ366" s="7">
        <f>ROUND(8,2)</f>
        <v>8</v>
      </c>
      <c r="BA366" s="6"/>
      <c r="BB366" s="6"/>
      <c r="BC366" s="6"/>
      <c r="BD366" s="7">
        <f>ROUND(5.55,2)</f>
        <v>5.55</v>
      </c>
      <c r="BE366" s="7">
        <f>ROUND(1,2)</f>
        <v>1</v>
      </c>
      <c r="BF366" s="7">
        <f>ROUND(2.45,2)</f>
        <v>2.4500000000000002</v>
      </c>
      <c r="BG366" s="6"/>
      <c r="BH366" s="6"/>
      <c r="BI366" s="6"/>
      <c r="BJ366" s="6"/>
      <c r="BK366" s="6"/>
      <c r="BL366" s="6"/>
      <c r="BM366" s="6"/>
      <c r="BN366" s="6"/>
      <c r="BO366" s="7">
        <f>ROUND(33,2)</f>
        <v>33</v>
      </c>
      <c r="BP366" s="6"/>
      <c r="BQ366" s="7">
        <f>ROUND(8,2)</f>
        <v>8</v>
      </c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7">
        <f>ROUND(1.85,2)</f>
        <v>1.85</v>
      </c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7">
        <f>ROUND(24,2)</f>
        <v>24</v>
      </c>
      <c r="CQ366" s="7">
        <f>ROUND(2936,2)</f>
        <v>2936</v>
      </c>
      <c r="CR366" s="6"/>
      <c r="CS366" s="6"/>
      <c r="CT366" s="6"/>
      <c r="CU366" s="6"/>
      <c r="CV366" s="7">
        <f>ROUND(55580.3999999999,2)</f>
        <v>55580.4</v>
      </c>
      <c r="CW366" s="6"/>
      <c r="CX366" s="6"/>
      <c r="CY366" s="7">
        <f>ROUND(35963.02,2)</f>
        <v>35963.019999999997</v>
      </c>
      <c r="CZ366" s="6"/>
      <c r="DA366" s="6"/>
      <c r="DB366" s="6"/>
      <c r="DC366" s="6"/>
      <c r="DD366" s="7">
        <f>ROUND(245.6,2)</f>
        <v>245.6</v>
      </c>
      <c r="DE366" s="7">
        <f>ROUND(635.14,2)</f>
        <v>635.14</v>
      </c>
      <c r="DF366" s="7">
        <f>ROUND(14.02,2)</f>
        <v>14.02</v>
      </c>
      <c r="DG366" s="7">
        <f>ROUND(16.52,2)</f>
        <v>16.52</v>
      </c>
      <c r="DH366" s="6"/>
      <c r="DI366" s="6"/>
      <c r="DJ366" s="6"/>
      <c r="DK366" s="6"/>
      <c r="DL366" s="6"/>
      <c r="DM366" s="6"/>
      <c r="DN366" s="7">
        <f>ROUND(3128.51999999999,2)</f>
        <v>3128.52</v>
      </c>
      <c r="DO366" s="6"/>
      <c r="DP366" s="7">
        <f>ROUND(515.829999999999,2)</f>
        <v>515.83000000000004</v>
      </c>
      <c r="DQ366" s="6"/>
      <c r="DR366" s="6"/>
      <c r="DS366" s="6"/>
      <c r="DT366" s="6"/>
      <c r="DU366" s="6"/>
      <c r="DV366" s="6"/>
      <c r="DW366" s="6"/>
      <c r="DX366" s="6"/>
      <c r="DY366" s="7">
        <f>ROUND(4766.1,2)</f>
        <v>4766.1000000000004</v>
      </c>
      <c r="DZ366" s="6"/>
      <c r="EA366" s="7">
        <f>ROUND(273.55,2)</f>
        <v>273.55</v>
      </c>
      <c r="EB366" s="6"/>
      <c r="EC366" s="6"/>
      <c r="ED366" s="7">
        <f>ROUND(2257.25,2)</f>
        <v>2257.25</v>
      </c>
      <c r="EE366" s="7">
        <f>ROUND(129.9,2)</f>
        <v>129.9</v>
      </c>
      <c r="EF366" s="7">
        <f>ROUND(521.12,2)</f>
        <v>521.12</v>
      </c>
      <c r="EG366" s="6"/>
      <c r="EH366" s="7">
        <f>ROUND(1540.32,2)</f>
        <v>1540.32</v>
      </c>
      <c r="EI366" s="7">
        <f>ROUND(385.08,2)</f>
        <v>385.08</v>
      </c>
      <c r="EJ366" s="6"/>
      <c r="EK366" s="6"/>
      <c r="EL366" s="6"/>
      <c r="EM366" s="6"/>
      <c r="EN366" s="7">
        <f>ROUND(178.1,2)</f>
        <v>178.1</v>
      </c>
      <c r="EO366" s="7">
        <f>ROUND(49.58,2)</f>
        <v>49.58</v>
      </c>
      <c r="EP366" s="7">
        <f>ROUND(117.93,2)</f>
        <v>117.93</v>
      </c>
      <c r="EQ366" s="6"/>
      <c r="ER366" s="6"/>
      <c r="ES366" s="6"/>
      <c r="ET366" s="6"/>
      <c r="EU366" s="6"/>
      <c r="EV366" s="7">
        <f>ROUND(500,2)</f>
        <v>500</v>
      </c>
      <c r="EW366" s="6"/>
      <c r="EX366" s="6"/>
      <c r="EY366" s="6"/>
      <c r="EZ366" s="6"/>
      <c r="FA366" s="6"/>
      <c r="FB366" s="7">
        <f>ROUND(1080.42,2)</f>
        <v>1080.42</v>
      </c>
      <c r="FC366" s="6"/>
      <c r="FD366" s="7">
        <f>ROUND(256.72,2)</f>
        <v>256.72000000000003</v>
      </c>
      <c r="FE366" s="6"/>
      <c r="FF366" s="6"/>
      <c r="FG366" s="6"/>
      <c r="FH366" s="6"/>
      <c r="FI366" s="6"/>
      <c r="FJ366" s="7">
        <f>ROUND(2000,2)</f>
        <v>2000</v>
      </c>
      <c r="FK366" s="6"/>
      <c r="FL366" s="6"/>
      <c r="FM366" s="6"/>
      <c r="FN366" s="6"/>
      <c r="FO366" s="6"/>
      <c r="FP366" s="6"/>
      <c r="FQ366" s="6"/>
      <c r="FR366" s="6"/>
      <c r="FS366" s="6"/>
      <c r="FT366" s="7">
        <f>ROUND(3000,2)</f>
        <v>3000</v>
      </c>
      <c r="FU366" s="6"/>
      <c r="FV366" s="6"/>
      <c r="FW366" s="6"/>
      <c r="FX366" s="7">
        <f>ROUND(801.12,2)</f>
        <v>801.12</v>
      </c>
      <c r="FY366" s="7">
        <f>ROUND(113956.239999999,2)</f>
        <v>113956.24</v>
      </c>
    </row>
    <row r="367" spans="1:181" x14ac:dyDescent="0.3">
      <c r="A367" s="4" t="s">
        <v>941</v>
      </c>
      <c r="B367" s="5" t="s">
        <v>1029</v>
      </c>
      <c r="C367" s="5" t="s">
        <v>181</v>
      </c>
      <c r="D367" s="5" t="s">
        <v>196</v>
      </c>
      <c r="E367" s="5" t="s">
        <v>0</v>
      </c>
      <c r="F367" s="5" t="s">
        <v>0</v>
      </c>
      <c r="G367" s="5" t="s">
        <v>183</v>
      </c>
      <c r="H367" s="8">
        <v>33.380000000000003</v>
      </c>
      <c r="I367" s="7">
        <f>ROUND(86873.46,2)</f>
        <v>86873.46</v>
      </c>
      <c r="J367" s="6"/>
      <c r="K367" s="6"/>
      <c r="L367" s="6"/>
      <c r="M367" s="6"/>
      <c r="N367" s="7">
        <f>ROUND(1385.02,2)</f>
        <v>1385.02</v>
      </c>
      <c r="O367" s="6"/>
      <c r="P367" s="6"/>
      <c r="Q367" s="7">
        <f>ROUND(157.43,2)</f>
        <v>157.43</v>
      </c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7">
        <f>ROUND(155.26,2)</f>
        <v>155.26</v>
      </c>
      <c r="AF367" s="6"/>
      <c r="AG367" s="7">
        <f>ROUND(58.66,2)</f>
        <v>58.66</v>
      </c>
      <c r="AH367" s="6"/>
      <c r="AI367" s="6"/>
      <c r="AJ367" s="6"/>
      <c r="AK367" s="6"/>
      <c r="AL367" s="6"/>
      <c r="AM367" s="6"/>
      <c r="AN367" s="6"/>
      <c r="AO367" s="6"/>
      <c r="AP367" s="7">
        <f>ROUND(329.159999999999,2)</f>
        <v>329.16</v>
      </c>
      <c r="AQ367" s="6"/>
      <c r="AR367" s="7">
        <f>ROUND(32.1999999999999,2)</f>
        <v>32.200000000000003</v>
      </c>
      <c r="AS367" s="6"/>
      <c r="AT367" s="6"/>
      <c r="AU367" s="7">
        <f>ROUND(74,2)</f>
        <v>74</v>
      </c>
      <c r="AV367" s="6"/>
      <c r="AW367" s="7">
        <f>ROUND(32,2)</f>
        <v>32</v>
      </c>
      <c r="AX367" s="6"/>
      <c r="AY367" s="7">
        <f>ROUND(44.97,2)</f>
        <v>44.97</v>
      </c>
      <c r="AZ367" s="7">
        <f>ROUND(5.03,2)</f>
        <v>5.03</v>
      </c>
      <c r="BA367" s="6"/>
      <c r="BB367" s="7">
        <f>ROUND(40,2)</f>
        <v>40</v>
      </c>
      <c r="BC367" s="6"/>
      <c r="BD367" s="7">
        <f>ROUND(8,2)</f>
        <v>8</v>
      </c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7">
        <f>ROUND(74.84,2)</f>
        <v>74.84</v>
      </c>
      <c r="BR367" s="7">
        <f>ROUND(5.75,2)</f>
        <v>5.75</v>
      </c>
      <c r="BS367" s="7">
        <f>ROUND(8,2)</f>
        <v>8</v>
      </c>
      <c r="BT367" s="7">
        <f>ROUND(6.52,2)</f>
        <v>6.52</v>
      </c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7">
        <f>ROUND(2416.84,2)</f>
        <v>2416.84</v>
      </c>
      <c r="CR367" s="6"/>
      <c r="CS367" s="6"/>
      <c r="CT367" s="6"/>
      <c r="CU367" s="6"/>
      <c r="CV367" s="7">
        <f>ROUND(45269.01,2)</f>
        <v>45269.01</v>
      </c>
      <c r="CW367" s="6"/>
      <c r="CX367" s="6"/>
      <c r="CY367" s="7">
        <f>ROUND(7743.10999999999,2)</f>
        <v>7743.11</v>
      </c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7">
        <f>ROUND(5036.76,2)</f>
        <v>5036.76</v>
      </c>
      <c r="DO367" s="6"/>
      <c r="DP367" s="7">
        <f>ROUND(2887.73,2)</f>
        <v>2887.73</v>
      </c>
      <c r="DQ367" s="6"/>
      <c r="DR367" s="6"/>
      <c r="DS367" s="6"/>
      <c r="DT367" s="6"/>
      <c r="DU367" s="6"/>
      <c r="DV367" s="6"/>
      <c r="DW367" s="6"/>
      <c r="DX367" s="6"/>
      <c r="DY367" s="7">
        <f>ROUND(10726.43,2)</f>
        <v>10726.43</v>
      </c>
      <c r="DZ367" s="6"/>
      <c r="EA367" s="7">
        <f>ROUND(1569.79,2)</f>
        <v>1569.79</v>
      </c>
      <c r="EB367" s="6"/>
      <c r="EC367" s="6"/>
      <c r="ED367" s="7">
        <f>ROUND(2410.6,2)</f>
        <v>2410.6</v>
      </c>
      <c r="EE367" s="6"/>
      <c r="EF367" s="7">
        <f>ROUND(1026.88,2)</f>
        <v>1026.8800000000001</v>
      </c>
      <c r="EG367" s="6"/>
      <c r="EH367" s="7">
        <f>ROUND(1466.13,2)</f>
        <v>1466.13</v>
      </c>
      <c r="EI367" s="7">
        <f>ROUND(242.12,2)</f>
        <v>242.12</v>
      </c>
      <c r="EJ367" s="6"/>
      <c r="EK367" s="7">
        <f>ROUND(1298.96,2)</f>
        <v>1298.96</v>
      </c>
      <c r="EL367" s="6"/>
      <c r="EM367" s="6"/>
      <c r="EN367" s="7">
        <f>ROUND(256.72,2)</f>
        <v>256.72000000000003</v>
      </c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7">
        <f>ROUND(2405.89,2)</f>
        <v>2405.89</v>
      </c>
      <c r="FE367" s="7">
        <f>ROUND(283.33,2)</f>
        <v>283.33</v>
      </c>
      <c r="FF367" s="6"/>
      <c r="FG367" s="6"/>
      <c r="FH367" s="6"/>
      <c r="FI367" s="6"/>
      <c r="FJ367" s="7">
        <f>ROUND(1250,2)</f>
        <v>1250</v>
      </c>
      <c r="FK367" s="6"/>
      <c r="FL367" s="6"/>
      <c r="FM367" s="6"/>
      <c r="FN367" s="6"/>
      <c r="FO367" s="6"/>
      <c r="FP367" s="6"/>
      <c r="FQ367" s="6"/>
      <c r="FR367" s="6"/>
      <c r="FS367" s="6"/>
      <c r="FT367" s="7">
        <f>ROUND(3000,2)</f>
        <v>3000</v>
      </c>
      <c r="FU367" s="6"/>
      <c r="FV367" s="6"/>
      <c r="FW367" s="6"/>
      <c r="FX367" s="6"/>
      <c r="FY367" s="7">
        <f>ROUND(86873.46,2)</f>
        <v>86873.46</v>
      </c>
    </row>
    <row r="368" spans="1:181" x14ac:dyDescent="0.3">
      <c r="A368" s="4" t="s">
        <v>945</v>
      </c>
      <c r="B368" s="5" t="s">
        <v>1029</v>
      </c>
      <c r="C368" s="5" t="s">
        <v>181</v>
      </c>
      <c r="D368" s="5" t="s">
        <v>545</v>
      </c>
      <c r="E368" s="5" t="s">
        <v>0</v>
      </c>
      <c r="F368" s="5" t="s">
        <v>0</v>
      </c>
      <c r="G368" s="5" t="s">
        <v>183</v>
      </c>
      <c r="H368" s="8">
        <v>33.380000000000003</v>
      </c>
      <c r="I368" s="7">
        <f>ROUND(92237.2699999999,2)</f>
        <v>92237.27</v>
      </c>
      <c r="J368" s="6"/>
      <c r="K368" s="6"/>
      <c r="L368" s="6"/>
      <c r="M368" s="6"/>
      <c r="N368" s="7">
        <f>ROUND(1907.85,2)</f>
        <v>1907.85</v>
      </c>
      <c r="O368" s="6"/>
      <c r="P368" s="6"/>
      <c r="Q368" s="7">
        <f>ROUND(366.739999999999,2)</f>
        <v>366.74</v>
      </c>
      <c r="R368" s="6"/>
      <c r="S368" s="6"/>
      <c r="T368" s="6"/>
      <c r="U368" s="6"/>
      <c r="V368" s="7">
        <f>ROUND(6,2)</f>
        <v>6</v>
      </c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7">
        <f>ROUND(68,2)</f>
        <v>68</v>
      </c>
      <c r="AV368" s="6"/>
      <c r="AW368" s="7">
        <f>ROUND(27.8,2)</f>
        <v>27.8</v>
      </c>
      <c r="AX368" s="7">
        <f>ROUND(4.2,2)</f>
        <v>4.2</v>
      </c>
      <c r="AY368" s="7">
        <f>ROUND(93.42,2)</f>
        <v>93.42</v>
      </c>
      <c r="AZ368" s="7">
        <f>ROUND(2.58,2)</f>
        <v>2.58</v>
      </c>
      <c r="BA368" s="6"/>
      <c r="BB368" s="7">
        <f>ROUND(24,2)</f>
        <v>24</v>
      </c>
      <c r="BC368" s="6"/>
      <c r="BD368" s="7">
        <f>ROUND(8,2)</f>
        <v>8</v>
      </c>
      <c r="BE368" s="7">
        <f>ROUND(2.53,2)</f>
        <v>2.5299999999999998</v>
      </c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7">
        <f>ROUND(8,2)</f>
        <v>8</v>
      </c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7">
        <f>ROUND(2519.11999999999,2)</f>
        <v>2519.12</v>
      </c>
      <c r="CR368" s="6"/>
      <c r="CS368" s="6"/>
      <c r="CT368" s="6"/>
      <c r="CU368" s="6"/>
      <c r="CV368" s="7">
        <f>ROUND(62229.3199999999,2)</f>
        <v>62229.32</v>
      </c>
      <c r="CW368" s="6"/>
      <c r="CX368" s="6"/>
      <c r="CY368" s="7">
        <f>ROUND(17983.7799999999,2)</f>
        <v>17983.78</v>
      </c>
      <c r="CZ368" s="6"/>
      <c r="DA368" s="6"/>
      <c r="DB368" s="6"/>
      <c r="DC368" s="6"/>
      <c r="DD368" s="7">
        <f>ROUND(199.2,2)</f>
        <v>199.2</v>
      </c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7">
        <f>ROUND(2215.48,2)</f>
        <v>2215.48</v>
      </c>
      <c r="EE368" s="6"/>
      <c r="EF368" s="7">
        <f>ROUND(899.78,2)</f>
        <v>899.78</v>
      </c>
      <c r="EG368" s="7">
        <f>ROUND(202.17,2)</f>
        <v>202.17</v>
      </c>
      <c r="EH368" s="7">
        <f>ROUND(2997.85,2)</f>
        <v>2997.85</v>
      </c>
      <c r="EI368" s="7">
        <f>ROUND(124.19,2)</f>
        <v>124.19</v>
      </c>
      <c r="EJ368" s="6"/>
      <c r="EK368" s="7">
        <f>ROUND(770.16,2)</f>
        <v>770.16</v>
      </c>
      <c r="EL368" s="6"/>
      <c r="EM368" s="6"/>
      <c r="EN368" s="7">
        <f>ROUND(256.72,2)</f>
        <v>256.72000000000003</v>
      </c>
      <c r="EO368" s="7">
        <f>ROUND(83.62,2)</f>
        <v>83.62</v>
      </c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7">
        <f>ROUND(1275,2)</f>
        <v>1275</v>
      </c>
      <c r="FK368" s="6"/>
      <c r="FL368" s="6"/>
      <c r="FM368" s="6"/>
      <c r="FN368" s="6"/>
      <c r="FO368" s="6"/>
      <c r="FP368" s="6"/>
      <c r="FQ368" s="6"/>
      <c r="FR368" s="6"/>
      <c r="FS368" s="6"/>
      <c r="FT368" s="7">
        <f>ROUND(3000,2)</f>
        <v>3000</v>
      </c>
      <c r="FU368" s="6"/>
      <c r="FV368" s="6"/>
      <c r="FW368" s="6"/>
      <c r="FX368" s="6"/>
      <c r="FY368" s="7">
        <f>ROUND(92237.2699999999,2)</f>
        <v>92237.27</v>
      </c>
    </row>
    <row r="369" spans="1:181" x14ac:dyDescent="0.3">
      <c r="A369" s="4" t="s">
        <v>946</v>
      </c>
      <c r="B369" s="5" t="s">
        <v>1029</v>
      </c>
      <c r="C369" s="5" t="s">
        <v>181</v>
      </c>
      <c r="D369" s="5" t="s">
        <v>471</v>
      </c>
      <c r="E369" s="5" t="s">
        <v>947</v>
      </c>
      <c r="F369" s="5" t="s">
        <v>0</v>
      </c>
      <c r="G369" s="5" t="s">
        <v>183</v>
      </c>
      <c r="H369" s="9">
        <v>17.5</v>
      </c>
      <c r="I369" s="7">
        <f>ROUND(1723.75,2)</f>
        <v>1723.75</v>
      </c>
      <c r="J369" s="7">
        <f>ROUND(8,2)</f>
        <v>8</v>
      </c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7">
        <f>ROUND(90.5,2)</f>
        <v>90.5</v>
      </c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7">
        <f>ROUND(5,2)</f>
        <v>5</v>
      </c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7">
        <f>ROUND(103.5,2)</f>
        <v>103.5</v>
      </c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7">
        <f>ROUND(1583.75,2)</f>
        <v>1583.75</v>
      </c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7">
        <f>ROUND(140,2)</f>
        <v>140</v>
      </c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7">
        <f>ROUND(1723.75,2)</f>
        <v>1723.75</v>
      </c>
    </row>
    <row r="370" spans="1:181" x14ac:dyDescent="0.3">
      <c r="A370" s="4" t="s">
        <v>948</v>
      </c>
      <c r="B370" s="5" t="s">
        <v>1029</v>
      </c>
      <c r="C370" s="5" t="s">
        <v>181</v>
      </c>
      <c r="D370" s="5" t="s">
        <v>196</v>
      </c>
      <c r="E370" s="5" t="s">
        <v>0</v>
      </c>
      <c r="F370" s="5" t="s">
        <v>0</v>
      </c>
      <c r="G370" s="5" t="s">
        <v>183</v>
      </c>
      <c r="H370" s="8">
        <v>33.380000000000003</v>
      </c>
      <c r="I370" s="7">
        <f>ROUND(96487.96,2)</f>
        <v>96487.96</v>
      </c>
      <c r="J370" s="6"/>
      <c r="K370" s="6"/>
      <c r="L370" s="6"/>
      <c r="M370" s="6"/>
      <c r="N370" s="7">
        <f>ROUND(908.95,2)</f>
        <v>908.95</v>
      </c>
      <c r="O370" s="6"/>
      <c r="P370" s="6"/>
      <c r="Q370" s="7">
        <f>ROUND(211.83,2)</f>
        <v>211.83</v>
      </c>
      <c r="R370" s="6"/>
      <c r="S370" s="6"/>
      <c r="T370" s="6"/>
      <c r="U370" s="6"/>
      <c r="V370" s="7">
        <f>ROUND(28.86,2)</f>
        <v>28.86</v>
      </c>
      <c r="W370" s="7">
        <f>ROUND(14.34,2)</f>
        <v>14.34</v>
      </c>
      <c r="X370" s="7">
        <f>ROUND(3.94,2)</f>
        <v>3.94</v>
      </c>
      <c r="Y370" s="7">
        <f>ROUND(1.97,2)</f>
        <v>1.97</v>
      </c>
      <c r="Z370" s="6"/>
      <c r="AA370" s="6"/>
      <c r="AB370" s="6"/>
      <c r="AC370" s="6"/>
      <c r="AD370" s="6"/>
      <c r="AE370" s="7">
        <f>ROUND(229.46,2)</f>
        <v>229.46</v>
      </c>
      <c r="AF370" s="6"/>
      <c r="AG370" s="7">
        <f>ROUND(65.71,2)</f>
        <v>65.709999999999994</v>
      </c>
      <c r="AH370" s="6"/>
      <c r="AI370" s="6"/>
      <c r="AJ370" s="6"/>
      <c r="AK370" s="6"/>
      <c r="AL370" s="6"/>
      <c r="AM370" s="6"/>
      <c r="AN370" s="6"/>
      <c r="AO370" s="6"/>
      <c r="AP370" s="7">
        <f>ROUND(626.06,2)</f>
        <v>626.05999999999995</v>
      </c>
      <c r="AQ370" s="6"/>
      <c r="AR370" s="7">
        <f>ROUND(119.42,2)</f>
        <v>119.42</v>
      </c>
      <c r="AS370" s="6"/>
      <c r="AT370" s="6"/>
      <c r="AU370" s="7">
        <f>ROUND(76,2)</f>
        <v>76</v>
      </c>
      <c r="AV370" s="6"/>
      <c r="AW370" s="7">
        <f>ROUND(35.48,2)</f>
        <v>35.479999999999997</v>
      </c>
      <c r="AX370" s="7">
        <f>ROUND(6.52,2)</f>
        <v>6.52</v>
      </c>
      <c r="AY370" s="7">
        <f>ROUND(77.08,2)</f>
        <v>77.08</v>
      </c>
      <c r="AZ370" s="7">
        <f>ROUND(12.92,2)</f>
        <v>12.92</v>
      </c>
      <c r="BA370" s="6"/>
      <c r="BB370" s="6"/>
      <c r="BC370" s="6"/>
      <c r="BD370" s="7">
        <f>ROUND(24.92,2)</f>
        <v>24.92</v>
      </c>
      <c r="BE370" s="6"/>
      <c r="BF370" s="7">
        <f>ROUND(0.08,2)</f>
        <v>0.08</v>
      </c>
      <c r="BG370" s="6"/>
      <c r="BH370" s="6"/>
      <c r="BI370" s="6"/>
      <c r="BJ370" s="6"/>
      <c r="BK370" s="6"/>
      <c r="BL370" s="6"/>
      <c r="BM370" s="6"/>
      <c r="BN370" s="6"/>
      <c r="BO370" s="7">
        <f>ROUND(70.4799999999999,2)</f>
        <v>70.48</v>
      </c>
      <c r="BP370" s="7">
        <f>ROUND(1.77,2)</f>
        <v>1.77</v>
      </c>
      <c r="BQ370" s="7">
        <f>ROUND(52.35,2)</f>
        <v>52.35</v>
      </c>
      <c r="BR370" s="7">
        <f>ROUND(10.08,2)</f>
        <v>10.08</v>
      </c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7">
        <f>ROUND(4.75,2)</f>
        <v>4.75</v>
      </c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7">
        <f>ROUND(2582.97,2)</f>
        <v>2582.9699999999998</v>
      </c>
      <c r="CR370" s="6"/>
      <c r="CS370" s="6"/>
      <c r="CT370" s="6"/>
      <c r="CU370" s="6"/>
      <c r="CV370" s="7">
        <f>ROUND(29604.3299999999,2)</f>
        <v>29604.33</v>
      </c>
      <c r="CW370" s="6"/>
      <c r="CX370" s="6"/>
      <c r="CY370" s="7">
        <f>ROUND(10361.8399999999,2)</f>
        <v>10361.84</v>
      </c>
      <c r="CZ370" s="6"/>
      <c r="DA370" s="6"/>
      <c r="DB370" s="6"/>
      <c r="DC370" s="6"/>
      <c r="DD370" s="7">
        <f>ROUND(934.26,2)</f>
        <v>934.26</v>
      </c>
      <c r="DE370" s="7">
        <f>ROUND(701.4,2)</f>
        <v>701.4</v>
      </c>
      <c r="DF370" s="7">
        <f>ROUND(128.89,2)</f>
        <v>128.88999999999999</v>
      </c>
      <c r="DG370" s="7">
        <f>ROUND(96.41,2)</f>
        <v>96.41</v>
      </c>
      <c r="DH370" s="6"/>
      <c r="DI370" s="6"/>
      <c r="DJ370" s="6"/>
      <c r="DK370" s="6"/>
      <c r="DL370" s="6"/>
      <c r="DM370" s="6"/>
      <c r="DN370" s="7">
        <f>ROUND(7530.45999999999,2)</f>
        <v>7530.46</v>
      </c>
      <c r="DO370" s="6"/>
      <c r="DP370" s="7">
        <f>ROUND(3228.5,2)</f>
        <v>3228.5</v>
      </c>
      <c r="DQ370" s="6"/>
      <c r="DR370" s="6"/>
      <c r="DS370" s="6"/>
      <c r="DT370" s="6"/>
      <c r="DU370" s="6"/>
      <c r="DV370" s="6"/>
      <c r="DW370" s="6"/>
      <c r="DX370" s="6"/>
      <c r="DY370" s="7">
        <f>ROUND(20441.9699999999,2)</f>
        <v>20441.97</v>
      </c>
      <c r="DZ370" s="6"/>
      <c r="EA370" s="7">
        <f>ROUND(5845.11,2)</f>
        <v>5845.11</v>
      </c>
      <c r="EB370" s="6"/>
      <c r="EC370" s="6"/>
      <c r="ED370" s="7">
        <f>ROUND(2476.7,2)</f>
        <v>2476.6999999999998</v>
      </c>
      <c r="EE370" s="6"/>
      <c r="EF370" s="7">
        <f>ROUND(1148.87,2)</f>
        <v>1148.8699999999999</v>
      </c>
      <c r="EG370" s="7">
        <f>ROUND(313.84,2)</f>
        <v>313.83999999999997</v>
      </c>
      <c r="EH370" s="7">
        <f>ROUND(2483.1,2)</f>
        <v>2483.1</v>
      </c>
      <c r="EI370" s="7">
        <f>ROUND(621.9,2)</f>
        <v>621.9</v>
      </c>
      <c r="EJ370" s="6"/>
      <c r="EK370" s="6"/>
      <c r="EL370" s="6"/>
      <c r="EM370" s="6"/>
      <c r="EN370" s="7">
        <f>ROUND(815.93,2)</f>
        <v>815.93</v>
      </c>
      <c r="EO370" s="6"/>
      <c r="EP370" s="7">
        <f>ROUND(3.97,2)</f>
        <v>3.97</v>
      </c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7">
        <f>ROUND(2305.35,2)</f>
        <v>2305.35</v>
      </c>
      <c r="FC370" s="7">
        <f>ROUND(88.4,2)</f>
        <v>88.4</v>
      </c>
      <c r="FD370" s="7">
        <f>ROUND(1705.79,2)</f>
        <v>1705.79</v>
      </c>
      <c r="FE370" s="7">
        <f>ROUND(493.24,2)</f>
        <v>493.24</v>
      </c>
      <c r="FF370" s="6"/>
      <c r="FG370" s="6"/>
      <c r="FH370" s="6"/>
      <c r="FI370" s="7">
        <f>ROUND(157.7,2)</f>
        <v>157.69999999999999</v>
      </c>
      <c r="FJ370" s="7">
        <f>ROUND(2000,2)</f>
        <v>2000</v>
      </c>
      <c r="FK370" s="6"/>
      <c r="FL370" s="6"/>
      <c r="FM370" s="6"/>
      <c r="FN370" s="6"/>
      <c r="FO370" s="6"/>
      <c r="FP370" s="6"/>
      <c r="FQ370" s="6"/>
      <c r="FR370" s="6"/>
      <c r="FS370" s="6"/>
      <c r="FT370" s="7">
        <f>ROUND(3000,2)</f>
        <v>3000</v>
      </c>
      <c r="FU370" s="6"/>
      <c r="FV370" s="6"/>
      <c r="FW370" s="6"/>
      <c r="FX370" s="6"/>
      <c r="FY370" s="7">
        <f>ROUND(96487.96,2)</f>
        <v>96487.96</v>
      </c>
    </row>
    <row r="371" spans="1:181" x14ac:dyDescent="0.3">
      <c r="A371" s="4" t="s">
        <v>949</v>
      </c>
      <c r="B371" s="5" t="s">
        <v>1029</v>
      </c>
      <c r="C371" s="5" t="s">
        <v>181</v>
      </c>
      <c r="D371" s="5" t="s">
        <v>950</v>
      </c>
      <c r="E371" s="5" t="s">
        <v>0</v>
      </c>
      <c r="F371" s="5" t="s">
        <v>0</v>
      </c>
      <c r="G371" s="5" t="s">
        <v>183</v>
      </c>
      <c r="H371" s="8">
        <v>33.71</v>
      </c>
      <c r="I371" s="7">
        <f>ROUND(58238.7399999999,2)</f>
        <v>58238.74</v>
      </c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7">
        <f>ROUND(543.65,2)</f>
        <v>543.65</v>
      </c>
      <c r="AF371" s="6"/>
      <c r="AG371" s="7">
        <f>ROUND(56.77,2)</f>
        <v>56.77</v>
      </c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7">
        <f>ROUND(52,2)</f>
        <v>52</v>
      </c>
      <c r="AV371" s="6"/>
      <c r="AW371" s="7">
        <f>ROUND(32,2)</f>
        <v>32</v>
      </c>
      <c r="AX371" s="6"/>
      <c r="AY371" s="7">
        <f>ROUND(120,2)</f>
        <v>120</v>
      </c>
      <c r="AZ371" s="6"/>
      <c r="BA371" s="6"/>
      <c r="BB371" s="7">
        <f>ROUND(16,2)</f>
        <v>16</v>
      </c>
      <c r="BC371" s="6"/>
      <c r="BD371" s="7">
        <f>ROUND(8,2)</f>
        <v>8</v>
      </c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7">
        <f>ROUND(224,2)</f>
        <v>224</v>
      </c>
      <c r="BP371" s="6"/>
      <c r="BQ371" s="7">
        <f>ROUND(587.5,2)</f>
        <v>587.5</v>
      </c>
      <c r="BR371" s="7">
        <f>ROUND(0.78,2)</f>
        <v>0.78</v>
      </c>
      <c r="BS371" s="7">
        <f>ROUND(36.83,2)</f>
        <v>36.83</v>
      </c>
      <c r="BT371" s="7">
        <f>ROUND(4.6,2)</f>
        <v>4.5999999999999996</v>
      </c>
      <c r="BU371" s="6"/>
      <c r="BV371" s="6"/>
      <c r="BW371" s="7">
        <f>ROUND(16,2)</f>
        <v>16</v>
      </c>
      <c r="BX371" s="6"/>
      <c r="BY371" s="7">
        <f>ROUND(16,2)</f>
        <v>16</v>
      </c>
      <c r="BZ371" s="6"/>
      <c r="CA371" s="7">
        <f>ROUND(16,2)</f>
        <v>16</v>
      </c>
      <c r="CB371" s="6"/>
      <c r="CC371" s="7">
        <f>ROUND(480,2)</f>
        <v>480</v>
      </c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7">
        <f>ROUND(24,2)</f>
        <v>24</v>
      </c>
      <c r="CQ371" s="7">
        <f>ROUND(2234.13,2)</f>
        <v>2234.13</v>
      </c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7">
        <f>ROUND(17679.39,2)</f>
        <v>17679.39</v>
      </c>
      <c r="DO371" s="6"/>
      <c r="DP371" s="7">
        <f>ROUND(2734.04999999999,2)</f>
        <v>2734.05</v>
      </c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7">
        <f>ROUND(1684.04,2)</f>
        <v>1684.04</v>
      </c>
      <c r="EE371" s="6"/>
      <c r="EF371" s="7">
        <f>ROUND(1034.56,2)</f>
        <v>1034.56</v>
      </c>
      <c r="EG371" s="6"/>
      <c r="EH371" s="7">
        <f>ROUND(3889.2,2)</f>
        <v>3889.2</v>
      </c>
      <c r="EI371" s="6"/>
      <c r="EJ371" s="6"/>
      <c r="EK371" s="7">
        <f>ROUND(513.44,2)</f>
        <v>513.44000000000005</v>
      </c>
      <c r="EL371" s="6"/>
      <c r="EM371" s="6"/>
      <c r="EN371" s="7">
        <f>ROUND(256.72,2)</f>
        <v>256.72000000000003</v>
      </c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7">
        <f>ROUND(7403.2,2)</f>
        <v>7403.2</v>
      </c>
      <c r="FC371" s="6"/>
      <c r="FD371" s="7">
        <f>ROUND(18872.56,2)</f>
        <v>18872.560000000001</v>
      </c>
      <c r="FE371" s="7">
        <f>ROUND(37.54,2)</f>
        <v>37.54</v>
      </c>
      <c r="FF371" s="6"/>
      <c r="FG371" s="6"/>
      <c r="FH371" s="6"/>
      <c r="FI371" s="6"/>
      <c r="FJ371" s="7">
        <f>ROUND(325,2)</f>
        <v>325</v>
      </c>
      <c r="FK371" s="6"/>
      <c r="FL371" s="6"/>
      <c r="FM371" s="6"/>
      <c r="FN371" s="6"/>
      <c r="FO371" s="6"/>
      <c r="FP371" s="6"/>
      <c r="FQ371" s="6"/>
      <c r="FR371" s="6"/>
      <c r="FS371" s="6"/>
      <c r="FT371" s="7">
        <f>ROUND(3000,2)</f>
        <v>3000</v>
      </c>
      <c r="FU371" s="6"/>
      <c r="FV371" s="6"/>
      <c r="FW371" s="6"/>
      <c r="FX371" s="7">
        <f>ROUND(809.04,2)</f>
        <v>809.04</v>
      </c>
      <c r="FY371" s="7">
        <f>ROUND(58238.7399999999,2)</f>
        <v>58238.74</v>
      </c>
    </row>
    <row r="372" spans="1:181" x14ac:dyDescent="0.3">
      <c r="A372" s="4" t="s">
        <v>951</v>
      </c>
      <c r="B372" s="5" t="s">
        <v>1029</v>
      </c>
      <c r="C372" s="5" t="s">
        <v>181</v>
      </c>
      <c r="D372" s="5" t="s">
        <v>332</v>
      </c>
      <c r="E372" s="5" t="s">
        <v>0</v>
      </c>
      <c r="F372" s="5" t="s">
        <v>0</v>
      </c>
      <c r="G372" s="5" t="s">
        <v>183</v>
      </c>
      <c r="H372" s="8">
        <v>33.380000000000003</v>
      </c>
      <c r="I372" s="7">
        <f>ROUND(67771.65,2)</f>
        <v>67771.649999999994</v>
      </c>
      <c r="J372" s="6"/>
      <c r="K372" s="6"/>
      <c r="L372" s="6"/>
      <c r="M372" s="6"/>
      <c r="N372" s="7">
        <f>ROUND(1540.58,2)</f>
        <v>1540.58</v>
      </c>
      <c r="O372" s="6"/>
      <c r="P372" s="6"/>
      <c r="Q372" s="7">
        <f>ROUND(79.46,2)</f>
        <v>79.459999999999994</v>
      </c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7">
        <f>ROUND(64,2)</f>
        <v>64</v>
      </c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7">
        <f>ROUND(44,2)</f>
        <v>44</v>
      </c>
      <c r="AV372" s="6"/>
      <c r="AW372" s="7">
        <f>ROUND(40,2)</f>
        <v>40</v>
      </c>
      <c r="AX372" s="6"/>
      <c r="AY372" s="7">
        <f>ROUND(111.33,2)</f>
        <v>111.33</v>
      </c>
      <c r="AZ372" s="7">
        <f>ROUND(0.67,2)</f>
        <v>0.67</v>
      </c>
      <c r="BA372" s="6"/>
      <c r="BB372" s="7">
        <f>ROUND(24,2)</f>
        <v>24</v>
      </c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7">
        <f>ROUND(257.35,2)</f>
        <v>257.35000000000002</v>
      </c>
      <c r="BT372" s="7">
        <f>ROUND(2.17,2)</f>
        <v>2.17</v>
      </c>
      <c r="BU372" s="7">
        <f>ROUND(8,2)</f>
        <v>8</v>
      </c>
      <c r="BV372" s="6"/>
      <c r="BW372" s="7">
        <f>ROUND(24,2)</f>
        <v>24</v>
      </c>
      <c r="BX372" s="6"/>
      <c r="BY372" s="6"/>
      <c r="BZ372" s="6"/>
      <c r="CA372" s="7">
        <f>ROUND(40,2)</f>
        <v>40</v>
      </c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7">
        <f>ROUND(8,2)</f>
        <v>8</v>
      </c>
      <c r="CQ372" s="7">
        <f>ROUND(2243.56,2)</f>
        <v>2243.56</v>
      </c>
      <c r="CR372" s="6"/>
      <c r="CS372" s="6"/>
      <c r="CT372" s="6"/>
      <c r="CU372" s="6"/>
      <c r="CV372" s="7">
        <f>ROUND(50424.4999999999,2)</f>
        <v>50424.5</v>
      </c>
      <c r="CW372" s="6"/>
      <c r="CX372" s="6"/>
      <c r="CY372" s="7">
        <f>ROUND(3917.79,2)</f>
        <v>3917.79</v>
      </c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7">
        <f>ROUND(2136.32,2)</f>
        <v>2136.3200000000002</v>
      </c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7">
        <f>ROUND(1429.96,2)</f>
        <v>1429.96</v>
      </c>
      <c r="EE372" s="6"/>
      <c r="EF372" s="7">
        <f>ROUND(1314.32,2)</f>
        <v>1314.32</v>
      </c>
      <c r="EG372" s="6"/>
      <c r="EH372" s="7">
        <f>ROUND(3620.66,2)</f>
        <v>3620.66</v>
      </c>
      <c r="EI372" s="7">
        <f>ROUND(33.22,2)</f>
        <v>33.22</v>
      </c>
      <c r="EJ372" s="6"/>
      <c r="EK372" s="7">
        <f>ROUND(777.84,2)</f>
        <v>777.84</v>
      </c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7">
        <f>ROUND(850,2)</f>
        <v>850</v>
      </c>
      <c r="FK372" s="6"/>
      <c r="FL372" s="6"/>
      <c r="FM372" s="6"/>
      <c r="FN372" s="6"/>
      <c r="FO372" s="6"/>
      <c r="FP372" s="6"/>
      <c r="FQ372" s="6"/>
      <c r="FR372" s="6"/>
      <c r="FS372" s="6"/>
      <c r="FT372" s="7">
        <f>ROUND(3000,2)</f>
        <v>3000</v>
      </c>
      <c r="FU372" s="6"/>
      <c r="FV372" s="6"/>
      <c r="FW372" s="6"/>
      <c r="FX372" s="7">
        <f>ROUND(267.04,2)</f>
        <v>267.04000000000002</v>
      </c>
      <c r="FY372" s="7">
        <f>ROUND(67771.65,2)</f>
        <v>67771.649999999994</v>
      </c>
    </row>
    <row r="373" spans="1:181" x14ac:dyDescent="0.3">
      <c r="A373" s="4" t="s">
        <v>952</v>
      </c>
      <c r="B373" s="5" t="s">
        <v>1029</v>
      </c>
      <c r="C373" s="5" t="s">
        <v>181</v>
      </c>
      <c r="D373" s="5" t="s">
        <v>953</v>
      </c>
      <c r="E373" s="5" t="s">
        <v>0</v>
      </c>
      <c r="F373" s="5" t="s">
        <v>0</v>
      </c>
      <c r="G373" s="5" t="s">
        <v>183</v>
      </c>
      <c r="H373" s="9">
        <v>31.71</v>
      </c>
      <c r="I373" s="7">
        <f>ROUND(67633.79,2)</f>
        <v>67633.789999999994</v>
      </c>
      <c r="J373" s="6"/>
      <c r="K373" s="6"/>
      <c r="L373" s="6"/>
      <c r="M373" s="6"/>
      <c r="N373" s="7">
        <f>ROUND(898.699999999999,2)</f>
        <v>898.7</v>
      </c>
      <c r="O373" s="6"/>
      <c r="P373" s="6"/>
      <c r="Q373" s="7">
        <f>ROUND(103.12,2)</f>
        <v>103.12</v>
      </c>
      <c r="R373" s="6"/>
      <c r="S373" s="6"/>
      <c r="T373" s="6"/>
      <c r="U373" s="6"/>
      <c r="V373" s="7">
        <f>ROUND(29.83,2)</f>
        <v>29.83</v>
      </c>
      <c r="W373" s="7">
        <f>ROUND(2.33,2)</f>
        <v>2.33</v>
      </c>
      <c r="X373" s="7">
        <f>ROUND(1.17,2)</f>
        <v>1.17</v>
      </c>
      <c r="Y373" s="6"/>
      <c r="Z373" s="6"/>
      <c r="AA373" s="6"/>
      <c r="AB373" s="6"/>
      <c r="AC373" s="6"/>
      <c r="AD373" s="6"/>
      <c r="AE373" s="7">
        <f>ROUND(243.97,2)</f>
        <v>243.97</v>
      </c>
      <c r="AF373" s="6"/>
      <c r="AG373" s="7">
        <f>ROUND(27,2)</f>
        <v>27</v>
      </c>
      <c r="AH373" s="6"/>
      <c r="AI373" s="6"/>
      <c r="AJ373" s="6"/>
      <c r="AK373" s="6"/>
      <c r="AL373" s="6"/>
      <c r="AM373" s="6"/>
      <c r="AN373" s="6"/>
      <c r="AO373" s="6"/>
      <c r="AP373" s="7">
        <f>ROUND(528.609999999999,2)</f>
        <v>528.61</v>
      </c>
      <c r="AQ373" s="6"/>
      <c r="AR373" s="7">
        <f>ROUND(66.0399999999999,2)</f>
        <v>66.040000000000006</v>
      </c>
      <c r="AS373" s="6"/>
      <c r="AT373" s="6"/>
      <c r="AU373" s="7">
        <f>ROUND(66,2)</f>
        <v>66</v>
      </c>
      <c r="AV373" s="6"/>
      <c r="AW373" s="7">
        <f>ROUND(34,2)</f>
        <v>34</v>
      </c>
      <c r="AX373" s="6"/>
      <c r="AY373" s="7">
        <f>ROUND(31.67,2)</f>
        <v>31.67</v>
      </c>
      <c r="AZ373" s="7">
        <f>ROUND(16.33,2)</f>
        <v>16.329999999999998</v>
      </c>
      <c r="BA373" s="6"/>
      <c r="BB373" s="6"/>
      <c r="BC373" s="6"/>
      <c r="BD373" s="7">
        <f>ROUND(8,2)</f>
        <v>8</v>
      </c>
      <c r="BE373" s="6"/>
      <c r="BF373" s="6"/>
      <c r="BG373" s="6"/>
      <c r="BH373" s="6"/>
      <c r="BI373" s="6"/>
      <c r="BJ373" s="6"/>
      <c r="BK373" s="6"/>
      <c r="BL373" s="6"/>
      <c r="BM373" s="7">
        <f>ROUND(3.75,2)</f>
        <v>3.75</v>
      </c>
      <c r="BN373" s="6"/>
      <c r="BO373" s="7">
        <f>ROUND(20.25,2)</f>
        <v>20.25</v>
      </c>
      <c r="BP373" s="6"/>
      <c r="BQ373" s="6"/>
      <c r="BR373" s="6"/>
      <c r="BS373" s="7">
        <f>ROUND(16,2)</f>
        <v>16</v>
      </c>
      <c r="BT373" s="7">
        <f>ROUND(2.67999999999999,2)</f>
        <v>2.68</v>
      </c>
      <c r="BU373" s="7">
        <f>ROUND(88,2)</f>
        <v>88</v>
      </c>
      <c r="BV373" s="6"/>
      <c r="BW373" s="6"/>
      <c r="BX373" s="6"/>
      <c r="BY373" s="7">
        <f>ROUND(10,2)</f>
        <v>10</v>
      </c>
      <c r="BZ373" s="6"/>
      <c r="CA373" s="7">
        <f>ROUND(8,2)</f>
        <v>8</v>
      </c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7">
        <f>ROUND(2205.45,2)</f>
        <v>2205.4499999999998</v>
      </c>
      <c r="CR373" s="6"/>
      <c r="CS373" s="6"/>
      <c r="CT373" s="6"/>
      <c r="CU373" s="6"/>
      <c r="CV373" s="7">
        <f>ROUND(25972.3,2)</f>
        <v>25972.3</v>
      </c>
      <c r="CW373" s="6"/>
      <c r="CX373" s="6"/>
      <c r="CY373" s="7">
        <f>ROUND(4479.84,2)</f>
        <v>4479.84</v>
      </c>
      <c r="CZ373" s="6"/>
      <c r="DA373" s="6"/>
      <c r="DB373" s="6"/>
      <c r="DC373" s="6"/>
      <c r="DD373" s="7">
        <f>ROUND(879.14,2)</f>
        <v>879.14</v>
      </c>
      <c r="DE373" s="7">
        <f>ROUND(100.94,2)</f>
        <v>100.94</v>
      </c>
      <c r="DF373" s="7">
        <f>ROUND(35.56,2)</f>
        <v>35.56</v>
      </c>
      <c r="DG373" s="6"/>
      <c r="DH373" s="6"/>
      <c r="DI373" s="6"/>
      <c r="DJ373" s="6"/>
      <c r="DK373" s="6"/>
      <c r="DL373" s="6"/>
      <c r="DM373" s="6"/>
      <c r="DN373" s="7">
        <f>ROUND(7001.62,2)</f>
        <v>7001.62</v>
      </c>
      <c r="DO373" s="6"/>
      <c r="DP373" s="7">
        <f>ROUND(1216.66999999999,2)</f>
        <v>1216.67</v>
      </c>
      <c r="DQ373" s="6"/>
      <c r="DR373" s="6"/>
      <c r="DS373" s="6"/>
      <c r="DT373" s="6"/>
      <c r="DU373" s="6"/>
      <c r="DV373" s="6"/>
      <c r="DW373" s="6"/>
      <c r="DX373" s="6"/>
      <c r="DY373" s="7">
        <f>ROUND(15369.2499999999,2)</f>
        <v>15369.25</v>
      </c>
      <c r="DZ373" s="6"/>
      <c r="EA373" s="7">
        <f>ROUND(2939.89,2)</f>
        <v>2939.89</v>
      </c>
      <c r="EB373" s="6"/>
      <c r="EC373" s="6"/>
      <c r="ED373" s="7">
        <f>ROUND(1929.34,2)</f>
        <v>1929.34</v>
      </c>
      <c r="EE373" s="6"/>
      <c r="EF373" s="7">
        <f>ROUND(986.8,2)</f>
        <v>986.8</v>
      </c>
      <c r="EG373" s="6"/>
      <c r="EH373" s="7">
        <f>ROUND(900.08,2)</f>
        <v>900.08</v>
      </c>
      <c r="EI373" s="7">
        <f>ROUND(715.68,2)</f>
        <v>715.68</v>
      </c>
      <c r="EJ373" s="6"/>
      <c r="EK373" s="6"/>
      <c r="EL373" s="6"/>
      <c r="EM373" s="6"/>
      <c r="EN373" s="7">
        <f>ROUND(231.04,2)</f>
        <v>231.04</v>
      </c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7">
        <f>ROUND(117.75,2)</f>
        <v>117.75</v>
      </c>
      <c r="FA373" s="6"/>
      <c r="FB373" s="7">
        <f>ROUND(607.89,2)</f>
        <v>607.89</v>
      </c>
      <c r="FC373" s="6"/>
      <c r="FD373" s="6"/>
      <c r="FE373" s="6"/>
      <c r="FF373" s="6"/>
      <c r="FG373" s="6"/>
      <c r="FH373" s="6"/>
      <c r="FI373" s="6"/>
      <c r="FJ373" s="7">
        <f>ROUND(1150,2)</f>
        <v>1150</v>
      </c>
      <c r="FK373" s="6"/>
      <c r="FL373" s="6"/>
      <c r="FM373" s="6"/>
      <c r="FN373" s="6"/>
      <c r="FO373" s="6"/>
      <c r="FP373" s="6"/>
      <c r="FQ373" s="6"/>
      <c r="FR373" s="6"/>
      <c r="FS373" s="6"/>
      <c r="FT373" s="7">
        <f>ROUND(3000,2)</f>
        <v>3000</v>
      </c>
      <c r="FU373" s="6"/>
      <c r="FV373" s="6"/>
      <c r="FW373" s="6"/>
      <c r="FX373" s="6"/>
      <c r="FY373" s="7">
        <f>ROUND(67633.7899999999,2)</f>
        <v>67633.789999999994</v>
      </c>
    </row>
    <row r="374" spans="1:181" x14ac:dyDescent="0.3">
      <c r="A374" s="4" t="s">
        <v>954</v>
      </c>
      <c r="B374" s="5" t="s">
        <v>1029</v>
      </c>
      <c r="C374" s="5" t="s">
        <v>181</v>
      </c>
      <c r="D374" s="5" t="s">
        <v>955</v>
      </c>
      <c r="E374" s="5" t="s">
        <v>0</v>
      </c>
      <c r="F374" s="5" t="s">
        <v>0</v>
      </c>
      <c r="G374" s="5" t="s">
        <v>183</v>
      </c>
      <c r="H374" s="8">
        <v>33.880000000000003</v>
      </c>
      <c r="I374" s="7">
        <f>ROUND(83947.74,2)</f>
        <v>83947.74</v>
      </c>
      <c r="J374" s="7">
        <f>ROUND(40,2)</f>
        <v>40</v>
      </c>
      <c r="K374" s="7">
        <f>ROUND(2.75,2)</f>
        <v>2.75</v>
      </c>
      <c r="L374" s="6"/>
      <c r="M374" s="6"/>
      <c r="N374" s="7">
        <f>ROUND(1808.98,2)</f>
        <v>1808.98</v>
      </c>
      <c r="O374" s="6"/>
      <c r="P374" s="6"/>
      <c r="Q374" s="7">
        <f>ROUND(190.85,2)</f>
        <v>190.85</v>
      </c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7">
        <f>ROUND(63.87,2)</f>
        <v>63.87</v>
      </c>
      <c r="AV374" s="7">
        <f>ROUND(4.13,2)</f>
        <v>4.13</v>
      </c>
      <c r="AW374" s="7">
        <f>ROUND(24,2)</f>
        <v>24</v>
      </c>
      <c r="AX374" s="6"/>
      <c r="AY374" s="7">
        <f>ROUND(147.35,2)</f>
        <v>147.35</v>
      </c>
      <c r="AZ374" s="7">
        <f>ROUND(4.65,2)</f>
        <v>4.6500000000000004</v>
      </c>
      <c r="BA374" s="6"/>
      <c r="BB374" s="7">
        <f>ROUND(40,2)</f>
        <v>40</v>
      </c>
      <c r="BC374" s="6"/>
      <c r="BD374" s="7">
        <f>ROUND(5,2)</f>
        <v>5</v>
      </c>
      <c r="BE374" s="7">
        <f>ROUND(1.13,2)</f>
        <v>1.1299999999999999</v>
      </c>
      <c r="BF374" s="7">
        <f>ROUND(3,2)</f>
        <v>3</v>
      </c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7">
        <f>ROUND(8.83,2)</f>
        <v>8.83</v>
      </c>
      <c r="BU374" s="7">
        <f>ROUND(8.12,2)</f>
        <v>8.1199999999999992</v>
      </c>
      <c r="BV374" s="7">
        <f>ROUND(0.67,2)</f>
        <v>0.67</v>
      </c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7">
        <f>ROUND(2353.33,2)</f>
        <v>2353.33</v>
      </c>
      <c r="CR374" s="7">
        <f>ROUND(1283.6,2)</f>
        <v>1283.5999999999999</v>
      </c>
      <c r="CS374" s="7">
        <f>ROUND(132.37,2)</f>
        <v>132.37</v>
      </c>
      <c r="CT374" s="6"/>
      <c r="CU374" s="6"/>
      <c r="CV374" s="7">
        <f>ROUND(58968.4899999999,2)</f>
        <v>58968.49</v>
      </c>
      <c r="CW374" s="6"/>
      <c r="CX374" s="6"/>
      <c r="CY374" s="7">
        <f>ROUND(9404.2,2)</f>
        <v>9404.2000000000007</v>
      </c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7">
        <f>ROUND(2082.98,2)</f>
        <v>2082.98</v>
      </c>
      <c r="EE374" s="7">
        <f>ROUND(204.77,2)</f>
        <v>204.77</v>
      </c>
      <c r="EF374" s="7">
        <f>ROUND(777.84,2)</f>
        <v>777.84</v>
      </c>
      <c r="EG374" s="6"/>
      <c r="EH374" s="7">
        <f>ROUND(4833.68,2)</f>
        <v>4833.68</v>
      </c>
      <c r="EI374" s="7">
        <f>ROUND(227.28,2)</f>
        <v>227.28</v>
      </c>
      <c r="EJ374" s="6"/>
      <c r="EK374" s="7">
        <f>ROUND(1283.6,2)</f>
        <v>1283.5999999999999</v>
      </c>
      <c r="EL374" s="6"/>
      <c r="EM374" s="6"/>
      <c r="EN374" s="7">
        <f>ROUND(160.45,2)</f>
        <v>160.44999999999999</v>
      </c>
      <c r="EO374" s="7">
        <f>ROUND(37.35,2)</f>
        <v>37.35</v>
      </c>
      <c r="EP374" s="7">
        <f>ROUND(144.41,2)</f>
        <v>144.41</v>
      </c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7">
        <f>ROUND(256.72,2)</f>
        <v>256.72000000000003</v>
      </c>
      <c r="FG374" s="6"/>
      <c r="FH374" s="6"/>
      <c r="FI374" s="6"/>
      <c r="FJ374" s="7">
        <f>ROUND(1150,2)</f>
        <v>1150</v>
      </c>
      <c r="FK374" s="6"/>
      <c r="FL374" s="6"/>
      <c r="FM374" s="6"/>
      <c r="FN374" s="6"/>
      <c r="FO374" s="6"/>
      <c r="FP374" s="6"/>
      <c r="FQ374" s="6"/>
      <c r="FR374" s="6"/>
      <c r="FS374" s="6"/>
      <c r="FT374" s="7">
        <f>ROUND(3000,2)</f>
        <v>3000</v>
      </c>
      <c r="FU374" s="6"/>
      <c r="FV374" s="6"/>
      <c r="FW374" s="6"/>
      <c r="FX374" s="6"/>
      <c r="FY374" s="7">
        <f>ROUND(83947.74,2)</f>
        <v>83947.74</v>
      </c>
    </row>
    <row r="375" spans="1:181" x14ac:dyDescent="0.3">
      <c r="A375" s="4" t="s">
        <v>958</v>
      </c>
      <c r="B375" s="5" t="s">
        <v>1029</v>
      </c>
      <c r="C375" s="5" t="s">
        <v>181</v>
      </c>
      <c r="D375" s="5" t="s">
        <v>471</v>
      </c>
      <c r="E375" s="5" t="s">
        <v>959</v>
      </c>
      <c r="F375" s="5" t="s">
        <v>0</v>
      </c>
      <c r="G375" s="5" t="s">
        <v>183</v>
      </c>
      <c r="H375" s="9">
        <v>17.5</v>
      </c>
      <c r="I375" s="7">
        <f>ROUND(420,2)</f>
        <v>420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7">
        <f>ROUND(24,2)</f>
        <v>24</v>
      </c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7">
        <f>ROUND(5,2)</f>
        <v>5</v>
      </c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7">
        <f>ROUND(29,2)</f>
        <v>29</v>
      </c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7">
        <f>ROUND(420,2)</f>
        <v>420</v>
      </c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7">
        <f>ROUND(420,2)</f>
        <v>420</v>
      </c>
    </row>
    <row r="376" spans="1:181" x14ac:dyDescent="0.3">
      <c r="A376" s="4" t="s">
        <v>960</v>
      </c>
      <c r="B376" s="5" t="s">
        <v>1029</v>
      </c>
      <c r="C376" s="5" t="s">
        <v>181</v>
      </c>
      <c r="D376" s="5" t="s">
        <v>289</v>
      </c>
      <c r="E376" s="5" t="s">
        <v>0</v>
      </c>
      <c r="F376" s="5" t="s">
        <v>0</v>
      </c>
      <c r="G376" s="5" t="s">
        <v>183</v>
      </c>
      <c r="H376" s="8">
        <v>33.380000000000003</v>
      </c>
      <c r="I376" s="7">
        <f>ROUND(87191.21,2)</f>
        <v>87191.21</v>
      </c>
      <c r="J376" s="6"/>
      <c r="K376" s="6"/>
      <c r="L376" s="6"/>
      <c r="M376" s="6"/>
      <c r="N376" s="7">
        <f>ROUND(1777.02,2)</f>
        <v>1777.02</v>
      </c>
      <c r="O376" s="6"/>
      <c r="P376" s="6"/>
      <c r="Q376" s="7">
        <f>ROUND(242.26,2)</f>
        <v>242.26</v>
      </c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7">
        <f>ROUND(11.5,2)</f>
        <v>11.5</v>
      </c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7">
        <f>ROUND(123.05,2)</f>
        <v>123.05</v>
      </c>
      <c r="AQ376" s="6"/>
      <c r="AR376" s="7">
        <f>ROUND(18.43,2)</f>
        <v>18.43</v>
      </c>
      <c r="AS376" s="6"/>
      <c r="AT376" s="6"/>
      <c r="AU376" s="7">
        <f>ROUND(74,2)</f>
        <v>74</v>
      </c>
      <c r="AV376" s="6"/>
      <c r="AW376" s="7">
        <f>ROUND(24.53,2)</f>
        <v>24.53</v>
      </c>
      <c r="AX376" s="7">
        <f>ROUND(7.47,2)</f>
        <v>7.47</v>
      </c>
      <c r="AY376" s="7">
        <f>ROUND(24,2)</f>
        <v>24</v>
      </c>
      <c r="AZ376" s="6"/>
      <c r="BA376" s="6"/>
      <c r="BB376" s="7">
        <f>ROUND(40,2)</f>
        <v>40</v>
      </c>
      <c r="BC376" s="6"/>
      <c r="BD376" s="7">
        <f>ROUND(8,2)</f>
        <v>8</v>
      </c>
      <c r="BE376" s="6"/>
      <c r="BF376" s="6"/>
      <c r="BG376" s="7">
        <f>ROUND(42.47,2)</f>
        <v>42.47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7">
        <f>ROUND(8,2)</f>
        <v>8</v>
      </c>
      <c r="BT376" s="7">
        <f>ROUND(6.67,2)</f>
        <v>6.67</v>
      </c>
      <c r="BU376" s="7">
        <f>ROUND(29.92,2)</f>
        <v>29.92</v>
      </c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7">
        <f>ROUND(16,2)</f>
        <v>16</v>
      </c>
      <c r="CQ376" s="7">
        <f>ROUND(2453.32,2)</f>
        <v>2453.3200000000002</v>
      </c>
      <c r="CR376" s="6"/>
      <c r="CS376" s="6"/>
      <c r="CT376" s="6"/>
      <c r="CU376" s="6"/>
      <c r="CV376" s="7">
        <f>ROUND(58182.95,2)</f>
        <v>58182.95</v>
      </c>
      <c r="CW376" s="6"/>
      <c r="CX376" s="6"/>
      <c r="CY376" s="7">
        <f>ROUND(11918.1899999999,2)</f>
        <v>11918.19</v>
      </c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7">
        <f>ROUND(370.969999999999,2)</f>
        <v>370.97</v>
      </c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7">
        <f>ROUND(3999.24,2)</f>
        <v>3999.24</v>
      </c>
      <c r="DZ376" s="6"/>
      <c r="EA376" s="7">
        <f>ROUND(889.829999999999,2)</f>
        <v>889.83</v>
      </c>
      <c r="EB376" s="6"/>
      <c r="EC376" s="6"/>
      <c r="ED376" s="7">
        <f>ROUND(2410.6,2)</f>
        <v>2410.6</v>
      </c>
      <c r="EE376" s="6"/>
      <c r="EF376" s="7">
        <f>ROUND(810.719999999999,2)</f>
        <v>810.72</v>
      </c>
      <c r="EG376" s="7">
        <f>ROUND(370.33,2)</f>
        <v>370.33</v>
      </c>
      <c r="EH376" s="7">
        <f>ROUND(801.12,2)</f>
        <v>801.12</v>
      </c>
      <c r="EI376" s="6"/>
      <c r="EJ376" s="6"/>
      <c r="EK376" s="7">
        <f>ROUND(1283.6,2)</f>
        <v>1283.5999999999999</v>
      </c>
      <c r="EL376" s="6"/>
      <c r="EM376" s="6"/>
      <c r="EN376" s="7">
        <f>ROUND(256.72,2)</f>
        <v>256.72000000000003</v>
      </c>
      <c r="EO376" s="6"/>
      <c r="EP376" s="6"/>
      <c r="EQ376" s="7">
        <f>ROUND(1362.86,2)</f>
        <v>1362.86</v>
      </c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7">
        <f>ROUND(1000,2)</f>
        <v>1000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7">
        <f>ROUND(3000,2)</f>
        <v>3000</v>
      </c>
      <c r="FU376" s="6"/>
      <c r="FV376" s="6"/>
      <c r="FW376" s="6"/>
      <c r="FX376" s="7">
        <f>ROUND(534.08,2)</f>
        <v>534.08000000000004</v>
      </c>
      <c r="FY376" s="7">
        <f>ROUND(87191.21,2)</f>
        <v>87191.21</v>
      </c>
    </row>
    <row r="377" spans="1:181" x14ac:dyDescent="0.3">
      <c r="A377" s="4" t="s">
        <v>961</v>
      </c>
      <c r="B377" s="5" t="s">
        <v>1029</v>
      </c>
      <c r="C377" s="5" t="s">
        <v>181</v>
      </c>
      <c r="D377" s="5" t="s">
        <v>950</v>
      </c>
      <c r="E377" s="5" t="s">
        <v>0</v>
      </c>
      <c r="F377" s="5" t="s">
        <v>0</v>
      </c>
      <c r="G377" s="5" t="s">
        <v>183</v>
      </c>
      <c r="H377" s="8">
        <v>33.380000000000003</v>
      </c>
      <c r="I377" s="7">
        <f>ROUND(49509.9899999999,2)</f>
        <v>49509.99</v>
      </c>
      <c r="J377" s="6"/>
      <c r="K377" s="6"/>
      <c r="L377" s="6"/>
      <c r="M377" s="6"/>
      <c r="N377" s="7">
        <f>ROUND(997.06,2)</f>
        <v>997.06</v>
      </c>
      <c r="O377" s="6"/>
      <c r="P377" s="6"/>
      <c r="Q377" s="7">
        <f>ROUND(91.73,2)</f>
        <v>91.73</v>
      </c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7">
        <f>ROUND(36,2)</f>
        <v>36</v>
      </c>
      <c r="AV377" s="6"/>
      <c r="AW377" s="7">
        <f>ROUND(24,2)</f>
        <v>24</v>
      </c>
      <c r="AX377" s="6"/>
      <c r="AY377" s="7">
        <f>ROUND(160,2)</f>
        <v>160</v>
      </c>
      <c r="AZ377" s="6"/>
      <c r="BA377" s="6"/>
      <c r="BB377" s="6"/>
      <c r="BC377" s="6"/>
      <c r="BD377" s="7">
        <f>ROUND(8,2)</f>
        <v>8</v>
      </c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7">
        <f>ROUND(156.579999999999,2)</f>
        <v>156.58000000000001</v>
      </c>
      <c r="BT377" s="7">
        <f>ROUND(13.95,2)</f>
        <v>13.95</v>
      </c>
      <c r="BU377" s="7">
        <f>ROUND(111.17,2)</f>
        <v>111.17</v>
      </c>
      <c r="BV377" s="7">
        <f>ROUND(4.58,2)</f>
        <v>4.58</v>
      </c>
      <c r="BW377" s="7">
        <f>ROUND(32,2)</f>
        <v>32</v>
      </c>
      <c r="BX377" s="6"/>
      <c r="BY377" s="7">
        <f>ROUND(40,2)</f>
        <v>40</v>
      </c>
      <c r="BZ377" s="6"/>
      <c r="CA377" s="7">
        <f>ROUND(16,2)</f>
        <v>16</v>
      </c>
      <c r="CB377" s="6"/>
      <c r="CC377" s="7">
        <f>ROUND(632,2)</f>
        <v>632</v>
      </c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7">
        <f>ROUND(2323.07,2)</f>
        <v>2323.0700000000002</v>
      </c>
      <c r="CR377" s="6"/>
      <c r="CS377" s="6"/>
      <c r="CT377" s="6"/>
      <c r="CU377" s="6"/>
      <c r="CV377" s="7">
        <f>ROUND(32431.92,2)</f>
        <v>32431.919999999998</v>
      </c>
      <c r="CW377" s="6"/>
      <c r="CX377" s="6"/>
      <c r="CY377" s="7">
        <f>ROUND(4483.46,2)</f>
        <v>4483.46</v>
      </c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7">
        <f>ROUND(1162.92,2)</f>
        <v>1162.92</v>
      </c>
      <c r="EE377" s="6"/>
      <c r="EF377" s="7">
        <f>ROUND(770.16,2)</f>
        <v>770.16</v>
      </c>
      <c r="EG377" s="6"/>
      <c r="EH377" s="7">
        <f>ROUND(5134.4,2)</f>
        <v>5134.3999999999996</v>
      </c>
      <c r="EI377" s="6"/>
      <c r="EJ377" s="6"/>
      <c r="EK377" s="6"/>
      <c r="EL377" s="6"/>
      <c r="EM377" s="6"/>
      <c r="EN377" s="7">
        <f>ROUND(256.72,2)</f>
        <v>256.72000000000003</v>
      </c>
      <c r="EO377" s="6"/>
      <c r="EP377" s="6"/>
      <c r="EQ377" s="6"/>
      <c r="ER377" s="6"/>
      <c r="ES377" s="6"/>
      <c r="ET377" s="6"/>
      <c r="EU377" s="6"/>
      <c r="EV377" s="7">
        <f>ROUND(500,2)</f>
        <v>500</v>
      </c>
      <c r="EW377" s="6"/>
      <c r="EX377" s="6"/>
      <c r="EY377" s="6"/>
      <c r="EZ377" s="6"/>
      <c r="FA377" s="6"/>
      <c r="FB377" s="6"/>
      <c r="FC377" s="6"/>
      <c r="FD377" s="6"/>
      <c r="FE377" s="6"/>
      <c r="FF377" s="7">
        <f>ROUND(1770.41,2)</f>
        <v>1770.41</v>
      </c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7">
        <f>ROUND(3000,2)</f>
        <v>3000</v>
      </c>
      <c r="FU377" s="6"/>
      <c r="FV377" s="6"/>
      <c r="FW377" s="6"/>
      <c r="FX377" s="6"/>
      <c r="FY377" s="7">
        <f>ROUND(49509.9899999999,2)</f>
        <v>49509.99</v>
      </c>
    </row>
    <row r="378" spans="1:181" x14ac:dyDescent="0.3">
      <c r="A378" s="4" t="s">
        <v>962</v>
      </c>
      <c r="B378" s="5" t="s">
        <v>1029</v>
      </c>
      <c r="C378" s="5" t="s">
        <v>181</v>
      </c>
      <c r="D378" s="5" t="s">
        <v>792</v>
      </c>
      <c r="E378" s="5" t="s">
        <v>0</v>
      </c>
      <c r="F378" s="5" t="s">
        <v>0</v>
      </c>
      <c r="G378" s="5" t="s">
        <v>183</v>
      </c>
      <c r="H378" s="8">
        <v>33.380000000000003</v>
      </c>
      <c r="I378" s="7">
        <f>ROUND(75952.95,2)</f>
        <v>75952.95</v>
      </c>
      <c r="J378" s="6"/>
      <c r="K378" s="6"/>
      <c r="L378" s="6"/>
      <c r="M378" s="6"/>
      <c r="N378" s="7">
        <f>ROUND(1809.8,2)</f>
        <v>1809.8</v>
      </c>
      <c r="O378" s="6"/>
      <c r="P378" s="6"/>
      <c r="Q378" s="7">
        <f>ROUND(76.77,2)</f>
        <v>76.77</v>
      </c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7">
        <f>ROUND(68,2)</f>
        <v>68</v>
      </c>
      <c r="AV378" s="6"/>
      <c r="AW378" s="7">
        <f>ROUND(30.66,2)</f>
        <v>30.66</v>
      </c>
      <c r="AX378" s="7">
        <f>ROUND(9.34,2)</f>
        <v>9.34</v>
      </c>
      <c r="AY378" s="7">
        <f>ROUND(102.75,2)</f>
        <v>102.75</v>
      </c>
      <c r="AZ378" s="7">
        <f>ROUND(1.25,2)</f>
        <v>1.25</v>
      </c>
      <c r="BA378" s="6"/>
      <c r="BB378" s="7">
        <f>ROUND(8,2)</f>
        <v>8</v>
      </c>
      <c r="BC378" s="6"/>
      <c r="BD378" s="7">
        <f>ROUND(8,2)</f>
        <v>8</v>
      </c>
      <c r="BE378" s="7">
        <f>ROUND(2.75,2)</f>
        <v>2.75</v>
      </c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7">
        <f>ROUND(6,2)</f>
        <v>6</v>
      </c>
      <c r="BU378" s="7">
        <f>ROUND(48,2)</f>
        <v>48</v>
      </c>
      <c r="BV378" s="6"/>
      <c r="BW378" s="6"/>
      <c r="BX378" s="6"/>
      <c r="BY378" s="7">
        <f>ROUND(32,2)</f>
        <v>32</v>
      </c>
      <c r="BZ378" s="6"/>
      <c r="CA378" s="7">
        <f>ROUND(24,2)</f>
        <v>24</v>
      </c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7">
        <f>ROUND(2227.32,2)</f>
        <v>2227.3200000000002</v>
      </c>
      <c r="CR378" s="6"/>
      <c r="CS378" s="6"/>
      <c r="CT378" s="6"/>
      <c r="CU378" s="6"/>
      <c r="CV378" s="7">
        <f>ROUND(58958.4499999999,2)</f>
        <v>58958.45</v>
      </c>
      <c r="CW378" s="6"/>
      <c r="CX378" s="6"/>
      <c r="CY378" s="7">
        <f>ROUND(3773.83,2)</f>
        <v>3773.83</v>
      </c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7">
        <f>ROUND(2215.48,2)</f>
        <v>2215.48</v>
      </c>
      <c r="EE378" s="6"/>
      <c r="EF378" s="7">
        <f>ROUND(1005.64,2)</f>
        <v>1005.64</v>
      </c>
      <c r="EG378" s="7">
        <f>ROUND(463.04,2)</f>
        <v>463.04</v>
      </c>
      <c r="EH378" s="7">
        <f>ROUND(3338.05,2)</f>
        <v>3338.05</v>
      </c>
      <c r="EI378" s="7">
        <f>ROUND(60.53,2)</f>
        <v>60.53</v>
      </c>
      <c r="EJ378" s="6"/>
      <c r="EK378" s="7">
        <f>ROUND(256.72,2)</f>
        <v>256.72000000000003</v>
      </c>
      <c r="EL378" s="6"/>
      <c r="EM378" s="6"/>
      <c r="EN378" s="7">
        <f>ROUND(256.72,2)</f>
        <v>256.72000000000003</v>
      </c>
      <c r="EO378" s="7">
        <f>ROUND(90.89,2)</f>
        <v>90.89</v>
      </c>
      <c r="EP378" s="6"/>
      <c r="EQ378" s="6"/>
      <c r="ER378" s="6"/>
      <c r="ES378" s="6"/>
      <c r="ET378" s="6"/>
      <c r="EU378" s="6"/>
      <c r="EV378" s="7">
        <f>ROUND(500,2)</f>
        <v>500</v>
      </c>
      <c r="EW378" s="6"/>
      <c r="EX378" s="6"/>
      <c r="EY378" s="6"/>
      <c r="EZ378" s="6"/>
      <c r="FA378" s="6"/>
      <c r="FB378" s="6"/>
      <c r="FC378" s="6"/>
      <c r="FD378" s="6"/>
      <c r="FE378" s="6"/>
      <c r="FF378" s="7">
        <f>ROUND(1283.6,2)</f>
        <v>1283.5999999999999</v>
      </c>
      <c r="FG378" s="6"/>
      <c r="FH378" s="6"/>
      <c r="FI378" s="6"/>
      <c r="FJ378" s="7">
        <f>ROUND(750,2)</f>
        <v>750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7">
        <f>ROUND(3000,2)</f>
        <v>3000</v>
      </c>
      <c r="FU378" s="6"/>
      <c r="FV378" s="6"/>
      <c r="FW378" s="6"/>
      <c r="FX378" s="6"/>
      <c r="FY378" s="7">
        <f>ROUND(75952.95,2)</f>
        <v>75952.95</v>
      </c>
    </row>
    <row r="379" spans="1:181" x14ac:dyDescent="0.3">
      <c r="A379" s="4" t="s">
        <v>963</v>
      </c>
      <c r="B379" s="5" t="s">
        <v>1029</v>
      </c>
      <c r="C379" s="5" t="s">
        <v>181</v>
      </c>
      <c r="D379" s="5" t="s">
        <v>268</v>
      </c>
      <c r="E379" s="5" t="s">
        <v>0</v>
      </c>
      <c r="F379" s="5" t="s">
        <v>0</v>
      </c>
      <c r="G379" s="5" t="s">
        <v>183</v>
      </c>
      <c r="H379" s="9">
        <v>28.37</v>
      </c>
      <c r="I379" s="7">
        <f>ROUND(24401.09,2)</f>
        <v>24401.09</v>
      </c>
      <c r="J379" s="6"/>
      <c r="K379" s="6"/>
      <c r="L379" s="6"/>
      <c r="M379" s="6"/>
      <c r="N379" s="7">
        <f>ROUND(505.209999999999,2)</f>
        <v>505.21</v>
      </c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7">
        <f>ROUND(20,2)</f>
        <v>20</v>
      </c>
      <c r="AV379" s="6"/>
      <c r="AW379" s="6"/>
      <c r="AX379" s="6"/>
      <c r="AY379" s="6"/>
      <c r="AZ379" s="6"/>
      <c r="BA379" s="6"/>
      <c r="BB379" s="6"/>
      <c r="BC379" s="6"/>
      <c r="BD379" s="7">
        <f>ROUND(363.73,2)</f>
        <v>363.73</v>
      </c>
      <c r="BE379" s="7">
        <f>ROUND(0.92,2)</f>
        <v>0.92</v>
      </c>
      <c r="BF379" s="7">
        <f>ROUND(28.49,2)</f>
        <v>28.49</v>
      </c>
      <c r="BG379" s="6"/>
      <c r="BH379" s="6"/>
      <c r="BI379" s="7">
        <f>ROUND(51.75,2)</f>
        <v>51.75</v>
      </c>
      <c r="BJ379" s="7">
        <f>ROUND(10.75,2)</f>
        <v>10.75</v>
      </c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7">
        <f>ROUND(15,2)</f>
        <v>15</v>
      </c>
      <c r="CQ379" s="7">
        <f>ROUND(995.85,2)</f>
        <v>995.85</v>
      </c>
      <c r="CR379" s="6"/>
      <c r="CS379" s="6"/>
      <c r="CT379" s="6"/>
      <c r="CU379" s="6"/>
      <c r="CV379" s="7">
        <f>ROUND(13421.7299999999,2)</f>
        <v>13421.73</v>
      </c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7">
        <f>ROUND(501.999999999999,2)</f>
        <v>502</v>
      </c>
      <c r="EE379" s="6"/>
      <c r="EF379" s="6"/>
      <c r="EG379" s="6"/>
      <c r="EH379" s="6"/>
      <c r="EI379" s="6"/>
      <c r="EJ379" s="6"/>
      <c r="EK379" s="6"/>
      <c r="EL379" s="6"/>
      <c r="EM379" s="6"/>
      <c r="EN379" s="7">
        <f>ROUND(6365.28,2)</f>
        <v>6365.28</v>
      </c>
      <c r="EO379" s="7">
        <f>ROUND(25.84,2)</f>
        <v>25.84</v>
      </c>
      <c r="EP379" s="7">
        <f>ROUND(747.87,2)</f>
        <v>747.87</v>
      </c>
      <c r="EQ379" s="6"/>
      <c r="ER379" s="6"/>
      <c r="ES379" s="6"/>
      <c r="ET379" s="7">
        <f>ROUND(905.63,2)</f>
        <v>905.63</v>
      </c>
      <c r="EU379" s="7">
        <f>ROUND(282.19,2)</f>
        <v>282.19</v>
      </c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7">
        <f>ROUND(225,2)</f>
        <v>225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7">
        <f>ROUND(1500,2)</f>
        <v>1500</v>
      </c>
      <c r="FU379" s="6"/>
      <c r="FV379" s="6"/>
      <c r="FW379" s="6"/>
      <c r="FX379" s="7">
        <f>ROUND(425.55,2)</f>
        <v>425.55</v>
      </c>
      <c r="FY379" s="7">
        <f>ROUND(24401.09,2)</f>
        <v>24401.09</v>
      </c>
    </row>
    <row r="380" spans="1:181" x14ac:dyDescent="0.3">
      <c r="A380" s="4" t="s">
        <v>964</v>
      </c>
      <c r="B380" s="5" t="s">
        <v>1029</v>
      </c>
      <c r="C380" s="5" t="s">
        <v>181</v>
      </c>
      <c r="D380" s="5" t="s">
        <v>194</v>
      </c>
      <c r="E380" s="5" t="s">
        <v>0</v>
      </c>
      <c r="F380" s="5" t="s">
        <v>0</v>
      </c>
      <c r="G380" s="5" t="s">
        <v>183</v>
      </c>
      <c r="H380" s="8">
        <v>33.380000000000003</v>
      </c>
      <c r="I380" s="7">
        <f>ROUND(88228.48,2)</f>
        <v>88228.479999999996</v>
      </c>
      <c r="J380" s="6"/>
      <c r="K380" s="6"/>
      <c r="L380" s="6"/>
      <c r="M380" s="6"/>
      <c r="N380" s="7">
        <f>ROUND(1964.67,2)</f>
        <v>1964.67</v>
      </c>
      <c r="O380" s="6"/>
      <c r="P380" s="6"/>
      <c r="Q380" s="7">
        <f>ROUND(270.77,2)</f>
        <v>270.77</v>
      </c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7">
        <f>ROUND(68,2)</f>
        <v>68</v>
      </c>
      <c r="AV380" s="6"/>
      <c r="AW380" s="7">
        <f>ROUND(29.75,2)</f>
        <v>29.75</v>
      </c>
      <c r="AX380" s="7">
        <f>ROUND(2.25,2)</f>
        <v>2.25</v>
      </c>
      <c r="AY380" s="7">
        <f>ROUND(61,2)</f>
        <v>61</v>
      </c>
      <c r="AZ380" s="7">
        <f>ROUND(3,2)</f>
        <v>3</v>
      </c>
      <c r="BA380" s="6"/>
      <c r="BB380" s="7">
        <f>ROUND(8,2)</f>
        <v>8</v>
      </c>
      <c r="BC380" s="6"/>
      <c r="BD380" s="7">
        <f>ROUND(8,2)</f>
        <v>8</v>
      </c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7">
        <f>ROUND(8,2)</f>
        <v>8</v>
      </c>
      <c r="CQ380" s="7">
        <f>ROUND(2423.44,2)</f>
        <v>2423.44</v>
      </c>
      <c r="CR380" s="6"/>
      <c r="CS380" s="6"/>
      <c r="CT380" s="6"/>
      <c r="CU380" s="6"/>
      <c r="CV380" s="7">
        <f>ROUND(64279.2499999999,2)</f>
        <v>64279.25</v>
      </c>
      <c r="CW380" s="6"/>
      <c r="CX380" s="6"/>
      <c r="CY380" s="7">
        <f>ROUND(13291.07,2)</f>
        <v>13291.07</v>
      </c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7">
        <f>ROUND(2215.48,2)</f>
        <v>2215.48</v>
      </c>
      <c r="EE380" s="6"/>
      <c r="EF380" s="7">
        <f>ROUND(983.24,2)</f>
        <v>983.24</v>
      </c>
      <c r="EG380" s="7">
        <f>ROUND(111.54,2)</f>
        <v>111.54</v>
      </c>
      <c r="EH380" s="7">
        <f>ROUND(2018.69,2)</f>
        <v>2018.69</v>
      </c>
      <c r="EI380" s="7">
        <f>ROUND(148.73,2)</f>
        <v>148.72999999999999</v>
      </c>
      <c r="EJ380" s="6"/>
      <c r="EK380" s="7">
        <f>ROUND(256.72,2)</f>
        <v>256.72000000000003</v>
      </c>
      <c r="EL380" s="6"/>
      <c r="EM380" s="6"/>
      <c r="EN380" s="7">
        <f>ROUND(256.72,2)</f>
        <v>256.72000000000003</v>
      </c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7">
        <f>ROUND(1400,2)</f>
        <v>1400</v>
      </c>
      <c r="FK380" s="6"/>
      <c r="FL380" s="6"/>
      <c r="FM380" s="6"/>
      <c r="FN380" s="6"/>
      <c r="FO380" s="6"/>
      <c r="FP380" s="6"/>
      <c r="FQ380" s="6"/>
      <c r="FR380" s="6"/>
      <c r="FS380" s="6"/>
      <c r="FT380" s="7">
        <f>ROUND(3000,2)</f>
        <v>3000</v>
      </c>
      <c r="FU380" s="6"/>
      <c r="FV380" s="6"/>
      <c r="FW380" s="6"/>
      <c r="FX380" s="7">
        <f>ROUND(267.04,2)</f>
        <v>267.04000000000002</v>
      </c>
      <c r="FY380" s="7">
        <f>ROUND(88228.48,2)</f>
        <v>88228.479999999996</v>
      </c>
    </row>
    <row r="381" spans="1:181" x14ac:dyDescent="0.3">
      <c r="A381" s="4" t="s">
        <v>965</v>
      </c>
      <c r="B381" s="5" t="s">
        <v>1029</v>
      </c>
      <c r="C381" s="5" t="s">
        <v>181</v>
      </c>
      <c r="D381" s="5" t="s">
        <v>725</v>
      </c>
      <c r="E381" s="5" t="s">
        <v>801</v>
      </c>
      <c r="F381" s="5" t="s">
        <v>0</v>
      </c>
      <c r="G381" s="5" t="s">
        <v>183</v>
      </c>
      <c r="H381" s="8">
        <v>33.049999999999997</v>
      </c>
      <c r="I381" s="7">
        <f>ROUND(33540.4799999999,2)</f>
        <v>33540.480000000003</v>
      </c>
      <c r="J381" s="6"/>
      <c r="K381" s="6"/>
      <c r="L381" s="6"/>
      <c r="M381" s="6"/>
      <c r="N381" s="7">
        <f>ROUND(907.629999999999,2)</f>
        <v>907.63</v>
      </c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7">
        <f>ROUND(30,2)</f>
        <v>30</v>
      </c>
      <c r="AV381" s="6"/>
      <c r="AW381" s="6"/>
      <c r="AX381" s="6"/>
      <c r="AY381" s="7">
        <f>ROUND(70,2)</f>
        <v>70</v>
      </c>
      <c r="AZ381" s="6"/>
      <c r="BA381" s="6"/>
      <c r="BB381" s="6"/>
      <c r="BC381" s="6"/>
      <c r="BD381" s="7">
        <f>ROUND(8,2)</f>
        <v>8</v>
      </c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7">
        <f>ROUND(20,2)</f>
        <v>20</v>
      </c>
      <c r="BZ381" s="6"/>
      <c r="CA381" s="7">
        <f>ROUND(5,2)</f>
        <v>5</v>
      </c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7">
        <f>ROUND(5,2)</f>
        <v>5</v>
      </c>
      <c r="CQ381" s="7">
        <f>ROUND(1045.63,2)</f>
        <v>1045.6300000000001</v>
      </c>
      <c r="CR381" s="6"/>
      <c r="CS381" s="6"/>
      <c r="CT381" s="6"/>
      <c r="CU381" s="6"/>
      <c r="CV381" s="7">
        <f>ROUND(29307.71,2)</f>
        <v>29307.71</v>
      </c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7">
        <f>ROUND(972.3,2)</f>
        <v>972.3</v>
      </c>
      <c r="EE381" s="6"/>
      <c r="EF381" s="6"/>
      <c r="EG381" s="6"/>
      <c r="EH381" s="7">
        <f>ROUND(2313.5,2)</f>
        <v>2313.5</v>
      </c>
      <c r="EI381" s="6"/>
      <c r="EJ381" s="6"/>
      <c r="EK381" s="6"/>
      <c r="EL381" s="6"/>
      <c r="EM381" s="6"/>
      <c r="EN381" s="7">
        <f>ROUND(256.72,2)</f>
        <v>256.72000000000003</v>
      </c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7">
        <f>ROUND(525,2)</f>
        <v>525</v>
      </c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7">
        <f>ROUND(165.25,2)</f>
        <v>165.25</v>
      </c>
      <c r="FY381" s="7">
        <f>ROUND(33540.4799999999,2)</f>
        <v>33540.480000000003</v>
      </c>
    </row>
    <row r="382" spans="1:181" x14ac:dyDescent="0.3">
      <c r="A382" s="4" t="s">
        <v>969</v>
      </c>
      <c r="B382" s="5" t="s">
        <v>1029</v>
      </c>
      <c r="C382" s="5" t="s">
        <v>181</v>
      </c>
      <c r="D382" s="5" t="s">
        <v>196</v>
      </c>
      <c r="E382" s="5" t="s">
        <v>0</v>
      </c>
      <c r="F382" s="5" t="s">
        <v>0</v>
      </c>
      <c r="G382" s="5" t="s">
        <v>183</v>
      </c>
      <c r="H382" s="8">
        <v>33.380000000000003</v>
      </c>
      <c r="I382" s="7">
        <f>ROUND(88541.5699999999,2)</f>
        <v>88541.57</v>
      </c>
      <c r="J382" s="6"/>
      <c r="K382" s="6"/>
      <c r="L382" s="6"/>
      <c r="M382" s="6"/>
      <c r="N382" s="7">
        <f>ROUND(2020.98,2)</f>
        <v>2020.98</v>
      </c>
      <c r="O382" s="6"/>
      <c r="P382" s="6"/>
      <c r="Q382" s="7">
        <f>ROUND(218.92,2)</f>
        <v>218.92</v>
      </c>
      <c r="R382" s="6"/>
      <c r="S382" s="6"/>
      <c r="T382" s="6"/>
      <c r="U382" s="6"/>
      <c r="V382" s="6"/>
      <c r="W382" s="6"/>
      <c r="X382" s="6"/>
      <c r="Y382" s="6"/>
      <c r="Z382" s="7">
        <f>ROUND(0.27,2)</f>
        <v>0.27</v>
      </c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7">
        <f>ROUND(68,2)</f>
        <v>68</v>
      </c>
      <c r="AV382" s="6"/>
      <c r="AW382" s="7">
        <f>ROUND(11.5499999999999,2)</f>
        <v>11.55</v>
      </c>
      <c r="AX382" s="7">
        <f>ROUND(12.45,2)</f>
        <v>12.45</v>
      </c>
      <c r="AY382" s="7">
        <f>ROUND(12.44,2)</f>
        <v>12.44</v>
      </c>
      <c r="AZ382" s="7">
        <f>ROUND(19.56,2)</f>
        <v>19.559999999999999</v>
      </c>
      <c r="BA382" s="6"/>
      <c r="BB382" s="6"/>
      <c r="BC382" s="6"/>
      <c r="BD382" s="7">
        <f>ROUND(8,2)</f>
        <v>8</v>
      </c>
      <c r="BE382" s="6"/>
      <c r="BF382" s="6"/>
      <c r="BG382" s="6"/>
      <c r="BH382" s="7">
        <f>ROUND(8,2)</f>
        <v>8</v>
      </c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7">
        <f>ROUND(48,2)</f>
        <v>48</v>
      </c>
      <c r="CQ382" s="7">
        <f>ROUND(2428.17,2)</f>
        <v>2428.17</v>
      </c>
      <c r="CR382" s="6"/>
      <c r="CS382" s="6"/>
      <c r="CT382" s="6"/>
      <c r="CU382" s="6"/>
      <c r="CV382" s="7">
        <f>ROUND(66098.4399999999,2)</f>
        <v>66098.44</v>
      </c>
      <c r="CW382" s="6"/>
      <c r="CX382" s="6"/>
      <c r="CY382" s="7">
        <f>ROUND(10714.36,2)</f>
        <v>10714.36</v>
      </c>
      <c r="CZ382" s="6"/>
      <c r="DA382" s="6"/>
      <c r="DB382" s="6"/>
      <c r="DC382" s="6"/>
      <c r="DD382" s="6"/>
      <c r="DE382" s="6"/>
      <c r="DF382" s="6"/>
      <c r="DG382" s="6"/>
      <c r="DH382" s="7">
        <f>ROUND(17.85,2)</f>
        <v>17.850000000000001</v>
      </c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7">
        <f>ROUND(2215.48,2)</f>
        <v>2215.48</v>
      </c>
      <c r="EE382" s="6"/>
      <c r="EF382" s="7">
        <f>ROUND(381.729999999999,2)</f>
        <v>381.73</v>
      </c>
      <c r="EG382" s="7">
        <f>ROUND(617.21,2)</f>
        <v>617.21</v>
      </c>
      <c r="EH382" s="7">
        <f>ROUND(411.14,2)</f>
        <v>411.14</v>
      </c>
      <c r="EI382" s="7">
        <f>ROUND(969.68,2)</f>
        <v>969.68</v>
      </c>
      <c r="EJ382" s="6"/>
      <c r="EK382" s="6"/>
      <c r="EL382" s="6"/>
      <c r="EM382" s="6"/>
      <c r="EN382" s="7">
        <f>ROUND(256.72,2)</f>
        <v>256.72000000000003</v>
      </c>
      <c r="EO382" s="6"/>
      <c r="EP382" s="6"/>
      <c r="EQ382" s="6"/>
      <c r="ER382" s="6"/>
      <c r="ES382" s="7">
        <f>ROUND(256.72,2)</f>
        <v>256.72000000000003</v>
      </c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7">
        <f>ROUND(2000,2)</f>
        <v>2000</v>
      </c>
      <c r="FK382" s="6"/>
      <c r="FL382" s="6"/>
      <c r="FM382" s="6"/>
      <c r="FN382" s="6"/>
      <c r="FO382" s="6"/>
      <c r="FP382" s="6"/>
      <c r="FQ382" s="6"/>
      <c r="FR382" s="6"/>
      <c r="FS382" s="6"/>
      <c r="FT382" s="7">
        <f>ROUND(3000,2)</f>
        <v>3000</v>
      </c>
      <c r="FU382" s="6"/>
      <c r="FV382" s="6"/>
      <c r="FW382" s="6"/>
      <c r="FX382" s="7">
        <f>ROUND(1602.24,2)</f>
        <v>1602.24</v>
      </c>
      <c r="FY382" s="7">
        <f>ROUND(88541.5699999999,2)</f>
        <v>88541.57</v>
      </c>
    </row>
    <row r="383" spans="1:181" x14ac:dyDescent="0.3">
      <c r="A383" s="4" t="s">
        <v>973</v>
      </c>
      <c r="B383" s="5" t="s">
        <v>1029</v>
      </c>
      <c r="C383" s="5" t="s">
        <v>181</v>
      </c>
      <c r="D383" s="5" t="s">
        <v>249</v>
      </c>
      <c r="E383" s="5" t="s">
        <v>974</v>
      </c>
      <c r="F383" s="5" t="s">
        <v>0</v>
      </c>
      <c r="G383" s="5" t="s">
        <v>183</v>
      </c>
      <c r="H383" s="8">
        <v>33.380000000000003</v>
      </c>
      <c r="I383" s="7">
        <f>ROUND(5817.31,2)</f>
        <v>5817.31</v>
      </c>
      <c r="J383" s="6"/>
      <c r="K383" s="6"/>
      <c r="L383" s="6"/>
      <c r="M383" s="6"/>
      <c r="N383" s="7">
        <f>ROUND(21.7,2)</f>
        <v>21.7</v>
      </c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7">
        <f>ROUND(18,2)</f>
        <v>18</v>
      </c>
      <c r="AQ383" s="6"/>
      <c r="AR383" s="6"/>
      <c r="AS383" s="6"/>
      <c r="AT383" s="6"/>
      <c r="AU383" s="6"/>
      <c r="AV383" s="6"/>
      <c r="AW383" s="6"/>
      <c r="AX383" s="6"/>
      <c r="AY383" s="7">
        <f>ROUND(18,2)</f>
        <v>18</v>
      </c>
      <c r="AZ383" s="6"/>
      <c r="BA383" s="6"/>
      <c r="BB383" s="7">
        <f>ROUND(26,2)</f>
        <v>26</v>
      </c>
      <c r="BC383" s="6"/>
      <c r="BD383" s="7">
        <f>ROUND(8,2)</f>
        <v>8</v>
      </c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7">
        <f>ROUND(360,2)</f>
        <v>360</v>
      </c>
      <c r="BT383" s="6"/>
      <c r="BU383" s="7">
        <f>ROUND(196,2)</f>
        <v>196</v>
      </c>
      <c r="BV383" s="6"/>
      <c r="BW383" s="7">
        <f>ROUND(26,2)</f>
        <v>26</v>
      </c>
      <c r="BX383" s="7">
        <f>ROUND(24,2)</f>
        <v>24</v>
      </c>
      <c r="BY383" s="7">
        <f>ROUND(10,2)</f>
        <v>10</v>
      </c>
      <c r="BZ383" s="6"/>
      <c r="CA383" s="7">
        <f>ROUND(116,2)</f>
        <v>116</v>
      </c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7">
        <f>ROUND(64,2)</f>
        <v>64</v>
      </c>
      <c r="CQ383" s="7">
        <f>ROUND(887.7,2)</f>
        <v>887.7</v>
      </c>
      <c r="CR383" s="6"/>
      <c r="CS383" s="6"/>
      <c r="CT383" s="6"/>
      <c r="CU383" s="6"/>
      <c r="CV383" s="7">
        <f>ROUND(696.349999999999,2)</f>
        <v>696.35</v>
      </c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7">
        <f>ROUND(577.62,2)</f>
        <v>577.62</v>
      </c>
      <c r="DZ383" s="6"/>
      <c r="EA383" s="6"/>
      <c r="EB383" s="6"/>
      <c r="EC383" s="6"/>
      <c r="ED383" s="6"/>
      <c r="EE383" s="6"/>
      <c r="EF383" s="6"/>
      <c r="EG383" s="6"/>
      <c r="EH383" s="7">
        <f>ROUND(577.62,2)</f>
        <v>577.62</v>
      </c>
      <c r="EI383" s="6"/>
      <c r="EJ383" s="6"/>
      <c r="EK383" s="7">
        <f>ROUND(834.34,2)</f>
        <v>834.34</v>
      </c>
      <c r="EL383" s="6"/>
      <c r="EM383" s="6"/>
      <c r="EN383" s="7">
        <f>ROUND(256.72,2)</f>
        <v>256.72000000000003</v>
      </c>
      <c r="EO383" s="6"/>
      <c r="EP383" s="6"/>
      <c r="EQ383" s="6"/>
      <c r="ER383" s="6"/>
      <c r="ES383" s="6"/>
      <c r="ET383" s="6"/>
      <c r="EU383" s="6"/>
      <c r="EV383" s="7">
        <f>ROUND(500,2)</f>
        <v>500</v>
      </c>
      <c r="EW383" s="6"/>
      <c r="EX383" s="6"/>
      <c r="EY383" s="6"/>
      <c r="EZ383" s="6"/>
      <c r="FA383" s="6"/>
      <c r="FB383" s="6"/>
      <c r="FC383" s="6"/>
      <c r="FD383" s="6"/>
      <c r="FE383" s="6"/>
      <c r="FF383" s="7">
        <f>ROUND(320.9,2)</f>
        <v>320.89999999999998</v>
      </c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7">
        <f>ROUND(2053.76,2)</f>
        <v>2053.7600000000002</v>
      </c>
      <c r="FY383" s="7">
        <f>ROUND(5817.31,2)</f>
        <v>5817.31</v>
      </c>
    </row>
    <row r="384" spans="1:181" x14ac:dyDescent="0.3">
      <c r="A384" s="4" t="s">
        <v>975</v>
      </c>
      <c r="B384" s="5" t="s">
        <v>1029</v>
      </c>
      <c r="C384" s="5" t="s">
        <v>181</v>
      </c>
      <c r="D384" s="5" t="s">
        <v>309</v>
      </c>
      <c r="E384" s="5" t="s">
        <v>0</v>
      </c>
      <c r="F384" s="5" t="s">
        <v>0</v>
      </c>
      <c r="G384" s="5" t="s">
        <v>183</v>
      </c>
      <c r="H384" s="8">
        <v>33.380000000000003</v>
      </c>
      <c r="I384" s="7">
        <f>ROUND(105360.85,2)</f>
        <v>105360.85</v>
      </c>
      <c r="J384" s="6"/>
      <c r="K384" s="6"/>
      <c r="L384" s="6"/>
      <c r="M384" s="6"/>
      <c r="N384" s="7">
        <f>ROUND(1172.44999999999,2)</f>
        <v>1172.45</v>
      </c>
      <c r="O384" s="6"/>
      <c r="P384" s="6"/>
      <c r="Q384" s="7">
        <f>ROUND(286.52,2)</f>
        <v>286.52</v>
      </c>
      <c r="R384" s="6"/>
      <c r="S384" s="6"/>
      <c r="T384" s="6"/>
      <c r="U384" s="6"/>
      <c r="V384" s="7">
        <f>ROUND(27.43,2)</f>
        <v>27.43</v>
      </c>
      <c r="W384" s="7">
        <f>ROUND(8.83,2)</f>
        <v>8.83</v>
      </c>
      <c r="X384" s="7">
        <f>ROUND(6.2,2)</f>
        <v>6.2</v>
      </c>
      <c r="Y384" s="7">
        <f>ROUND(1.98,2)</f>
        <v>1.98</v>
      </c>
      <c r="Z384" s="7">
        <f>ROUND(0.28,2)</f>
        <v>0.28000000000000003</v>
      </c>
      <c r="AA384" s="6"/>
      <c r="AB384" s="6"/>
      <c r="AC384" s="6"/>
      <c r="AD384" s="6"/>
      <c r="AE384" s="7">
        <f>ROUND(221.649999999999,2)</f>
        <v>221.65</v>
      </c>
      <c r="AF384" s="6"/>
      <c r="AG384" s="7">
        <f>ROUND(106.59,2)</f>
        <v>106.59</v>
      </c>
      <c r="AH384" s="6"/>
      <c r="AI384" s="6"/>
      <c r="AJ384" s="6"/>
      <c r="AK384" s="6"/>
      <c r="AL384" s="6"/>
      <c r="AM384" s="6"/>
      <c r="AN384" s="6"/>
      <c r="AO384" s="6"/>
      <c r="AP384" s="7">
        <f>ROUND(458.419999999999,2)</f>
        <v>458.42</v>
      </c>
      <c r="AQ384" s="6"/>
      <c r="AR384" s="7">
        <f>ROUND(197.2,2)</f>
        <v>197.2</v>
      </c>
      <c r="AS384" s="6"/>
      <c r="AT384" s="6"/>
      <c r="AU384" s="7">
        <f>ROUND(75.67,2)</f>
        <v>75.67</v>
      </c>
      <c r="AV384" s="7">
        <f>ROUND(0.33,2)</f>
        <v>0.33</v>
      </c>
      <c r="AW384" s="7">
        <f>ROUND(33,2)</f>
        <v>33</v>
      </c>
      <c r="AX384" s="7">
        <f>ROUND(3,2)</f>
        <v>3</v>
      </c>
      <c r="AY384" s="7">
        <f>ROUND(38,2)</f>
        <v>38</v>
      </c>
      <c r="AZ384" s="7">
        <f>ROUND(16,2)</f>
        <v>16</v>
      </c>
      <c r="BA384" s="6"/>
      <c r="BB384" s="7">
        <f>ROUND(28,2)</f>
        <v>28</v>
      </c>
      <c r="BC384" s="6"/>
      <c r="BD384" s="7">
        <f>ROUND(25,2)</f>
        <v>25</v>
      </c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7">
        <f>ROUND(39.83,2)</f>
        <v>39.83</v>
      </c>
      <c r="BP384" s="7">
        <f>ROUND(3.42,2)</f>
        <v>3.42</v>
      </c>
      <c r="BQ384" s="7">
        <f>ROUND(5.42,2)</f>
        <v>5.42</v>
      </c>
      <c r="BR384" s="6"/>
      <c r="BS384" s="6"/>
      <c r="BT384" s="7">
        <f>ROUND(0.42,2)</f>
        <v>0.42</v>
      </c>
      <c r="BU384" s="7">
        <f>ROUND(17.66,2)</f>
        <v>17.66</v>
      </c>
      <c r="BV384" s="6"/>
      <c r="BW384" s="6"/>
      <c r="BX384" s="6"/>
      <c r="BY384" s="7">
        <f>ROUND(18,2)</f>
        <v>18</v>
      </c>
      <c r="BZ384" s="6"/>
      <c r="CA384" s="7">
        <f>ROUND(24,2)</f>
        <v>24</v>
      </c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7">
        <f>ROUND(24,2)</f>
        <v>24</v>
      </c>
      <c r="CQ384" s="7">
        <f>ROUND(2839.3,2)</f>
        <v>2839.3</v>
      </c>
      <c r="CR384" s="6"/>
      <c r="CS384" s="6"/>
      <c r="CT384" s="6"/>
      <c r="CU384" s="6"/>
      <c r="CV384" s="7">
        <f>ROUND(38225.45,2)</f>
        <v>38225.449999999997</v>
      </c>
      <c r="CW384" s="6"/>
      <c r="CX384" s="6"/>
      <c r="CY384" s="7">
        <f>ROUND(14048.64,2)</f>
        <v>14048.64</v>
      </c>
      <c r="CZ384" s="6"/>
      <c r="DA384" s="6"/>
      <c r="DB384" s="6"/>
      <c r="DC384" s="6"/>
      <c r="DD384" s="7">
        <f>ROUND(886.439999999999,2)</f>
        <v>886.44</v>
      </c>
      <c r="DE384" s="7">
        <f>ROUND(431.409999999999,2)</f>
        <v>431.41</v>
      </c>
      <c r="DF384" s="7">
        <f>ROUND(200.9,2)</f>
        <v>200.9</v>
      </c>
      <c r="DG384" s="7">
        <f>ROUND(96.6799999999999,2)</f>
        <v>96.68</v>
      </c>
      <c r="DH384" s="7">
        <f>ROUND(17.97,2)</f>
        <v>17.97</v>
      </c>
      <c r="DI384" s="6"/>
      <c r="DJ384" s="6"/>
      <c r="DK384" s="6"/>
      <c r="DL384" s="6"/>
      <c r="DM384" s="6"/>
      <c r="DN384" s="7">
        <f>ROUND(7284.21,2)</f>
        <v>7284.21</v>
      </c>
      <c r="DO384" s="6"/>
      <c r="DP384" s="7">
        <f>ROUND(5199.73,2)</f>
        <v>5199.7299999999996</v>
      </c>
      <c r="DQ384" s="6"/>
      <c r="DR384" s="6"/>
      <c r="DS384" s="6"/>
      <c r="DT384" s="6"/>
      <c r="DU384" s="6"/>
      <c r="DV384" s="6"/>
      <c r="DW384" s="6"/>
      <c r="DX384" s="6"/>
      <c r="DY384" s="7">
        <f>ROUND(14992.5899999999,2)</f>
        <v>14992.59</v>
      </c>
      <c r="DZ384" s="6"/>
      <c r="EA384" s="7">
        <f>ROUND(9753,2)</f>
        <v>9753</v>
      </c>
      <c r="EB384" s="6"/>
      <c r="EC384" s="6"/>
      <c r="ED384" s="7">
        <f>ROUND(2465.79,2)</f>
        <v>2465.79</v>
      </c>
      <c r="EE384" s="7">
        <f>ROUND(16.36,2)</f>
        <v>16.36</v>
      </c>
      <c r="EF384" s="7">
        <f>ROUND(1066.65,2)</f>
        <v>1066.6500000000001</v>
      </c>
      <c r="EG384" s="7">
        <f>ROUND(144.41,2)</f>
        <v>144.41</v>
      </c>
      <c r="EH384" s="7">
        <f>ROUND(1227.1,2)</f>
        <v>1227.0999999999999</v>
      </c>
      <c r="EI384" s="7">
        <f>ROUND(770.16,2)</f>
        <v>770.16</v>
      </c>
      <c r="EJ384" s="6"/>
      <c r="EK384" s="7">
        <f>ROUND(906.199999999999,2)</f>
        <v>906.2</v>
      </c>
      <c r="EL384" s="6"/>
      <c r="EM384" s="6"/>
      <c r="EN384" s="7">
        <f>ROUND(818.569999999999,2)</f>
        <v>818.57</v>
      </c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7">
        <f>ROUND(1301.44999999999,2)</f>
        <v>1301.45</v>
      </c>
      <c r="FC384" s="7">
        <f>ROUND(165.39,2)</f>
        <v>165.39</v>
      </c>
      <c r="FD384" s="7">
        <f>ROUND(173.93,2)</f>
        <v>173.93</v>
      </c>
      <c r="FE384" s="6"/>
      <c r="FF384" s="7">
        <f>ROUND(566.7,2)</f>
        <v>566.70000000000005</v>
      </c>
      <c r="FG384" s="6"/>
      <c r="FH384" s="6"/>
      <c r="FI384" s="6"/>
      <c r="FJ384" s="7">
        <f>ROUND(800,2)</f>
        <v>800</v>
      </c>
      <c r="FK384" s="6"/>
      <c r="FL384" s="6"/>
      <c r="FM384" s="6"/>
      <c r="FN384" s="6"/>
      <c r="FO384" s="6"/>
      <c r="FP384" s="6"/>
      <c r="FQ384" s="6"/>
      <c r="FR384" s="6"/>
      <c r="FS384" s="6"/>
      <c r="FT384" s="7">
        <f>ROUND(3000,2)</f>
        <v>3000</v>
      </c>
      <c r="FU384" s="6"/>
      <c r="FV384" s="6"/>
      <c r="FW384" s="6"/>
      <c r="FX384" s="7">
        <f>ROUND(801.12,2)</f>
        <v>801.12</v>
      </c>
      <c r="FY384" s="7">
        <f>ROUND(105360.85,2)</f>
        <v>105360.85</v>
      </c>
    </row>
    <row r="385" spans="1:181" ht="26.4" x14ac:dyDescent="0.3">
      <c r="A385" s="4" t="s">
        <v>976</v>
      </c>
      <c r="B385" s="5" t="s">
        <v>1029</v>
      </c>
      <c r="C385" s="5" t="s">
        <v>181</v>
      </c>
      <c r="D385" s="5" t="s">
        <v>267</v>
      </c>
      <c r="E385" s="5" t="s">
        <v>0</v>
      </c>
      <c r="F385" s="5" t="s">
        <v>0</v>
      </c>
      <c r="G385" s="5" t="s">
        <v>183</v>
      </c>
      <c r="H385" s="9">
        <v>31.71</v>
      </c>
      <c r="I385" s="7">
        <f>ROUND(82000.3,2)</f>
        <v>82000.3</v>
      </c>
      <c r="J385" s="6"/>
      <c r="K385" s="6"/>
      <c r="L385" s="6"/>
      <c r="M385" s="6"/>
      <c r="N385" s="7">
        <f>ROUND(1509.06,2)</f>
        <v>1509.06</v>
      </c>
      <c r="O385" s="6"/>
      <c r="P385" s="6"/>
      <c r="Q385" s="7">
        <f>ROUND(230.47,2)</f>
        <v>230.47</v>
      </c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7">
        <f>ROUND(56.53,2)</f>
        <v>56.53</v>
      </c>
      <c r="AF385" s="6"/>
      <c r="AG385" s="7">
        <f>ROUND(1.3,2)</f>
        <v>1.3</v>
      </c>
      <c r="AH385" s="6"/>
      <c r="AI385" s="6"/>
      <c r="AJ385" s="6"/>
      <c r="AK385" s="6"/>
      <c r="AL385" s="6"/>
      <c r="AM385" s="6"/>
      <c r="AN385" s="6"/>
      <c r="AO385" s="6"/>
      <c r="AP385" s="7">
        <f>ROUND(395.91,2)</f>
        <v>395.91</v>
      </c>
      <c r="AQ385" s="6"/>
      <c r="AR385" s="7">
        <f>ROUND(71.16,2)</f>
        <v>71.16</v>
      </c>
      <c r="AS385" s="6"/>
      <c r="AT385" s="6"/>
      <c r="AU385" s="7">
        <f>ROUND(72,2)</f>
        <v>72</v>
      </c>
      <c r="AV385" s="6"/>
      <c r="AW385" s="7">
        <f>ROUND(32,2)</f>
        <v>32</v>
      </c>
      <c r="AX385" s="6"/>
      <c r="AY385" s="7">
        <f>ROUND(32,2)</f>
        <v>32</v>
      </c>
      <c r="AZ385" s="6"/>
      <c r="BA385" s="6"/>
      <c r="BB385" s="7">
        <f>ROUND(8,2)</f>
        <v>8</v>
      </c>
      <c r="BC385" s="6"/>
      <c r="BD385" s="7">
        <f>ROUND(8,2)</f>
        <v>8</v>
      </c>
      <c r="BE385" s="7">
        <f>ROUND(3.58,2)</f>
        <v>3.58</v>
      </c>
      <c r="BF385" s="6"/>
      <c r="BG385" s="6"/>
      <c r="BH385" s="6"/>
      <c r="BI385" s="6"/>
      <c r="BJ385" s="6"/>
      <c r="BK385" s="6"/>
      <c r="BL385" s="6"/>
      <c r="BM385" s="6"/>
      <c r="BN385" s="6"/>
      <c r="BO385" s="7">
        <f>ROUND(17.5,2)</f>
        <v>17.5</v>
      </c>
      <c r="BP385" s="6"/>
      <c r="BQ385" s="6"/>
      <c r="BR385" s="6"/>
      <c r="BS385" s="6"/>
      <c r="BT385" s="7">
        <f>ROUND(1,2)</f>
        <v>1</v>
      </c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7">
        <f>ROUND(2438.51,2)</f>
        <v>2438.5100000000002</v>
      </c>
      <c r="CR385" s="6"/>
      <c r="CS385" s="6"/>
      <c r="CT385" s="6"/>
      <c r="CU385" s="6"/>
      <c r="CV385" s="7">
        <f>ROUND(45611.8199999999,2)</f>
        <v>45611.82</v>
      </c>
      <c r="CW385" s="6"/>
      <c r="CX385" s="6"/>
      <c r="CY385" s="7">
        <f>ROUND(10254.7999999999,2)</f>
        <v>10254.799999999999</v>
      </c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7">
        <f>ROUND(1649.01,2)</f>
        <v>1649.01</v>
      </c>
      <c r="DO385" s="6"/>
      <c r="DP385" s="7">
        <f>ROUND(56.32,2)</f>
        <v>56.32</v>
      </c>
      <c r="DQ385" s="6"/>
      <c r="DR385" s="6"/>
      <c r="DS385" s="6"/>
      <c r="DT385" s="6"/>
      <c r="DU385" s="6"/>
      <c r="DV385" s="6"/>
      <c r="DW385" s="6"/>
      <c r="DX385" s="6"/>
      <c r="DY385" s="7">
        <f>ROUND(11665.1,2)</f>
        <v>11665.1</v>
      </c>
      <c r="DZ385" s="6"/>
      <c r="EA385" s="7">
        <f>ROUND(3055.38,2)</f>
        <v>3055.38</v>
      </c>
      <c r="EB385" s="6"/>
      <c r="EC385" s="6"/>
      <c r="ED385" s="7">
        <f>ROUND(2117.27999999999,2)</f>
        <v>2117.2800000000002</v>
      </c>
      <c r="EE385" s="6"/>
      <c r="EF385" s="7">
        <f>ROUND(984.64,2)</f>
        <v>984.64</v>
      </c>
      <c r="EG385" s="6"/>
      <c r="EH385" s="7">
        <f>ROUND(1004.8,2)</f>
        <v>1004.8</v>
      </c>
      <c r="EI385" s="6"/>
      <c r="EJ385" s="6"/>
      <c r="EK385" s="7">
        <f>ROUND(251.2,2)</f>
        <v>251.2</v>
      </c>
      <c r="EL385" s="6"/>
      <c r="EM385" s="6"/>
      <c r="EN385" s="7">
        <f>ROUND(231.04,2)</f>
        <v>231.04</v>
      </c>
      <c r="EO385" s="7">
        <f>ROUND(113.99,2)</f>
        <v>113.99</v>
      </c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7">
        <f>ROUND(554.92,2)</f>
        <v>554.91999999999996</v>
      </c>
      <c r="FC385" s="6"/>
      <c r="FD385" s="6"/>
      <c r="FE385" s="6"/>
      <c r="FF385" s="6"/>
      <c r="FG385" s="6"/>
      <c r="FH385" s="6"/>
      <c r="FI385" s="6"/>
      <c r="FJ385" s="7">
        <f>ROUND(1450,2)</f>
        <v>1450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7">
        <f>ROUND(3000,2)</f>
        <v>3000</v>
      </c>
      <c r="FU385" s="6"/>
      <c r="FV385" s="6"/>
      <c r="FW385" s="6"/>
      <c r="FX385" s="6"/>
      <c r="FY385" s="7">
        <f>ROUND(82000.3,2)</f>
        <v>82000.3</v>
      </c>
    </row>
    <row r="386" spans="1:181" x14ac:dyDescent="0.3">
      <c r="A386" s="4" t="s">
        <v>977</v>
      </c>
      <c r="B386" s="5" t="s">
        <v>1029</v>
      </c>
      <c r="C386" s="5" t="s">
        <v>181</v>
      </c>
      <c r="D386" s="5" t="s">
        <v>554</v>
      </c>
      <c r="E386" s="5" t="s">
        <v>0</v>
      </c>
      <c r="F386" s="5" t="s">
        <v>0</v>
      </c>
      <c r="G386" s="5" t="s">
        <v>183</v>
      </c>
      <c r="H386" s="9">
        <v>30.04</v>
      </c>
      <c r="I386" s="7">
        <f>ROUND(42910.1899999999,2)</f>
        <v>42910.19</v>
      </c>
      <c r="J386" s="6"/>
      <c r="K386" s="6"/>
      <c r="L386" s="6"/>
      <c r="M386" s="6"/>
      <c r="N386" s="7">
        <f>ROUND(1199.31999999999,2)</f>
        <v>1199.32</v>
      </c>
      <c r="O386" s="6"/>
      <c r="P386" s="6"/>
      <c r="Q386" s="7">
        <f>ROUND(0.49,2)</f>
        <v>0.49</v>
      </c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7">
        <f>ROUND(96.03,2)</f>
        <v>96.03</v>
      </c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7">
        <f>ROUND(40,2)</f>
        <v>40</v>
      </c>
      <c r="AV386" s="6"/>
      <c r="AW386" s="7">
        <f>ROUND(5,2)</f>
        <v>5</v>
      </c>
      <c r="AX386" s="6"/>
      <c r="AY386" s="6"/>
      <c r="AZ386" s="6"/>
      <c r="BA386" s="6"/>
      <c r="BB386" s="7">
        <f>ROUND(5,2)</f>
        <v>5</v>
      </c>
      <c r="BC386" s="6"/>
      <c r="BD386" s="7">
        <f>ROUND(157.8,2)</f>
        <v>157.80000000000001</v>
      </c>
      <c r="BE386" s="6"/>
      <c r="BF386" s="7">
        <f>ROUND(21.02,2)</f>
        <v>21.02</v>
      </c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7">
        <f>ROUND(30,2)</f>
        <v>30</v>
      </c>
      <c r="BR386" s="6"/>
      <c r="BS386" s="6"/>
      <c r="BT386" s="6"/>
      <c r="BU386" s="6"/>
      <c r="BV386" s="6"/>
      <c r="BW386" s="6"/>
      <c r="BX386" s="6"/>
      <c r="BY386" s="7">
        <f>ROUND(5,2)</f>
        <v>5</v>
      </c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7">
        <f>ROUND(10,2)</f>
        <v>10</v>
      </c>
      <c r="CQ386" s="7">
        <f>ROUND(1569.65999999999,2)</f>
        <v>1569.66</v>
      </c>
      <c r="CR386" s="6"/>
      <c r="CS386" s="6"/>
      <c r="CT386" s="6"/>
      <c r="CU386" s="6"/>
      <c r="CV386" s="7">
        <f>ROUND(32392.81,2)</f>
        <v>32392.81</v>
      </c>
      <c r="CW386" s="6"/>
      <c r="CX386" s="6"/>
      <c r="CY386" s="7">
        <f>ROUND(12.86,2)</f>
        <v>12.86</v>
      </c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7">
        <f>ROUND(2581.25,2)</f>
        <v>2581.25</v>
      </c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7">
        <f>ROUND(1019.59999999999,2)</f>
        <v>1019.6</v>
      </c>
      <c r="EE386" s="6"/>
      <c r="EF386" s="7">
        <f>ROUND(140.45,2)</f>
        <v>140.44999999999999</v>
      </c>
      <c r="EG386" s="6"/>
      <c r="EH386" s="6"/>
      <c r="EI386" s="6"/>
      <c r="EJ386" s="6"/>
      <c r="EK386" s="7">
        <f>ROUND(148.75,2)</f>
        <v>148.75</v>
      </c>
      <c r="EL386" s="6"/>
      <c r="EM386" s="6"/>
      <c r="EN386" s="7">
        <f>ROUND(2839.74,2)</f>
        <v>2839.74</v>
      </c>
      <c r="EO386" s="6"/>
      <c r="EP386" s="7">
        <f>ROUND(551.78,2)</f>
        <v>551.78</v>
      </c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7">
        <f>ROUND(647.55,2)</f>
        <v>647.54999999999995</v>
      </c>
      <c r="FE386" s="6"/>
      <c r="FF386" s="6"/>
      <c r="FG386" s="6"/>
      <c r="FH386" s="6"/>
      <c r="FI386" s="6"/>
      <c r="FJ386" s="7">
        <f>ROUND(775,2)</f>
        <v>775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7">
        <f>ROUND(1500,2)</f>
        <v>1500</v>
      </c>
      <c r="FU386" s="6"/>
      <c r="FV386" s="6"/>
      <c r="FW386" s="6"/>
      <c r="FX386" s="7">
        <f>ROUND(300.4,2)</f>
        <v>300.39999999999998</v>
      </c>
      <c r="FY386" s="7">
        <f>ROUND(42910.1899999999,2)</f>
        <v>42910.19</v>
      </c>
    </row>
    <row r="387" spans="1:181" x14ac:dyDescent="0.3">
      <c r="A387" s="4" t="s">
        <v>978</v>
      </c>
      <c r="B387" s="5" t="s">
        <v>1029</v>
      </c>
      <c r="C387" s="5" t="s">
        <v>181</v>
      </c>
      <c r="D387" s="5" t="s">
        <v>344</v>
      </c>
      <c r="E387" s="5" t="s">
        <v>0</v>
      </c>
      <c r="F387" s="5" t="s">
        <v>0</v>
      </c>
      <c r="G387" s="5" t="s">
        <v>183</v>
      </c>
      <c r="H387" s="8">
        <v>33.380000000000003</v>
      </c>
      <c r="I387" s="7">
        <f>ROUND(65283.06,2)</f>
        <v>65283.06</v>
      </c>
      <c r="J387" s="6"/>
      <c r="K387" s="6"/>
      <c r="L387" s="6"/>
      <c r="M387" s="6"/>
      <c r="N387" s="7">
        <f>ROUND(1649.6,2)</f>
        <v>1649.6</v>
      </c>
      <c r="O387" s="6"/>
      <c r="P387" s="6"/>
      <c r="Q387" s="7">
        <f>ROUND(42.93,2)</f>
        <v>42.93</v>
      </c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7">
        <f>ROUND(8,2)</f>
        <v>8</v>
      </c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7">
        <f>ROUND(57.75,2)</f>
        <v>57.75</v>
      </c>
      <c r="AQ387" s="6"/>
      <c r="AR387" s="6"/>
      <c r="AS387" s="6"/>
      <c r="AT387" s="6"/>
      <c r="AU387" s="7">
        <f>ROUND(52,2)</f>
        <v>52</v>
      </c>
      <c r="AV387" s="6"/>
      <c r="AW387" s="7">
        <f>ROUND(34.98,2)</f>
        <v>34.979999999999997</v>
      </c>
      <c r="AX387" s="7">
        <f>ROUND(1.02,2)</f>
        <v>1.02</v>
      </c>
      <c r="AY387" s="7">
        <f>ROUND(50,2)</f>
        <v>50</v>
      </c>
      <c r="AZ387" s="6"/>
      <c r="BA387" s="6"/>
      <c r="BB387" s="6"/>
      <c r="BC387" s="6"/>
      <c r="BD387" s="7">
        <f>ROUND(8,2)</f>
        <v>8</v>
      </c>
      <c r="BE387" s="7">
        <f>ROUND(1.58,2)</f>
        <v>1.58</v>
      </c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7">
        <f>ROUND(104,2)</f>
        <v>104</v>
      </c>
      <c r="BT387" s="7">
        <f>ROUND(7.9,2)</f>
        <v>7.9</v>
      </c>
      <c r="BU387" s="6"/>
      <c r="BV387" s="6"/>
      <c r="BW387" s="7">
        <f>ROUND(16,2)</f>
        <v>16</v>
      </c>
      <c r="BX387" s="7">
        <f>ROUND(24,2)</f>
        <v>24</v>
      </c>
      <c r="BY387" s="7">
        <f>ROUND(42,2)</f>
        <v>42</v>
      </c>
      <c r="BZ387" s="6"/>
      <c r="CA387" s="7">
        <f>ROUND(103.5,2)</f>
        <v>103.5</v>
      </c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7">
        <f>ROUND(2203.26,2)</f>
        <v>2203.2600000000002</v>
      </c>
      <c r="CR387" s="6"/>
      <c r="CS387" s="6"/>
      <c r="CT387" s="6"/>
      <c r="CU387" s="6"/>
      <c r="CV387" s="7">
        <f>ROUND(53337.25,2)</f>
        <v>53337.25</v>
      </c>
      <c r="CW387" s="6"/>
      <c r="CX387" s="6"/>
      <c r="CY387" s="7">
        <f>ROUND(2074.39999999999,2)</f>
        <v>2074.4</v>
      </c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7">
        <f>ROUND(267.04,2)</f>
        <v>267.04000000000002</v>
      </c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7">
        <f>ROUND(1760.79,2)</f>
        <v>1760.79</v>
      </c>
      <c r="DZ387" s="6"/>
      <c r="EA387" s="6"/>
      <c r="EB387" s="6"/>
      <c r="EC387" s="6"/>
      <c r="ED387" s="7">
        <f>ROUND(1662.36,2)</f>
        <v>1662.36</v>
      </c>
      <c r="EE387" s="6"/>
      <c r="EF387" s="7">
        <f>ROUND(1107.53,2)</f>
        <v>1107.53</v>
      </c>
      <c r="EG387" s="7">
        <f>ROUND(50.57,2)</f>
        <v>50.57</v>
      </c>
      <c r="EH387" s="7">
        <f>ROUND(1565.46,2)</f>
        <v>1565.46</v>
      </c>
      <c r="EI387" s="6"/>
      <c r="EJ387" s="6"/>
      <c r="EK387" s="6"/>
      <c r="EL387" s="6"/>
      <c r="EM387" s="6"/>
      <c r="EN387" s="7">
        <f>ROUND(256.72,2)</f>
        <v>256.72000000000003</v>
      </c>
      <c r="EO387" s="7">
        <f>ROUND(50.94,2)</f>
        <v>50.94</v>
      </c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7">
        <f>ROUND(150,2)</f>
        <v>150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7">
        <f>ROUND(3000,2)</f>
        <v>3000</v>
      </c>
      <c r="FU387" s="6"/>
      <c r="FV387" s="6"/>
      <c r="FW387" s="6"/>
      <c r="FX387" s="6"/>
      <c r="FY387" s="7">
        <f>ROUND(65283.06,2)</f>
        <v>65283.06</v>
      </c>
    </row>
    <row r="388" spans="1:181" x14ac:dyDescent="0.3">
      <c r="A388" s="4" t="s">
        <v>979</v>
      </c>
      <c r="B388" s="5" t="s">
        <v>1029</v>
      </c>
      <c r="C388" s="5" t="s">
        <v>181</v>
      </c>
      <c r="D388" s="5" t="s">
        <v>527</v>
      </c>
      <c r="E388" s="5" t="s">
        <v>0</v>
      </c>
      <c r="F388" s="5" t="s">
        <v>0</v>
      </c>
      <c r="G388" s="5" t="s">
        <v>183</v>
      </c>
      <c r="H388" s="8">
        <v>33.71</v>
      </c>
      <c r="I388" s="7">
        <f>ROUND(92890.6299999999,2)</f>
        <v>92890.63</v>
      </c>
      <c r="J388" s="6"/>
      <c r="K388" s="6"/>
      <c r="L388" s="6"/>
      <c r="M388" s="6"/>
      <c r="N388" s="6"/>
      <c r="O388" s="6"/>
      <c r="P388" s="6"/>
      <c r="Q388" s="7">
        <f>ROUND(2,2)</f>
        <v>2</v>
      </c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7">
        <f>ROUND(1935.27,2)</f>
        <v>1935.27</v>
      </c>
      <c r="AF388" s="6"/>
      <c r="AG388" s="7">
        <f>ROUND(322.08,2)</f>
        <v>322.08</v>
      </c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7">
        <f>ROUND(60,2)</f>
        <v>60</v>
      </c>
      <c r="AV388" s="7">
        <f>ROUND(8,2)</f>
        <v>8</v>
      </c>
      <c r="AW388" s="7">
        <f>ROUND(40,2)</f>
        <v>40</v>
      </c>
      <c r="AX388" s="6"/>
      <c r="AY388" s="7">
        <f>ROUND(60,2)</f>
        <v>60</v>
      </c>
      <c r="AZ388" s="7">
        <f>ROUND(28,2)</f>
        <v>28</v>
      </c>
      <c r="BA388" s="6"/>
      <c r="BB388" s="7">
        <f>ROUND(40,2)</f>
        <v>40</v>
      </c>
      <c r="BC388" s="6"/>
      <c r="BD388" s="6"/>
      <c r="BE388" s="6"/>
      <c r="BF388" s="7">
        <f>ROUND(8,2)</f>
        <v>8</v>
      </c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7">
        <f>ROUND(16,2)</f>
        <v>16</v>
      </c>
      <c r="BT388" s="7">
        <f>ROUND(2.67,2)</f>
        <v>2.67</v>
      </c>
      <c r="BU388" s="7">
        <f>ROUND(18.08,2)</f>
        <v>18.079999999999998</v>
      </c>
      <c r="BV388" s="7">
        <f>ROUND(3.25,2)</f>
        <v>3.25</v>
      </c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7">
        <f>ROUND(24,2)</f>
        <v>24</v>
      </c>
      <c r="CQ388" s="7">
        <f>ROUND(2567.35,2)</f>
        <v>2567.35</v>
      </c>
      <c r="CR388" s="6"/>
      <c r="CS388" s="6"/>
      <c r="CT388" s="6"/>
      <c r="CU388" s="6"/>
      <c r="CV388" s="6"/>
      <c r="CW388" s="6"/>
      <c r="CX388" s="6"/>
      <c r="CY388" s="7">
        <f>ROUND(96.27,2)</f>
        <v>96.27</v>
      </c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7">
        <f>ROUND(63064.4899999999,2)</f>
        <v>63064.49</v>
      </c>
      <c r="DO388" s="6"/>
      <c r="DP388" s="7">
        <f>ROUND(15764.5,2)</f>
        <v>15764.5</v>
      </c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7">
        <f>ROUND(1953.72,2)</f>
        <v>1953.72</v>
      </c>
      <c r="EE388" s="7">
        <f>ROUND(396.64,2)</f>
        <v>396.64</v>
      </c>
      <c r="EF388" s="7">
        <f>ROUND(1296.56,2)</f>
        <v>1296.56</v>
      </c>
      <c r="EG388" s="6"/>
      <c r="EH388" s="7">
        <f>ROUND(1973.4,2)</f>
        <v>1973.4</v>
      </c>
      <c r="EI388" s="7">
        <f>ROUND(1356.42,2)</f>
        <v>1356.42</v>
      </c>
      <c r="EJ388" s="6"/>
      <c r="EK388" s="7">
        <f>ROUND(1298.96,2)</f>
        <v>1298.96</v>
      </c>
      <c r="EL388" s="6"/>
      <c r="EM388" s="6"/>
      <c r="EN388" s="6"/>
      <c r="EO388" s="6"/>
      <c r="EP388" s="7">
        <f>ROUND(385.08,2)</f>
        <v>385.08</v>
      </c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7">
        <f>ROUND(595.55,2)</f>
        <v>595.54999999999995</v>
      </c>
      <c r="FG388" s="6"/>
      <c r="FH388" s="6"/>
      <c r="FI388" s="6"/>
      <c r="FJ388" s="7">
        <f>ROUND(900,2)</f>
        <v>900</v>
      </c>
      <c r="FK388" s="6"/>
      <c r="FL388" s="6"/>
      <c r="FM388" s="6"/>
      <c r="FN388" s="6"/>
      <c r="FO388" s="6"/>
      <c r="FP388" s="6"/>
      <c r="FQ388" s="6"/>
      <c r="FR388" s="6"/>
      <c r="FS388" s="6"/>
      <c r="FT388" s="7">
        <f>ROUND(3000,2)</f>
        <v>3000</v>
      </c>
      <c r="FU388" s="6"/>
      <c r="FV388" s="6"/>
      <c r="FW388" s="6"/>
      <c r="FX388" s="7">
        <f>ROUND(809.04,2)</f>
        <v>809.04</v>
      </c>
      <c r="FY388" s="7">
        <f>ROUND(92890.6299999999,2)</f>
        <v>92890.63</v>
      </c>
    </row>
    <row r="389" spans="1:181" x14ac:dyDescent="0.3">
      <c r="A389" s="4" t="s">
        <v>980</v>
      </c>
      <c r="B389" s="5" t="s">
        <v>1029</v>
      </c>
      <c r="C389" s="5" t="s">
        <v>181</v>
      </c>
      <c r="D389" s="5" t="s">
        <v>194</v>
      </c>
      <c r="E389" s="5" t="s">
        <v>0</v>
      </c>
      <c r="F389" s="5" t="s">
        <v>0</v>
      </c>
      <c r="G389" s="5" t="s">
        <v>183</v>
      </c>
      <c r="H389" s="8">
        <v>33.380000000000003</v>
      </c>
      <c r="I389" s="7">
        <f>ROUND(88037.9399999999,2)</f>
        <v>88037.94</v>
      </c>
      <c r="J389" s="6"/>
      <c r="K389" s="6"/>
      <c r="L389" s="6"/>
      <c r="M389" s="6"/>
      <c r="N389" s="7">
        <f>ROUND(1441.28,2)</f>
        <v>1441.28</v>
      </c>
      <c r="O389" s="6"/>
      <c r="P389" s="6"/>
      <c r="Q389" s="7">
        <f>ROUND(166,2)</f>
        <v>166</v>
      </c>
      <c r="R389" s="6"/>
      <c r="S389" s="6"/>
      <c r="T389" s="6"/>
      <c r="U389" s="6"/>
      <c r="V389" s="7">
        <f>ROUND(14.56,2)</f>
        <v>14.56</v>
      </c>
      <c r="W389" s="7">
        <f>ROUND(11.5,2)</f>
        <v>11.5</v>
      </c>
      <c r="X389" s="7">
        <f>ROUND(0.59,2)</f>
        <v>0.59</v>
      </c>
      <c r="Y389" s="6"/>
      <c r="Z389" s="6"/>
      <c r="AA389" s="6"/>
      <c r="AB389" s="6"/>
      <c r="AC389" s="6"/>
      <c r="AD389" s="6"/>
      <c r="AE389" s="7">
        <f>ROUND(113.2,2)</f>
        <v>113.2</v>
      </c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7">
        <f>ROUND(308.84,2)</f>
        <v>308.83999999999997</v>
      </c>
      <c r="AQ389" s="6"/>
      <c r="AR389" s="7">
        <f>ROUND(143.26,2)</f>
        <v>143.26</v>
      </c>
      <c r="AS389" s="6"/>
      <c r="AT389" s="6"/>
      <c r="AU389" s="7">
        <f>ROUND(76,2)</f>
        <v>76</v>
      </c>
      <c r="AV389" s="6"/>
      <c r="AW389" s="7">
        <f>ROUND(36,2)</f>
        <v>36</v>
      </c>
      <c r="AX389" s="6"/>
      <c r="AY389" s="7">
        <f>ROUND(18,2)</f>
        <v>18</v>
      </c>
      <c r="AZ389" s="6"/>
      <c r="BA389" s="6"/>
      <c r="BB389" s="7">
        <f>ROUND(10,2)</f>
        <v>10</v>
      </c>
      <c r="BC389" s="6"/>
      <c r="BD389" s="7">
        <f>ROUND(8,2)</f>
        <v>8</v>
      </c>
      <c r="BE389" s="7">
        <f>ROUND(0.55,2)</f>
        <v>0.55000000000000004</v>
      </c>
      <c r="BF389" s="6"/>
      <c r="BG389" s="6"/>
      <c r="BH389" s="6"/>
      <c r="BI389" s="6"/>
      <c r="BJ389" s="6"/>
      <c r="BK389" s="6"/>
      <c r="BL389" s="6"/>
      <c r="BM389" s="6"/>
      <c r="BN389" s="6"/>
      <c r="BO389" s="7">
        <f>ROUND(10,2)</f>
        <v>10</v>
      </c>
      <c r="BP389" s="7">
        <f>ROUND(0.25,2)</f>
        <v>0.25</v>
      </c>
      <c r="BQ389" s="7">
        <f>ROUND(20,2)</f>
        <v>20</v>
      </c>
      <c r="BR389" s="6"/>
      <c r="BS389" s="7">
        <f>ROUND(38.23,2)</f>
        <v>38.229999999999997</v>
      </c>
      <c r="BT389" s="7">
        <f>ROUND(8.29,2)</f>
        <v>8.2899999999999991</v>
      </c>
      <c r="BU389" s="7">
        <f>ROUND(105.35,2)</f>
        <v>105.35</v>
      </c>
      <c r="BV389" s="7">
        <f>ROUND(8.36,2)</f>
        <v>8.36</v>
      </c>
      <c r="BW389" s="6"/>
      <c r="BX389" s="7">
        <f>ROUND(24,2)</f>
        <v>24</v>
      </c>
      <c r="BY389" s="7">
        <f>ROUND(36,2)</f>
        <v>36</v>
      </c>
      <c r="BZ389" s="6"/>
      <c r="CA389" s="7">
        <f>ROUND(19,2)</f>
        <v>19</v>
      </c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7">
        <f>ROUND(16,2)</f>
        <v>16</v>
      </c>
      <c r="CQ389" s="7">
        <f>ROUND(2633.25999999999,2)</f>
        <v>2633.26</v>
      </c>
      <c r="CR389" s="6"/>
      <c r="CS389" s="6"/>
      <c r="CT389" s="6"/>
      <c r="CU389" s="6"/>
      <c r="CV389" s="7">
        <f>ROUND(47078.4099999999,2)</f>
        <v>47078.41</v>
      </c>
      <c r="CW389" s="6"/>
      <c r="CX389" s="6"/>
      <c r="CY389" s="7">
        <f>ROUND(8136.46,2)</f>
        <v>8136.46</v>
      </c>
      <c r="CZ389" s="6"/>
      <c r="DA389" s="6"/>
      <c r="DB389" s="6"/>
      <c r="DC389" s="6"/>
      <c r="DD389" s="7">
        <f>ROUND(468.12,2)</f>
        <v>468.12</v>
      </c>
      <c r="DE389" s="7">
        <f>ROUND(554.73,2)</f>
        <v>554.73</v>
      </c>
      <c r="DF389" s="7">
        <f>ROUND(19.1,2)</f>
        <v>19.100000000000001</v>
      </c>
      <c r="DG389" s="6"/>
      <c r="DH389" s="6"/>
      <c r="DI389" s="6"/>
      <c r="DJ389" s="6"/>
      <c r="DK389" s="6"/>
      <c r="DL389" s="6"/>
      <c r="DM389" s="6"/>
      <c r="DN389" s="7">
        <f>ROUND(3708.05,2)</f>
        <v>3708.05</v>
      </c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7">
        <f>ROUND(10032.07,2)</f>
        <v>10032.07</v>
      </c>
      <c r="DZ389" s="6"/>
      <c r="EA389" s="7">
        <f>ROUND(7029.76,2)</f>
        <v>7029.76</v>
      </c>
      <c r="EB389" s="6"/>
      <c r="EC389" s="6"/>
      <c r="ED389" s="7">
        <f>ROUND(2474.78,2)</f>
        <v>2474.7800000000002</v>
      </c>
      <c r="EE389" s="6"/>
      <c r="EF389" s="7">
        <f>ROUND(1162.92,2)</f>
        <v>1162.92</v>
      </c>
      <c r="EG389" s="6"/>
      <c r="EH389" s="7">
        <f>ROUND(597.54,2)</f>
        <v>597.54</v>
      </c>
      <c r="EI389" s="6"/>
      <c r="EJ389" s="6"/>
      <c r="EK389" s="7">
        <f>ROUND(320.9,2)</f>
        <v>320.89999999999998</v>
      </c>
      <c r="EL389" s="6"/>
      <c r="EM389" s="6"/>
      <c r="EN389" s="7">
        <f>ROUND(256.72,2)</f>
        <v>256.72000000000003</v>
      </c>
      <c r="EO389" s="7">
        <f>ROUND(18.18,2)</f>
        <v>18.18</v>
      </c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7">
        <f>ROUND(333.8,2)</f>
        <v>333.8</v>
      </c>
      <c r="FC389" s="7">
        <f>ROUND(12.52,2)</f>
        <v>12.52</v>
      </c>
      <c r="FD389" s="7">
        <f>ROUND(641.8,2)</f>
        <v>641.79999999999995</v>
      </c>
      <c r="FE389" s="6"/>
      <c r="FF389" s="7">
        <f>ROUND(1583,2)</f>
        <v>1583</v>
      </c>
      <c r="FG389" s="6"/>
      <c r="FH389" s="6"/>
      <c r="FI389" s="6"/>
      <c r="FJ389" s="7">
        <f>ROUND(75,2)</f>
        <v>75</v>
      </c>
      <c r="FK389" s="6"/>
      <c r="FL389" s="6"/>
      <c r="FM389" s="6"/>
      <c r="FN389" s="6"/>
      <c r="FO389" s="6"/>
      <c r="FP389" s="6"/>
      <c r="FQ389" s="6"/>
      <c r="FR389" s="6"/>
      <c r="FS389" s="6"/>
      <c r="FT389" s="7">
        <f>ROUND(3000,2)</f>
        <v>3000</v>
      </c>
      <c r="FU389" s="6"/>
      <c r="FV389" s="6"/>
      <c r="FW389" s="6"/>
      <c r="FX389" s="7">
        <f>ROUND(534.08,2)</f>
        <v>534.08000000000004</v>
      </c>
      <c r="FY389" s="7">
        <f>ROUND(88037.9399999999,2)</f>
        <v>88037.94</v>
      </c>
    </row>
    <row r="390" spans="1:181" x14ac:dyDescent="0.3">
      <c r="A390" s="4" t="s">
        <v>981</v>
      </c>
      <c r="B390" s="5" t="s">
        <v>1029</v>
      </c>
      <c r="C390" s="5" t="s">
        <v>181</v>
      </c>
      <c r="D390" s="5" t="s">
        <v>390</v>
      </c>
      <c r="E390" s="5" t="s">
        <v>982</v>
      </c>
      <c r="F390" s="5" t="s">
        <v>0</v>
      </c>
      <c r="G390" s="5" t="s">
        <v>183</v>
      </c>
      <c r="H390" s="9">
        <v>33.380000000000003</v>
      </c>
      <c r="I390" s="7">
        <f>ROUND(67023.4099999999,2)</f>
        <v>67023.41</v>
      </c>
      <c r="J390" s="6"/>
      <c r="K390" s="6"/>
      <c r="L390" s="6"/>
      <c r="M390" s="6"/>
      <c r="N390" s="7">
        <f>ROUND(1344.48999999999,2)</f>
        <v>1344.49</v>
      </c>
      <c r="O390" s="6"/>
      <c r="P390" s="6"/>
      <c r="Q390" s="7">
        <f>ROUND(81.3299999999999,2)</f>
        <v>81.33</v>
      </c>
      <c r="R390" s="6"/>
      <c r="S390" s="6"/>
      <c r="T390" s="6"/>
      <c r="U390" s="6"/>
      <c r="V390" s="7">
        <f>ROUND(9.83,2)</f>
        <v>9.83</v>
      </c>
      <c r="W390" s="6"/>
      <c r="X390" s="7">
        <f>ROUND(0.83,2)</f>
        <v>0.83</v>
      </c>
      <c r="Y390" s="6"/>
      <c r="Z390" s="6"/>
      <c r="AA390" s="6"/>
      <c r="AB390" s="6"/>
      <c r="AC390" s="6"/>
      <c r="AD390" s="6"/>
      <c r="AE390" s="7">
        <f>ROUND(77.75,2)</f>
        <v>77.75</v>
      </c>
      <c r="AF390" s="6"/>
      <c r="AG390" s="7">
        <f>ROUND(11.75,2)</f>
        <v>11.75</v>
      </c>
      <c r="AH390" s="6"/>
      <c r="AI390" s="6"/>
      <c r="AJ390" s="6"/>
      <c r="AK390" s="6"/>
      <c r="AL390" s="6"/>
      <c r="AM390" s="6"/>
      <c r="AN390" s="6"/>
      <c r="AO390" s="6"/>
      <c r="AP390" s="7">
        <f>ROUND(190.65,2)</f>
        <v>190.65</v>
      </c>
      <c r="AQ390" s="6"/>
      <c r="AR390" s="7">
        <f>ROUND(14.81,2)</f>
        <v>14.81</v>
      </c>
      <c r="AS390" s="6"/>
      <c r="AT390" s="6"/>
      <c r="AU390" s="7">
        <f>ROUND(72,2)</f>
        <v>72</v>
      </c>
      <c r="AV390" s="6"/>
      <c r="AW390" s="7">
        <f>ROUND(24,2)</f>
        <v>24</v>
      </c>
      <c r="AX390" s="6"/>
      <c r="AY390" s="7">
        <f>ROUND(16,2)</f>
        <v>16</v>
      </c>
      <c r="AZ390" s="6"/>
      <c r="BA390" s="6"/>
      <c r="BB390" s="7">
        <f>ROUND(26,2)</f>
        <v>26</v>
      </c>
      <c r="BC390" s="6"/>
      <c r="BD390" s="7">
        <f>ROUND(8,2)</f>
        <v>8</v>
      </c>
      <c r="BE390" s="7">
        <f>ROUND(2.4,2)</f>
        <v>2.4</v>
      </c>
      <c r="BF390" s="6"/>
      <c r="BG390" s="7">
        <f>ROUND(41.03,2)</f>
        <v>41.03</v>
      </c>
      <c r="BH390" s="6"/>
      <c r="BI390" s="6"/>
      <c r="BJ390" s="6"/>
      <c r="BK390" s="6"/>
      <c r="BL390" s="6"/>
      <c r="BM390" s="6"/>
      <c r="BN390" s="6"/>
      <c r="BO390" s="7">
        <f>ROUND(13,2)</f>
        <v>13</v>
      </c>
      <c r="BP390" s="6"/>
      <c r="BQ390" s="7">
        <f>ROUND(4.92,2)</f>
        <v>4.92</v>
      </c>
      <c r="BR390" s="7">
        <f>ROUND(11.25,2)</f>
        <v>11.25</v>
      </c>
      <c r="BS390" s="7">
        <f>ROUND(136,2)</f>
        <v>136</v>
      </c>
      <c r="BT390" s="7">
        <f>ROUND(3.35,2)</f>
        <v>3.35</v>
      </c>
      <c r="BU390" s="6"/>
      <c r="BV390" s="6"/>
      <c r="BW390" s="6"/>
      <c r="BX390" s="7">
        <f>ROUND(64,2)</f>
        <v>64</v>
      </c>
      <c r="BY390" s="7">
        <f>ROUND(24,2)</f>
        <v>24</v>
      </c>
      <c r="BZ390" s="7">
        <f>ROUND(24,2)</f>
        <v>24</v>
      </c>
      <c r="CA390" s="7">
        <f>ROUND(102,2)</f>
        <v>102</v>
      </c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7">
        <f>ROUND(2303.39,2)</f>
        <v>2303.39</v>
      </c>
      <c r="CR390" s="6"/>
      <c r="CS390" s="6"/>
      <c r="CT390" s="6"/>
      <c r="CU390" s="6"/>
      <c r="CV390" s="7">
        <f>ROUND(42943.6099999999,2)</f>
        <v>42943.61</v>
      </c>
      <c r="CW390" s="6"/>
      <c r="CX390" s="6"/>
      <c r="CY390" s="7">
        <f>ROUND(3898.82,2)</f>
        <v>3898.82</v>
      </c>
      <c r="CZ390" s="6"/>
      <c r="DA390" s="6"/>
      <c r="DB390" s="6"/>
      <c r="DC390" s="6"/>
      <c r="DD390" s="7">
        <f>ROUND(315.65,2)</f>
        <v>315.64999999999998</v>
      </c>
      <c r="DE390" s="6"/>
      <c r="DF390" s="7">
        <f>ROUND(25.43,2)</f>
        <v>25.43</v>
      </c>
      <c r="DG390" s="6"/>
      <c r="DH390" s="6"/>
      <c r="DI390" s="6"/>
      <c r="DJ390" s="6"/>
      <c r="DK390" s="6"/>
      <c r="DL390" s="6"/>
      <c r="DM390" s="6"/>
      <c r="DN390" s="7">
        <f>ROUND(2365.54,2)</f>
        <v>2365.54</v>
      </c>
      <c r="DO390" s="6"/>
      <c r="DP390" s="7">
        <f>ROUND(534.56,2)</f>
        <v>534.55999999999995</v>
      </c>
      <c r="DQ390" s="6"/>
      <c r="DR390" s="6"/>
      <c r="DS390" s="6"/>
      <c r="DT390" s="6"/>
      <c r="DU390" s="6"/>
      <c r="DV390" s="6"/>
      <c r="DW390" s="6"/>
      <c r="DX390" s="6"/>
      <c r="DY390" s="7">
        <f>ROUND(5764.62999999999,2)</f>
        <v>5764.63</v>
      </c>
      <c r="DZ390" s="6"/>
      <c r="EA390" s="7">
        <f>ROUND(643.97,2)</f>
        <v>643.97</v>
      </c>
      <c r="EB390" s="6"/>
      <c r="EC390" s="6"/>
      <c r="ED390" s="7">
        <f>ROUND(2234.44,2)</f>
        <v>2234.44</v>
      </c>
      <c r="EE390" s="6"/>
      <c r="EF390" s="7">
        <f>ROUND(772.719999999999,2)</f>
        <v>772.72</v>
      </c>
      <c r="EG390" s="6"/>
      <c r="EH390" s="7">
        <f>ROUND(528.8,2)</f>
        <v>528.79999999999995</v>
      </c>
      <c r="EI390" s="6"/>
      <c r="EJ390" s="6"/>
      <c r="EK390" s="7">
        <f>ROUND(792.739999999999,2)</f>
        <v>792.74</v>
      </c>
      <c r="EL390" s="6"/>
      <c r="EM390" s="6"/>
      <c r="EN390" s="7">
        <f>ROUND(243.92,2)</f>
        <v>243.92</v>
      </c>
      <c r="EO390" s="7">
        <f>ROUND(79.51,2)</f>
        <v>79.510000000000005</v>
      </c>
      <c r="EP390" s="6"/>
      <c r="EQ390" s="7">
        <f>ROUND(1356.05,2)</f>
        <v>1356.05</v>
      </c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7">
        <f>ROUND(383.49,2)</f>
        <v>383.49</v>
      </c>
      <c r="FC390" s="6"/>
      <c r="FD390" s="7">
        <f>ROUND(150.01,2)</f>
        <v>150.01</v>
      </c>
      <c r="FE390" s="7">
        <f>ROUND(514.52,2)</f>
        <v>514.52</v>
      </c>
      <c r="FF390" s="6"/>
      <c r="FG390" s="6"/>
      <c r="FH390" s="6"/>
      <c r="FI390" s="6"/>
      <c r="FJ390" s="7">
        <f>ROUND(475,2)</f>
        <v>475</v>
      </c>
      <c r="FK390" s="6"/>
      <c r="FL390" s="6"/>
      <c r="FM390" s="6"/>
      <c r="FN390" s="6"/>
      <c r="FO390" s="6"/>
      <c r="FP390" s="6"/>
      <c r="FQ390" s="6"/>
      <c r="FR390" s="6"/>
      <c r="FS390" s="6"/>
      <c r="FT390" s="7">
        <f>ROUND(3000,2)</f>
        <v>3000</v>
      </c>
      <c r="FU390" s="6"/>
      <c r="FV390" s="6"/>
      <c r="FW390" s="6"/>
      <c r="FX390" s="6"/>
      <c r="FY390" s="7">
        <f>ROUND(67023.4099999999,2)</f>
        <v>67023.41</v>
      </c>
    </row>
    <row r="391" spans="1:181" x14ac:dyDescent="0.3">
      <c r="A391" s="4" t="s">
        <v>983</v>
      </c>
      <c r="B391" s="5" t="s">
        <v>1029</v>
      </c>
      <c r="C391" s="5" t="s">
        <v>181</v>
      </c>
      <c r="D391" s="5" t="s">
        <v>554</v>
      </c>
      <c r="E391" s="5" t="s">
        <v>0</v>
      </c>
      <c r="F391" s="5" t="s">
        <v>0</v>
      </c>
      <c r="G391" s="5" t="s">
        <v>183</v>
      </c>
      <c r="H391" s="9">
        <v>30.04</v>
      </c>
      <c r="I391" s="7">
        <f>ROUND(45050.5599999999,2)</f>
        <v>45050.559999999998</v>
      </c>
      <c r="J391" s="6"/>
      <c r="K391" s="6"/>
      <c r="L391" s="6"/>
      <c r="M391" s="6"/>
      <c r="N391" s="7">
        <f>ROUND(1231.65,2)</f>
        <v>1231.6500000000001</v>
      </c>
      <c r="O391" s="6"/>
      <c r="P391" s="6"/>
      <c r="Q391" s="7">
        <f>ROUND(8.85,2)</f>
        <v>8.85</v>
      </c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7">
        <f>ROUND(96,2)</f>
        <v>96</v>
      </c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7">
        <f>ROUND(20.8699999999999,2)</f>
        <v>20.87</v>
      </c>
      <c r="AQ391" s="6"/>
      <c r="AR391" s="6"/>
      <c r="AS391" s="6"/>
      <c r="AT391" s="6"/>
      <c r="AU391" s="7">
        <f>ROUND(35,2)</f>
        <v>35</v>
      </c>
      <c r="AV391" s="6"/>
      <c r="AW391" s="7">
        <f>ROUND(5,2)</f>
        <v>5</v>
      </c>
      <c r="AX391" s="6"/>
      <c r="AY391" s="7">
        <f>ROUND(5,2)</f>
        <v>5</v>
      </c>
      <c r="AZ391" s="6"/>
      <c r="BA391" s="6"/>
      <c r="BB391" s="7">
        <f>ROUND(5,2)</f>
        <v>5</v>
      </c>
      <c r="BC391" s="6"/>
      <c r="BD391" s="7">
        <f>ROUND(195.96,2)</f>
        <v>195.96</v>
      </c>
      <c r="BE391" s="7">
        <f>ROUND(3.5,2)</f>
        <v>3.5</v>
      </c>
      <c r="BF391" s="7">
        <f>ROUND(18.39,2)</f>
        <v>18.39</v>
      </c>
      <c r="BG391" s="6"/>
      <c r="BH391" s="7">
        <f>ROUND(5.33,2)</f>
        <v>5.33</v>
      </c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7">
        <f>ROUND(5,2)</f>
        <v>5</v>
      </c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7">
        <f>ROUND(5,2)</f>
        <v>5</v>
      </c>
      <c r="CQ391" s="7">
        <f>ROUND(1640.54999999999,2)</f>
        <v>1640.55</v>
      </c>
      <c r="CR391" s="6"/>
      <c r="CS391" s="6"/>
      <c r="CT391" s="6"/>
      <c r="CU391" s="6"/>
      <c r="CV391" s="7">
        <f>ROUND(33386.19,2)</f>
        <v>33386.19</v>
      </c>
      <c r="CW391" s="6"/>
      <c r="CX391" s="6"/>
      <c r="CY391" s="7">
        <f>ROUND(394.93,2)</f>
        <v>394.93</v>
      </c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7">
        <f>ROUND(2659.8,2)</f>
        <v>2659.8</v>
      </c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7">
        <f>ROUND(610.92,2)</f>
        <v>610.91999999999996</v>
      </c>
      <c r="DZ391" s="6"/>
      <c r="EA391" s="6"/>
      <c r="EB391" s="6"/>
      <c r="EC391" s="6"/>
      <c r="ED391" s="7">
        <f>ROUND(870.849999999999,2)</f>
        <v>870.85</v>
      </c>
      <c r="EE391" s="6"/>
      <c r="EF391" s="7">
        <f>ROUND(140.45,2)</f>
        <v>140.44999999999999</v>
      </c>
      <c r="EG391" s="6"/>
      <c r="EH391" s="7">
        <f>ROUND(148.75,2)</f>
        <v>148.75</v>
      </c>
      <c r="EI391" s="6"/>
      <c r="EJ391" s="6"/>
      <c r="EK391" s="7">
        <f>ROUND(148.75,2)</f>
        <v>148.75</v>
      </c>
      <c r="EL391" s="6"/>
      <c r="EM391" s="6"/>
      <c r="EN391" s="7">
        <f>ROUND(3507.54,2)</f>
        <v>3507.54</v>
      </c>
      <c r="EO391" s="7">
        <f>ROUND(99.72,2)</f>
        <v>99.72</v>
      </c>
      <c r="EP391" s="7">
        <f>ROUND(482.74,2)</f>
        <v>482.74</v>
      </c>
      <c r="EQ391" s="6"/>
      <c r="ER391" s="6"/>
      <c r="ES391" s="7">
        <f>ROUND(149.72,2)</f>
        <v>149.72</v>
      </c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7">
        <f>ROUND(800,2)</f>
        <v>800</v>
      </c>
      <c r="FK391" s="6"/>
      <c r="FL391" s="6"/>
      <c r="FM391" s="6"/>
      <c r="FN391" s="6"/>
      <c r="FO391" s="6"/>
      <c r="FP391" s="6"/>
      <c r="FQ391" s="6"/>
      <c r="FR391" s="6"/>
      <c r="FS391" s="6"/>
      <c r="FT391" s="7">
        <f>ROUND(1500,2)</f>
        <v>1500</v>
      </c>
      <c r="FU391" s="6"/>
      <c r="FV391" s="6"/>
      <c r="FW391" s="6"/>
      <c r="FX391" s="7">
        <f>ROUND(150.2,2)</f>
        <v>150.19999999999999</v>
      </c>
      <c r="FY391" s="7">
        <f>ROUND(45050.5599999999,2)</f>
        <v>45050.559999999998</v>
      </c>
    </row>
    <row r="392" spans="1:181" x14ac:dyDescent="0.3">
      <c r="A392" s="4" t="s">
        <v>984</v>
      </c>
      <c r="B392" s="5" t="s">
        <v>1029</v>
      </c>
      <c r="C392" s="5" t="s">
        <v>181</v>
      </c>
      <c r="D392" s="5" t="s">
        <v>257</v>
      </c>
      <c r="E392" s="5" t="s">
        <v>0</v>
      </c>
      <c r="F392" s="5" t="s">
        <v>0</v>
      </c>
      <c r="G392" s="5" t="s">
        <v>183</v>
      </c>
      <c r="H392" s="8">
        <v>33.880000000000003</v>
      </c>
      <c r="I392" s="7">
        <f>ROUND(131377.95,2)</f>
        <v>131377.95000000001</v>
      </c>
      <c r="J392" s="6"/>
      <c r="K392" s="6"/>
      <c r="L392" s="6"/>
      <c r="M392" s="6"/>
      <c r="N392" s="7">
        <f>ROUND(1467.95999999999,2)</f>
        <v>1467.96</v>
      </c>
      <c r="O392" s="6"/>
      <c r="P392" s="6"/>
      <c r="Q392" s="7">
        <f>ROUND(756.3,2)</f>
        <v>756.3</v>
      </c>
      <c r="R392" s="6"/>
      <c r="S392" s="6"/>
      <c r="T392" s="6"/>
      <c r="U392" s="6"/>
      <c r="V392" s="6"/>
      <c r="W392" s="7">
        <f>ROUND(28.28,2)</f>
        <v>28.28</v>
      </c>
      <c r="X392" s="7">
        <f>ROUND(0.25,2)</f>
        <v>0.25</v>
      </c>
      <c r="Y392" s="6"/>
      <c r="Z392" s="6"/>
      <c r="AA392" s="6"/>
      <c r="AB392" s="6"/>
      <c r="AC392" s="6"/>
      <c r="AD392" s="6"/>
      <c r="AE392" s="7">
        <f>ROUND(532.25,2)</f>
        <v>532.25</v>
      </c>
      <c r="AF392" s="6"/>
      <c r="AG392" s="7">
        <f>ROUND(137.93,2)</f>
        <v>137.93</v>
      </c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7">
        <f>ROUND(112.75,2)</f>
        <v>112.75</v>
      </c>
      <c r="AS392" s="6"/>
      <c r="AT392" s="6"/>
      <c r="AU392" s="7">
        <f>ROUND(60,2)</f>
        <v>60</v>
      </c>
      <c r="AV392" s="7">
        <f>ROUND(8,2)</f>
        <v>8</v>
      </c>
      <c r="AW392" s="7">
        <f>ROUND(26,2)</f>
        <v>26</v>
      </c>
      <c r="AX392" s="7">
        <f>ROUND(6,2)</f>
        <v>6</v>
      </c>
      <c r="AY392" s="7">
        <f>ROUND(41.67,2)</f>
        <v>41.67</v>
      </c>
      <c r="AZ392" s="7">
        <f>ROUND(22.33,2)</f>
        <v>22.33</v>
      </c>
      <c r="BA392" s="6"/>
      <c r="BB392" s="7">
        <f>ROUND(16,2)</f>
        <v>16</v>
      </c>
      <c r="BC392" s="6"/>
      <c r="BD392" s="7">
        <f>ROUND(8,2)</f>
        <v>8</v>
      </c>
      <c r="BE392" s="7">
        <f>ROUND(2.17,2)</f>
        <v>2.17</v>
      </c>
      <c r="BF392" s="6"/>
      <c r="BG392" s="6"/>
      <c r="BH392" s="6"/>
      <c r="BI392" s="6"/>
      <c r="BJ392" s="6"/>
      <c r="BK392" s="7">
        <f>ROUND(1.5,2)</f>
        <v>1.5</v>
      </c>
      <c r="BL392" s="6"/>
      <c r="BM392" s="6"/>
      <c r="BN392" s="6"/>
      <c r="BO392" s="6"/>
      <c r="BP392" s="6"/>
      <c r="BQ392" s="6"/>
      <c r="BR392" s="6"/>
      <c r="BS392" s="6"/>
      <c r="BT392" s="7">
        <f>ROUND(9.03,2)</f>
        <v>9.0299999999999994</v>
      </c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7">
        <f>ROUND(120,2)</f>
        <v>120</v>
      </c>
      <c r="CQ392" s="7">
        <f>ROUND(3356.42,2)</f>
        <v>3356.42</v>
      </c>
      <c r="CR392" s="6"/>
      <c r="CS392" s="6"/>
      <c r="CT392" s="6"/>
      <c r="CU392" s="6"/>
      <c r="CV392" s="7">
        <f>ROUND(47851.2799999999,2)</f>
        <v>47851.28</v>
      </c>
      <c r="CW392" s="6"/>
      <c r="CX392" s="6"/>
      <c r="CY392" s="7">
        <f>ROUND(37103.2399999999,2)</f>
        <v>37103.24</v>
      </c>
      <c r="CZ392" s="6"/>
      <c r="DA392" s="6"/>
      <c r="DB392" s="6"/>
      <c r="DC392" s="6"/>
      <c r="DD392" s="6"/>
      <c r="DE392" s="7">
        <f>ROUND(1405.44,2)</f>
        <v>1405.44</v>
      </c>
      <c r="DF392" s="7">
        <f>ROUND(8.02,2)</f>
        <v>8.02</v>
      </c>
      <c r="DG392" s="6"/>
      <c r="DH392" s="6"/>
      <c r="DI392" s="6"/>
      <c r="DJ392" s="6"/>
      <c r="DK392" s="6"/>
      <c r="DL392" s="6"/>
      <c r="DM392" s="6"/>
      <c r="DN392" s="7">
        <f>ROUND(17456.34,2)</f>
        <v>17456.34</v>
      </c>
      <c r="DO392" s="6"/>
      <c r="DP392" s="7">
        <f>ROUND(6748.24,2)</f>
        <v>6748.24</v>
      </c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7">
        <f>ROUND(5541.08999999999,2)</f>
        <v>5541.09</v>
      </c>
      <c r="EB392" s="6"/>
      <c r="EC392" s="6"/>
      <c r="ED392" s="7">
        <f>ROUND(1955.08,2)</f>
        <v>1955.08</v>
      </c>
      <c r="EE392" s="7">
        <f>ROUND(396.64,2)</f>
        <v>396.64</v>
      </c>
      <c r="EF392" s="7">
        <f>ROUND(859.3,2)</f>
        <v>859.3</v>
      </c>
      <c r="EG392" s="7">
        <f>ROUND(297.45,2)</f>
        <v>297.45</v>
      </c>
      <c r="EH392" s="7">
        <f>ROUND(1361.12,2)</f>
        <v>1361.12</v>
      </c>
      <c r="EI392" s="7">
        <f>ROUND(1083.49,2)</f>
        <v>1083.49</v>
      </c>
      <c r="EJ392" s="6"/>
      <c r="EK392" s="7">
        <f>ROUND(521.12,2)</f>
        <v>521.12</v>
      </c>
      <c r="EL392" s="6"/>
      <c r="EM392" s="6"/>
      <c r="EN392" s="7">
        <f>ROUND(256.72,2)</f>
        <v>256.72000000000003</v>
      </c>
      <c r="EO392" s="7">
        <f>ROUND(69.64,2)</f>
        <v>69.64</v>
      </c>
      <c r="EP392" s="6"/>
      <c r="EQ392" s="6"/>
      <c r="ER392" s="6"/>
      <c r="ES392" s="6"/>
      <c r="ET392" s="6"/>
      <c r="EU392" s="6"/>
      <c r="EV392" s="6"/>
      <c r="EW392" s="6"/>
      <c r="EX392" s="7">
        <f>ROUND(48.14,2)</f>
        <v>48.14</v>
      </c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7">
        <f>ROUND(1350,2)</f>
        <v>1350</v>
      </c>
      <c r="FK392" s="6"/>
      <c r="FL392" s="6"/>
      <c r="FM392" s="6"/>
      <c r="FN392" s="6"/>
      <c r="FO392" s="6"/>
      <c r="FP392" s="6"/>
      <c r="FQ392" s="6"/>
      <c r="FR392" s="6"/>
      <c r="FS392" s="6"/>
      <c r="FT392" s="7">
        <f>ROUND(3000,2)</f>
        <v>3000</v>
      </c>
      <c r="FU392" s="6"/>
      <c r="FV392" s="6"/>
      <c r="FW392" s="6"/>
      <c r="FX392" s="7">
        <f>ROUND(4065.6,2)</f>
        <v>4065.6</v>
      </c>
      <c r="FY392" s="7">
        <f>ROUND(131377.95,2)</f>
        <v>131377.95000000001</v>
      </c>
    </row>
    <row r="393" spans="1:181" x14ac:dyDescent="0.3">
      <c r="A393" s="4" t="s">
        <v>993</v>
      </c>
      <c r="B393" s="5" t="s">
        <v>1029</v>
      </c>
      <c r="C393" s="5" t="s">
        <v>181</v>
      </c>
      <c r="D393" s="5" t="s">
        <v>471</v>
      </c>
      <c r="E393" s="5" t="s">
        <v>0</v>
      </c>
      <c r="F393" s="5" t="s">
        <v>0</v>
      </c>
      <c r="G393" s="5" t="s">
        <v>183</v>
      </c>
      <c r="H393" s="9">
        <v>28.37</v>
      </c>
      <c r="I393" s="7">
        <f>ROUND(37792.9399999999,2)</f>
        <v>37792.94</v>
      </c>
      <c r="J393" s="6"/>
      <c r="K393" s="6"/>
      <c r="L393" s="6"/>
      <c r="M393" s="6"/>
      <c r="N393" s="7">
        <f>ROUND(916.9,2)</f>
        <v>916.9</v>
      </c>
      <c r="O393" s="6"/>
      <c r="P393" s="6"/>
      <c r="Q393" s="7">
        <f>ROUND(0.03,2)</f>
        <v>0.03</v>
      </c>
      <c r="R393" s="6"/>
      <c r="S393" s="6"/>
      <c r="T393" s="6"/>
      <c r="U393" s="6"/>
      <c r="V393" s="7">
        <f>ROUND(13.79,2)</f>
        <v>13.79</v>
      </c>
      <c r="W393" s="6"/>
      <c r="X393" s="6"/>
      <c r="Y393" s="6"/>
      <c r="Z393" s="6"/>
      <c r="AA393" s="6"/>
      <c r="AB393" s="6"/>
      <c r="AC393" s="6"/>
      <c r="AD393" s="6"/>
      <c r="AE393" s="7">
        <f>ROUND(54.17,2)</f>
        <v>54.17</v>
      </c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7">
        <f>ROUND(0.67,2)</f>
        <v>0.67</v>
      </c>
      <c r="AQ393" s="6"/>
      <c r="AR393" s="6"/>
      <c r="AS393" s="6"/>
      <c r="AT393" s="6"/>
      <c r="AU393" s="7">
        <f>ROUND(30,2)</f>
        <v>30</v>
      </c>
      <c r="AV393" s="6"/>
      <c r="AW393" s="6"/>
      <c r="AX393" s="6"/>
      <c r="AY393" s="6"/>
      <c r="AZ393" s="6"/>
      <c r="BA393" s="6"/>
      <c r="BB393" s="6"/>
      <c r="BC393" s="6"/>
      <c r="BD393" s="7">
        <f>ROUND(311.15,2)</f>
        <v>311.14999999999998</v>
      </c>
      <c r="BE393" s="7">
        <f>ROUND(2.56,2)</f>
        <v>2.56</v>
      </c>
      <c r="BF393" s="7">
        <f>ROUND(23.8699999999999,2)</f>
        <v>23.87</v>
      </c>
      <c r="BG393" s="6"/>
      <c r="BH393" s="6"/>
      <c r="BI393" s="7">
        <f>ROUND(8,2)</f>
        <v>8</v>
      </c>
      <c r="BJ393" s="6"/>
      <c r="BK393" s="6"/>
      <c r="BL393" s="6"/>
      <c r="BM393" s="6"/>
      <c r="BN393" s="6"/>
      <c r="BO393" s="6"/>
      <c r="BP393" s="6"/>
      <c r="BQ393" s="7">
        <f>ROUND(92.06,2)</f>
        <v>92.06</v>
      </c>
      <c r="BR393" s="6"/>
      <c r="BS393" s="6"/>
      <c r="BT393" s="7">
        <f>ROUND(0.85,2)</f>
        <v>0.85</v>
      </c>
      <c r="BU393" s="6"/>
      <c r="BV393" s="6"/>
      <c r="BW393" s="6"/>
      <c r="BX393" s="6"/>
      <c r="BY393" s="6"/>
      <c r="BZ393" s="6"/>
      <c r="CA393" s="7">
        <f>ROUND(10,2)</f>
        <v>10</v>
      </c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7">
        <f>ROUND(15,2)</f>
        <v>15</v>
      </c>
      <c r="CQ393" s="7">
        <f>ROUND(1479.04999999999,2)</f>
        <v>1479.05</v>
      </c>
      <c r="CR393" s="6"/>
      <c r="CS393" s="6"/>
      <c r="CT393" s="6"/>
      <c r="CU393" s="6"/>
      <c r="CV393" s="7">
        <f>ROUND(23993.92,2)</f>
        <v>23993.919999999998</v>
      </c>
      <c r="CW393" s="6"/>
      <c r="CX393" s="6"/>
      <c r="CY393" s="7">
        <f>ROUND(0.79,2)</f>
        <v>0.79</v>
      </c>
      <c r="CZ393" s="6"/>
      <c r="DA393" s="6"/>
      <c r="DB393" s="6"/>
      <c r="DC393" s="6"/>
      <c r="DD393" s="7">
        <f>ROUND(373.15,2)</f>
        <v>373.15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7">
        <f>ROUND(1395.15999999999,2)</f>
        <v>1395.16</v>
      </c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7">
        <f>ROUND(17.2,2)</f>
        <v>17.2</v>
      </c>
      <c r="DZ393" s="6"/>
      <c r="EA393" s="6"/>
      <c r="EB393" s="6"/>
      <c r="EC393" s="6"/>
      <c r="ED393" s="7">
        <f>ROUND(770.8,2)</f>
        <v>770.8</v>
      </c>
      <c r="EE393" s="6"/>
      <c r="EF393" s="6"/>
      <c r="EG393" s="6"/>
      <c r="EH393" s="6"/>
      <c r="EI393" s="6"/>
      <c r="EJ393" s="6"/>
      <c r="EK393" s="6"/>
      <c r="EL393" s="6"/>
      <c r="EM393" s="6"/>
      <c r="EN393" s="7">
        <f>ROUND(5510.49,2)</f>
        <v>5510.49</v>
      </c>
      <c r="EO393" s="7">
        <f>ROUND(71.91,2)</f>
        <v>71.91</v>
      </c>
      <c r="EP393" s="7">
        <f>ROUND(626.589999999999,2)</f>
        <v>626.59</v>
      </c>
      <c r="EQ393" s="6"/>
      <c r="ER393" s="6"/>
      <c r="ES393" s="6"/>
      <c r="ET393" s="7">
        <f>ROUND(140,2)</f>
        <v>140</v>
      </c>
      <c r="EU393" s="6"/>
      <c r="EV393" s="6"/>
      <c r="EW393" s="6"/>
      <c r="EX393" s="6"/>
      <c r="EY393" s="6"/>
      <c r="EZ393" s="6"/>
      <c r="FA393" s="6"/>
      <c r="FB393" s="6"/>
      <c r="FC393" s="6"/>
      <c r="FD393" s="7">
        <f>ROUND(2367.38,2)</f>
        <v>2367.38</v>
      </c>
      <c r="FE393" s="6"/>
      <c r="FF393" s="6"/>
      <c r="FG393" s="6"/>
      <c r="FH393" s="6"/>
      <c r="FI393" s="6"/>
      <c r="FJ393" s="7">
        <f>ROUND(600,2)</f>
        <v>600</v>
      </c>
      <c r="FK393" s="6"/>
      <c r="FL393" s="6"/>
      <c r="FM393" s="6"/>
      <c r="FN393" s="6"/>
      <c r="FO393" s="6"/>
      <c r="FP393" s="6"/>
      <c r="FQ393" s="6"/>
      <c r="FR393" s="6"/>
      <c r="FS393" s="6"/>
      <c r="FT393" s="7">
        <f>ROUND(1500,2)</f>
        <v>1500</v>
      </c>
      <c r="FU393" s="6"/>
      <c r="FV393" s="6"/>
      <c r="FW393" s="6"/>
      <c r="FX393" s="7">
        <f>ROUND(425.55,2)</f>
        <v>425.55</v>
      </c>
      <c r="FY393" s="7">
        <f>ROUND(37792.9399999999,2)</f>
        <v>37792.94</v>
      </c>
    </row>
    <row r="394" spans="1:181" x14ac:dyDescent="0.3">
      <c r="A394" s="4" t="s">
        <v>994</v>
      </c>
      <c r="B394" s="5" t="s">
        <v>1029</v>
      </c>
      <c r="C394" s="5" t="s">
        <v>181</v>
      </c>
      <c r="D394" s="5" t="s">
        <v>344</v>
      </c>
      <c r="E394" s="5" t="s">
        <v>0</v>
      </c>
      <c r="F394" s="5" t="s">
        <v>0</v>
      </c>
      <c r="G394" s="5" t="s">
        <v>183</v>
      </c>
      <c r="H394" s="8">
        <v>33.380000000000003</v>
      </c>
      <c r="I394" s="7">
        <f>ROUND(110740.88,2)</f>
        <v>110740.88</v>
      </c>
      <c r="J394" s="6"/>
      <c r="K394" s="6"/>
      <c r="L394" s="6"/>
      <c r="M394" s="6"/>
      <c r="N394" s="7">
        <f>ROUND(1457.92,2)</f>
        <v>1457.92</v>
      </c>
      <c r="O394" s="6"/>
      <c r="P394" s="6"/>
      <c r="Q394" s="7">
        <f>ROUND(552.23,2)</f>
        <v>552.23</v>
      </c>
      <c r="R394" s="6"/>
      <c r="S394" s="6"/>
      <c r="T394" s="6"/>
      <c r="U394" s="6"/>
      <c r="V394" s="7">
        <f>ROUND(0.58,2)</f>
        <v>0.57999999999999996</v>
      </c>
      <c r="W394" s="7">
        <f>ROUND(32.7,2)</f>
        <v>32.700000000000003</v>
      </c>
      <c r="X394" s="7">
        <f>ROUND(1.51,2)</f>
        <v>1.51</v>
      </c>
      <c r="Y394" s="7">
        <f>ROUND(1.2,2)</f>
        <v>1.2</v>
      </c>
      <c r="Z394" s="6"/>
      <c r="AA394" s="6"/>
      <c r="AB394" s="6"/>
      <c r="AC394" s="6"/>
      <c r="AD394" s="6"/>
      <c r="AE394" s="7">
        <f>ROUND(202.54,2)</f>
        <v>202.54</v>
      </c>
      <c r="AF394" s="6"/>
      <c r="AG394" s="7">
        <f>ROUND(40.34,2)</f>
        <v>40.340000000000003</v>
      </c>
      <c r="AH394" s="6"/>
      <c r="AI394" s="6"/>
      <c r="AJ394" s="6"/>
      <c r="AK394" s="6"/>
      <c r="AL394" s="6"/>
      <c r="AM394" s="6"/>
      <c r="AN394" s="6"/>
      <c r="AO394" s="6"/>
      <c r="AP394" s="7">
        <f>ROUND(308.01,2)</f>
        <v>308.01</v>
      </c>
      <c r="AQ394" s="6"/>
      <c r="AR394" s="7">
        <f>ROUND(115.269999999999,2)</f>
        <v>115.27</v>
      </c>
      <c r="AS394" s="6"/>
      <c r="AT394" s="6"/>
      <c r="AU394" s="7">
        <f>ROUND(68,2)</f>
        <v>68</v>
      </c>
      <c r="AV394" s="6"/>
      <c r="AW394" s="7">
        <f>ROUND(29.58,2)</f>
        <v>29.58</v>
      </c>
      <c r="AX394" s="7">
        <f>ROUND(2.42,2)</f>
        <v>2.42</v>
      </c>
      <c r="AY394" s="7">
        <f>ROUND(16,2)</f>
        <v>16</v>
      </c>
      <c r="AZ394" s="6"/>
      <c r="BA394" s="6"/>
      <c r="BB394" s="6"/>
      <c r="BC394" s="6"/>
      <c r="BD394" s="7">
        <f t="shared" ref="BD394:BD406" si="29">ROUND(8,2)</f>
        <v>8</v>
      </c>
      <c r="BE394" s="7">
        <f>ROUND(2,2)</f>
        <v>2</v>
      </c>
      <c r="BF394" s="6"/>
      <c r="BG394" s="6"/>
      <c r="BH394" s="6"/>
      <c r="BI394" s="6"/>
      <c r="BJ394" s="6"/>
      <c r="BK394" s="6"/>
      <c r="BL394" s="6"/>
      <c r="BM394" s="6"/>
      <c r="BN394" s="6"/>
      <c r="BO394" s="7">
        <f>ROUND(26,2)</f>
        <v>26</v>
      </c>
      <c r="BP394" s="6"/>
      <c r="BQ394" s="7">
        <f>ROUND(13.85,2)</f>
        <v>13.85</v>
      </c>
      <c r="BR394" s="7">
        <f>ROUND(12.4,2)</f>
        <v>12.4</v>
      </c>
      <c r="BS394" s="6"/>
      <c r="BT394" s="7">
        <f>ROUND(1.65,2)</f>
        <v>1.65</v>
      </c>
      <c r="BU394" s="6"/>
      <c r="BV394" s="6"/>
      <c r="BW394" s="6"/>
      <c r="BX394" s="6"/>
      <c r="BY394" s="6"/>
      <c r="BZ394" s="6"/>
      <c r="CA394" s="7">
        <f>ROUND(5.75,2)</f>
        <v>5.75</v>
      </c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7">
        <f>ROUND(24,2)</f>
        <v>24</v>
      </c>
      <c r="CQ394" s="7">
        <f>ROUND(2921.95,2)</f>
        <v>2921.95</v>
      </c>
      <c r="CR394" s="6"/>
      <c r="CS394" s="6"/>
      <c r="CT394" s="6"/>
      <c r="CU394" s="6"/>
      <c r="CV394" s="7">
        <f>ROUND(47011.34,2)</f>
        <v>47011.34</v>
      </c>
      <c r="CW394" s="6"/>
      <c r="CX394" s="6"/>
      <c r="CY394" s="7">
        <f>ROUND(26903.3999999999,2)</f>
        <v>26903.4</v>
      </c>
      <c r="CZ394" s="6"/>
      <c r="DA394" s="6"/>
      <c r="DB394" s="6"/>
      <c r="DC394" s="6"/>
      <c r="DD394" s="7">
        <f>ROUND(19.26,2)</f>
        <v>19.260000000000002</v>
      </c>
      <c r="DE394" s="7">
        <f>ROUND(1625.14999999999,2)</f>
        <v>1625.15</v>
      </c>
      <c r="DF394" s="7">
        <f>ROUND(49.9,2)</f>
        <v>49.9</v>
      </c>
      <c r="DG394" s="7">
        <f>ROUND(59.49,2)</f>
        <v>59.49</v>
      </c>
      <c r="DH394" s="6"/>
      <c r="DI394" s="6"/>
      <c r="DJ394" s="6"/>
      <c r="DK394" s="6"/>
      <c r="DL394" s="6"/>
      <c r="DM394" s="6"/>
      <c r="DN394" s="7">
        <f>ROUND(6527.37999999999,2)</f>
        <v>6527.38</v>
      </c>
      <c r="DO394" s="6"/>
      <c r="DP394" s="7">
        <f>ROUND(1891.21,2)</f>
        <v>1891.21</v>
      </c>
      <c r="DQ394" s="6"/>
      <c r="DR394" s="6"/>
      <c r="DS394" s="6"/>
      <c r="DT394" s="6"/>
      <c r="DU394" s="6"/>
      <c r="DV394" s="6"/>
      <c r="DW394" s="6"/>
      <c r="DX394" s="6"/>
      <c r="DY394" s="7">
        <f>ROUND(9942.69,2)</f>
        <v>9942.69</v>
      </c>
      <c r="DZ394" s="6"/>
      <c r="EA394" s="7">
        <f>ROUND(5552.16,2)</f>
        <v>5552.16</v>
      </c>
      <c r="EB394" s="6"/>
      <c r="EC394" s="6"/>
      <c r="ED394" s="7">
        <f>ROUND(2189.88,2)</f>
        <v>2189.88</v>
      </c>
      <c r="EE394" s="6"/>
      <c r="EF394" s="7">
        <f>ROUND(947.97,2)</f>
        <v>947.97</v>
      </c>
      <c r="EG394" s="7">
        <f>ROUND(110.68,2)</f>
        <v>110.68</v>
      </c>
      <c r="EH394" s="7">
        <f>ROUND(508.319999999999,2)</f>
        <v>508.32</v>
      </c>
      <c r="EI394" s="6"/>
      <c r="EJ394" s="6"/>
      <c r="EK394" s="6"/>
      <c r="EL394" s="6"/>
      <c r="EM394" s="6"/>
      <c r="EN394" s="7">
        <f t="shared" ref="EN394:EN399" si="30">ROUND(256.72,2)</f>
        <v>256.72000000000003</v>
      </c>
      <c r="EO394" s="7">
        <f>ROUND(99.15,2)</f>
        <v>99.15</v>
      </c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7">
        <f>ROUND(833.06,2)</f>
        <v>833.06</v>
      </c>
      <c r="FC394" s="6"/>
      <c r="FD394" s="7">
        <f>ROUND(444.89,2)</f>
        <v>444.89</v>
      </c>
      <c r="FE394" s="7">
        <f>ROUND(567.11,2)</f>
        <v>567.11</v>
      </c>
      <c r="FF394" s="6"/>
      <c r="FG394" s="6"/>
      <c r="FH394" s="6"/>
      <c r="FI394" s="6"/>
      <c r="FJ394" s="7">
        <f>ROUND(1400,2)</f>
        <v>1400</v>
      </c>
      <c r="FK394" s="6"/>
      <c r="FL394" s="6"/>
      <c r="FM394" s="6"/>
      <c r="FN394" s="6"/>
      <c r="FO394" s="6"/>
      <c r="FP394" s="6"/>
      <c r="FQ394" s="6"/>
      <c r="FR394" s="6"/>
      <c r="FS394" s="6"/>
      <c r="FT394" s="7">
        <f t="shared" ref="FT394:FT406" si="31">ROUND(3000,2)</f>
        <v>3000</v>
      </c>
      <c r="FU394" s="6"/>
      <c r="FV394" s="6"/>
      <c r="FW394" s="6"/>
      <c r="FX394" s="7">
        <f>ROUND(801.12,2)</f>
        <v>801.12</v>
      </c>
      <c r="FY394" s="7">
        <f>ROUND(110740.88,2)</f>
        <v>110740.88</v>
      </c>
    </row>
    <row r="395" spans="1:181" x14ac:dyDescent="0.3">
      <c r="A395" s="4" t="s">
        <v>995</v>
      </c>
      <c r="B395" s="5" t="s">
        <v>1029</v>
      </c>
      <c r="C395" s="5" t="s">
        <v>181</v>
      </c>
      <c r="D395" s="5" t="s">
        <v>934</v>
      </c>
      <c r="E395" s="5" t="s">
        <v>0</v>
      </c>
      <c r="F395" s="5" t="s">
        <v>0</v>
      </c>
      <c r="G395" s="5" t="s">
        <v>183</v>
      </c>
      <c r="H395" s="8">
        <v>33.380000000000003</v>
      </c>
      <c r="I395" s="7">
        <f>ROUND(96799.1099999999,2)</f>
        <v>96799.11</v>
      </c>
      <c r="J395" s="6"/>
      <c r="K395" s="6"/>
      <c r="L395" s="6"/>
      <c r="M395" s="6"/>
      <c r="N395" s="7">
        <f>ROUND(1926.35,2)</f>
        <v>1926.35</v>
      </c>
      <c r="O395" s="6"/>
      <c r="P395" s="6"/>
      <c r="Q395" s="7">
        <f>ROUND(451.469999999999,2)</f>
        <v>451.47</v>
      </c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7">
        <f>ROUND(0.67,2)</f>
        <v>0.67</v>
      </c>
      <c r="AQ395" s="6"/>
      <c r="AR395" s="6"/>
      <c r="AS395" s="6"/>
      <c r="AT395" s="6"/>
      <c r="AU395" s="7">
        <f>ROUND(72,2)</f>
        <v>72</v>
      </c>
      <c r="AV395" s="6"/>
      <c r="AW395" s="7">
        <f>ROUND(19.42,2)</f>
        <v>19.420000000000002</v>
      </c>
      <c r="AX395" s="7">
        <f>ROUND(12.58,2)</f>
        <v>12.58</v>
      </c>
      <c r="AY395" s="7">
        <f>ROUND(71.85,2)</f>
        <v>71.849999999999994</v>
      </c>
      <c r="AZ395" s="7">
        <f>ROUND(8.15,2)</f>
        <v>8.15</v>
      </c>
      <c r="BA395" s="6"/>
      <c r="BB395" s="7">
        <f>ROUND(40,2)</f>
        <v>40</v>
      </c>
      <c r="BC395" s="6"/>
      <c r="BD395" s="7">
        <f t="shared" si="29"/>
        <v>8</v>
      </c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7">
        <f>ROUND(3.75,2)</f>
        <v>3.75</v>
      </c>
      <c r="BU395" s="6"/>
      <c r="BV395" s="6"/>
      <c r="BW395" s="6"/>
      <c r="BX395" s="6"/>
      <c r="BY395" s="6"/>
      <c r="BZ395" s="7">
        <f>ROUND(32,2)</f>
        <v>32</v>
      </c>
      <c r="CA395" s="7">
        <f>ROUND(16,2)</f>
        <v>16</v>
      </c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7">
        <f>ROUND(2662.24,2)</f>
        <v>2662.24</v>
      </c>
      <c r="CR395" s="6"/>
      <c r="CS395" s="6"/>
      <c r="CT395" s="6"/>
      <c r="CU395" s="6"/>
      <c r="CV395" s="7">
        <f>ROUND(62782.8899999999,2)</f>
        <v>62782.89</v>
      </c>
      <c r="CW395" s="6"/>
      <c r="CX395" s="6"/>
      <c r="CY395" s="7">
        <f>ROUND(22095.47,2)</f>
        <v>22095.47</v>
      </c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7">
        <f>ROUND(21.5,2)</f>
        <v>21.5</v>
      </c>
      <c r="DZ395" s="6"/>
      <c r="EA395" s="6"/>
      <c r="EB395" s="6"/>
      <c r="EC395" s="6"/>
      <c r="ED395" s="7">
        <f>ROUND(2343.84,2)</f>
        <v>2343.84</v>
      </c>
      <c r="EE395" s="6"/>
      <c r="EF395" s="7">
        <f>ROUND(638.55,2)</f>
        <v>638.54999999999995</v>
      </c>
      <c r="EG395" s="7">
        <f>ROUND(605.54,2)</f>
        <v>605.54</v>
      </c>
      <c r="EH395" s="7">
        <f>ROUND(2359.27999999999,2)</f>
        <v>2359.2800000000002</v>
      </c>
      <c r="EI395" s="7">
        <f>ROUND(404.04,2)</f>
        <v>404.04</v>
      </c>
      <c r="EJ395" s="6"/>
      <c r="EK395" s="7">
        <f>ROUND(1291.28,2)</f>
        <v>1291.28</v>
      </c>
      <c r="EL395" s="6"/>
      <c r="EM395" s="6"/>
      <c r="EN395" s="7">
        <f t="shared" si="30"/>
        <v>256.72000000000003</v>
      </c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7">
        <f>ROUND(1000,2)</f>
        <v>1000</v>
      </c>
      <c r="FK395" s="6"/>
      <c r="FL395" s="6"/>
      <c r="FM395" s="6"/>
      <c r="FN395" s="6"/>
      <c r="FO395" s="6"/>
      <c r="FP395" s="6"/>
      <c r="FQ395" s="6"/>
      <c r="FR395" s="6"/>
      <c r="FS395" s="6"/>
      <c r="FT395" s="7">
        <f t="shared" si="31"/>
        <v>3000</v>
      </c>
      <c r="FU395" s="6"/>
      <c r="FV395" s="6"/>
      <c r="FW395" s="6"/>
      <c r="FX395" s="6"/>
      <c r="FY395" s="7">
        <f>ROUND(96799.1099999999,2)</f>
        <v>96799.11</v>
      </c>
    </row>
    <row r="396" spans="1:181" x14ac:dyDescent="0.3">
      <c r="A396" s="4" t="s">
        <v>996</v>
      </c>
      <c r="B396" s="5" t="s">
        <v>1029</v>
      </c>
      <c r="C396" s="5" t="s">
        <v>181</v>
      </c>
      <c r="D396" s="5" t="s">
        <v>807</v>
      </c>
      <c r="E396" s="5" t="s">
        <v>0</v>
      </c>
      <c r="F396" s="5" t="s">
        <v>0</v>
      </c>
      <c r="G396" s="5" t="s">
        <v>183</v>
      </c>
      <c r="H396" s="8">
        <v>33.71</v>
      </c>
      <c r="I396" s="7">
        <f>ROUND(73438.53,2)</f>
        <v>73438.53</v>
      </c>
      <c r="J396" s="6"/>
      <c r="K396" s="6"/>
      <c r="L396" s="6"/>
      <c r="M396" s="6"/>
      <c r="N396" s="7">
        <f>ROUND(616.54,2)</f>
        <v>616.54</v>
      </c>
      <c r="O396" s="6"/>
      <c r="P396" s="6"/>
      <c r="Q396" s="7">
        <f>ROUND(21.45,2)</f>
        <v>21.45</v>
      </c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7">
        <f>ROUND(1105.21999999999,2)</f>
        <v>1105.22</v>
      </c>
      <c r="AF396" s="6"/>
      <c r="AG396" s="7">
        <f>ROUND(45.3999999999999,2)</f>
        <v>45.4</v>
      </c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7">
        <f>ROUND(70,2)</f>
        <v>70</v>
      </c>
      <c r="AV396" s="6"/>
      <c r="AW396" s="7">
        <f>ROUND(32,2)</f>
        <v>32</v>
      </c>
      <c r="AX396" s="6"/>
      <c r="AY396" s="7">
        <f>ROUND(195.35,2)</f>
        <v>195.35</v>
      </c>
      <c r="AZ396" s="7">
        <f>ROUND(2.65,2)</f>
        <v>2.65</v>
      </c>
      <c r="BA396" s="6"/>
      <c r="BB396" s="6"/>
      <c r="BC396" s="6"/>
      <c r="BD396" s="7">
        <f t="shared" si="29"/>
        <v>8</v>
      </c>
      <c r="BE396" s="7">
        <f>ROUND(3.17,2)</f>
        <v>3.17</v>
      </c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7">
        <f>ROUND(24,2)</f>
        <v>24</v>
      </c>
      <c r="BT396" s="6"/>
      <c r="BU396" s="6"/>
      <c r="BV396" s="6"/>
      <c r="BW396" s="6"/>
      <c r="BX396" s="6"/>
      <c r="BY396" s="7">
        <f>ROUND(36,2)</f>
        <v>36</v>
      </c>
      <c r="BZ396" s="6"/>
      <c r="CA396" s="7">
        <f>ROUND(50,2)</f>
        <v>50</v>
      </c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7">
        <f>ROUND(2209.77999999999,2)</f>
        <v>2209.7800000000002</v>
      </c>
      <c r="CR396" s="6"/>
      <c r="CS396" s="6"/>
      <c r="CT396" s="6"/>
      <c r="CU396" s="6"/>
      <c r="CV396" s="7">
        <f>ROUND(20411.63,2)</f>
        <v>20411.63</v>
      </c>
      <c r="CW396" s="6"/>
      <c r="CX396" s="6"/>
      <c r="CY396" s="7">
        <f>ROUND(1064.61,2)</f>
        <v>1064.6099999999999</v>
      </c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7">
        <f>ROUND(35724.93,2)</f>
        <v>35724.93</v>
      </c>
      <c r="DO396" s="6"/>
      <c r="DP396" s="7">
        <f>ROUND(2210.64999999999,2)</f>
        <v>2210.65</v>
      </c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7">
        <f>ROUND(2282.3,2)</f>
        <v>2282.3000000000002</v>
      </c>
      <c r="EE396" s="6"/>
      <c r="EF396" s="7">
        <f>ROUND(1034.56,2)</f>
        <v>1034.56</v>
      </c>
      <c r="EG396" s="6"/>
      <c r="EH396" s="7">
        <f>ROUND(6367.12999999999,2)</f>
        <v>6367.13</v>
      </c>
      <c r="EI396" s="7">
        <f>ROUND(131.23,2)</f>
        <v>131.22999999999999</v>
      </c>
      <c r="EJ396" s="6"/>
      <c r="EK396" s="6"/>
      <c r="EL396" s="6"/>
      <c r="EM396" s="6"/>
      <c r="EN396" s="7">
        <f t="shared" si="30"/>
        <v>256.72000000000003</v>
      </c>
      <c r="EO396" s="7">
        <f>ROUND(104.77,2)</f>
        <v>104.77</v>
      </c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7">
        <f>ROUND(850,2)</f>
        <v>850</v>
      </c>
      <c r="FK396" s="6"/>
      <c r="FL396" s="6"/>
      <c r="FM396" s="6"/>
      <c r="FN396" s="6"/>
      <c r="FO396" s="6"/>
      <c r="FP396" s="6"/>
      <c r="FQ396" s="6"/>
      <c r="FR396" s="6"/>
      <c r="FS396" s="6"/>
      <c r="FT396" s="7">
        <f t="shared" si="31"/>
        <v>3000</v>
      </c>
      <c r="FU396" s="6"/>
      <c r="FV396" s="6"/>
      <c r="FW396" s="6"/>
      <c r="FX396" s="6"/>
      <c r="FY396" s="7">
        <f>ROUND(73438.53,2)</f>
        <v>73438.53</v>
      </c>
    </row>
    <row r="397" spans="1:181" x14ac:dyDescent="0.3">
      <c r="A397" s="4" t="s">
        <v>997</v>
      </c>
      <c r="B397" s="5" t="s">
        <v>1029</v>
      </c>
      <c r="C397" s="5" t="s">
        <v>181</v>
      </c>
      <c r="D397" s="5" t="s">
        <v>289</v>
      </c>
      <c r="E397" s="5" t="s">
        <v>0</v>
      </c>
      <c r="F397" s="5" t="s">
        <v>0</v>
      </c>
      <c r="G397" s="5" t="s">
        <v>183</v>
      </c>
      <c r="H397" s="8">
        <v>33.380000000000003</v>
      </c>
      <c r="I397" s="7">
        <f>ROUND(60536.3999999999,2)</f>
        <v>60536.4</v>
      </c>
      <c r="J397" s="6"/>
      <c r="K397" s="6"/>
      <c r="L397" s="6"/>
      <c r="M397" s="6"/>
      <c r="N397" s="7">
        <f>ROUND(1100.87,2)</f>
        <v>1100.8699999999999</v>
      </c>
      <c r="O397" s="6"/>
      <c r="P397" s="6"/>
      <c r="Q397" s="7">
        <f>ROUND(3.6,2)</f>
        <v>3.6</v>
      </c>
      <c r="R397" s="6"/>
      <c r="S397" s="6"/>
      <c r="T397" s="6"/>
      <c r="U397" s="6"/>
      <c r="V397" s="7">
        <f>ROUND(8.72,2)</f>
        <v>8.7200000000000006</v>
      </c>
      <c r="W397" s="6"/>
      <c r="X397" s="6"/>
      <c r="Y397" s="6"/>
      <c r="Z397" s="6"/>
      <c r="AA397" s="6"/>
      <c r="AB397" s="6"/>
      <c r="AC397" s="6"/>
      <c r="AD397" s="6"/>
      <c r="AE397" s="7">
        <f>ROUND(273.02,2)</f>
        <v>273.02</v>
      </c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7">
        <f>ROUND(138.53,2)</f>
        <v>138.53</v>
      </c>
      <c r="AQ397" s="6"/>
      <c r="AR397" s="7">
        <f>ROUND(42.8399999999999,2)</f>
        <v>42.84</v>
      </c>
      <c r="AS397" s="6"/>
      <c r="AT397" s="6"/>
      <c r="AU397" s="7">
        <f>ROUND(50,2)</f>
        <v>50</v>
      </c>
      <c r="AV397" s="6"/>
      <c r="AW397" s="7">
        <f>ROUND(5,2)</f>
        <v>5</v>
      </c>
      <c r="AX397" s="6"/>
      <c r="AY397" s="7">
        <f>ROUND(52,2)</f>
        <v>52</v>
      </c>
      <c r="AZ397" s="6"/>
      <c r="BA397" s="6"/>
      <c r="BB397" s="7">
        <f>ROUND(8,2)</f>
        <v>8</v>
      </c>
      <c r="BC397" s="6"/>
      <c r="BD397" s="7">
        <f t="shared" si="29"/>
        <v>8</v>
      </c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7">
        <f>ROUND(10.25,2)</f>
        <v>10.25</v>
      </c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7">
        <f>ROUND(8,2)</f>
        <v>8</v>
      </c>
      <c r="CQ397" s="7">
        <f>ROUND(1708.82999999999,2)</f>
        <v>1708.83</v>
      </c>
      <c r="CR397" s="6"/>
      <c r="CS397" s="6"/>
      <c r="CT397" s="6"/>
      <c r="CU397" s="6"/>
      <c r="CV397" s="7">
        <f>ROUND(35850.4699999999,2)</f>
        <v>35850.47</v>
      </c>
      <c r="CW397" s="6"/>
      <c r="CX397" s="6"/>
      <c r="CY397" s="7">
        <f>ROUND(178.47,2)</f>
        <v>178.47</v>
      </c>
      <c r="CZ397" s="6"/>
      <c r="DA397" s="6"/>
      <c r="DB397" s="6"/>
      <c r="DC397" s="6"/>
      <c r="DD397" s="7">
        <f>ROUND(288.2,2)</f>
        <v>288.2</v>
      </c>
      <c r="DE397" s="6"/>
      <c r="DF397" s="6"/>
      <c r="DG397" s="6"/>
      <c r="DH397" s="6"/>
      <c r="DI397" s="6"/>
      <c r="DJ397" s="6"/>
      <c r="DK397" s="6"/>
      <c r="DL397" s="6"/>
      <c r="DM397" s="6"/>
      <c r="DN397" s="7">
        <f>ROUND(8881.74,2)</f>
        <v>8881.74</v>
      </c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7">
        <f>ROUND(4616.53,2)</f>
        <v>4616.53</v>
      </c>
      <c r="DZ397" s="6"/>
      <c r="EA397" s="7">
        <f>ROUND(2142.04,2)</f>
        <v>2142.04</v>
      </c>
      <c r="EB397" s="6"/>
      <c r="EC397" s="6"/>
      <c r="ED397" s="7">
        <f>ROUND(1632.1,2)</f>
        <v>1632.1</v>
      </c>
      <c r="EE397" s="6"/>
      <c r="EF397" s="7">
        <f>ROUND(160.45,2)</f>
        <v>160.44999999999999</v>
      </c>
      <c r="EG397" s="6"/>
      <c r="EH397" s="7">
        <f>ROUND(1709.48,2)</f>
        <v>1709.48</v>
      </c>
      <c r="EI397" s="6"/>
      <c r="EJ397" s="6"/>
      <c r="EK397" s="7">
        <f>ROUND(264.4,2)</f>
        <v>264.39999999999998</v>
      </c>
      <c r="EL397" s="6"/>
      <c r="EM397" s="6"/>
      <c r="EN397" s="7">
        <f t="shared" si="30"/>
        <v>256.72000000000003</v>
      </c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7">
        <f>ROUND(338.76,2)</f>
        <v>338.76</v>
      </c>
      <c r="FC397" s="6"/>
      <c r="FD397" s="6"/>
      <c r="FE397" s="6"/>
      <c r="FF397" s="6"/>
      <c r="FG397" s="6"/>
      <c r="FH397" s="6"/>
      <c r="FI397" s="6"/>
      <c r="FJ397" s="7">
        <f>ROUND(950,2)</f>
        <v>950</v>
      </c>
      <c r="FK397" s="6"/>
      <c r="FL397" s="6"/>
      <c r="FM397" s="6"/>
      <c r="FN397" s="6"/>
      <c r="FO397" s="6"/>
      <c r="FP397" s="6"/>
      <c r="FQ397" s="6"/>
      <c r="FR397" s="6"/>
      <c r="FS397" s="6"/>
      <c r="FT397" s="7">
        <f t="shared" si="31"/>
        <v>3000</v>
      </c>
      <c r="FU397" s="6"/>
      <c r="FV397" s="6"/>
      <c r="FW397" s="6"/>
      <c r="FX397" s="7">
        <f>ROUND(267.04,2)</f>
        <v>267.04000000000002</v>
      </c>
      <c r="FY397" s="7">
        <f>ROUND(60536.3999999999,2)</f>
        <v>60536.4</v>
      </c>
    </row>
    <row r="398" spans="1:181" x14ac:dyDescent="0.3">
      <c r="A398" s="4" t="s">
        <v>998</v>
      </c>
      <c r="B398" s="5" t="s">
        <v>1029</v>
      </c>
      <c r="C398" s="5" t="s">
        <v>181</v>
      </c>
      <c r="D398" s="5" t="s">
        <v>298</v>
      </c>
      <c r="E398" s="5" t="s">
        <v>0</v>
      </c>
      <c r="F398" s="5" t="s">
        <v>0</v>
      </c>
      <c r="G398" s="5" t="s">
        <v>183</v>
      </c>
      <c r="H398" s="8">
        <v>33.71</v>
      </c>
      <c r="I398" s="7">
        <f>ROUND(97797.0999999999,2)</f>
        <v>97797.1</v>
      </c>
      <c r="J398" s="6"/>
      <c r="K398" s="6"/>
      <c r="L398" s="6"/>
      <c r="M398" s="6"/>
      <c r="N398" s="7">
        <f>ROUND(1972.61,2)</f>
        <v>1972.61</v>
      </c>
      <c r="O398" s="6"/>
      <c r="P398" s="6"/>
      <c r="Q398" s="7">
        <f>ROUND(383.01,2)</f>
        <v>383.01</v>
      </c>
      <c r="R398" s="6"/>
      <c r="S398" s="6"/>
      <c r="T398" s="6"/>
      <c r="U398" s="6"/>
      <c r="V398" s="6"/>
      <c r="W398" s="7">
        <f>ROUND(25.5,2)</f>
        <v>25.5</v>
      </c>
      <c r="X398" s="7">
        <f>ROUND(1.85,2)</f>
        <v>1.85</v>
      </c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7">
        <f>ROUND(14.5,2)</f>
        <v>14.5</v>
      </c>
      <c r="AS398" s="6"/>
      <c r="AT398" s="6"/>
      <c r="AU398" s="7">
        <f>ROUND(60,2)</f>
        <v>60</v>
      </c>
      <c r="AV398" s="7">
        <f>ROUND(8,2)</f>
        <v>8</v>
      </c>
      <c r="AW398" s="7">
        <f>ROUND(1.33,2)</f>
        <v>1.33</v>
      </c>
      <c r="AX398" s="7">
        <f>ROUND(6.67,2)</f>
        <v>6.67</v>
      </c>
      <c r="AY398" s="7">
        <f>ROUND(65.33,2)</f>
        <v>65.33</v>
      </c>
      <c r="AZ398" s="7">
        <f>ROUND(6.67,2)</f>
        <v>6.67</v>
      </c>
      <c r="BA398" s="6"/>
      <c r="BB398" s="7">
        <f>ROUND(24,2)</f>
        <v>24</v>
      </c>
      <c r="BC398" s="6"/>
      <c r="BD398" s="7">
        <f t="shared" si="29"/>
        <v>8</v>
      </c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7">
        <f>ROUND(8,2)</f>
        <v>8</v>
      </c>
      <c r="BT398" s="7">
        <f>ROUND(1.25,2)</f>
        <v>1.25</v>
      </c>
      <c r="BU398" s="6"/>
      <c r="BV398" s="6"/>
      <c r="BW398" s="6"/>
      <c r="BX398" s="6"/>
      <c r="BY398" s="6"/>
      <c r="BZ398" s="6"/>
      <c r="CA398" s="7">
        <f>ROUND(8,2)</f>
        <v>8</v>
      </c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7">
        <f>ROUND(64,2)</f>
        <v>64</v>
      </c>
      <c r="CQ398" s="7">
        <f>ROUND(2658.72,2)</f>
        <v>2658.72</v>
      </c>
      <c r="CR398" s="6"/>
      <c r="CS398" s="6"/>
      <c r="CT398" s="6"/>
      <c r="CU398" s="6"/>
      <c r="CV398" s="7">
        <f>ROUND(64421.9999999999,2)</f>
        <v>64422</v>
      </c>
      <c r="CW398" s="6"/>
      <c r="CX398" s="6"/>
      <c r="CY398" s="7">
        <f>ROUND(18813.0299999999,2)</f>
        <v>18813.03</v>
      </c>
      <c r="CZ398" s="6"/>
      <c r="DA398" s="6"/>
      <c r="DB398" s="6"/>
      <c r="DC398" s="6"/>
      <c r="DD398" s="6"/>
      <c r="DE398" s="7">
        <f>ROUND(1268.09,2)</f>
        <v>1268.0899999999999</v>
      </c>
      <c r="DF398" s="7">
        <f>ROUND(60.84,2)</f>
        <v>60.84</v>
      </c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7">
        <f>ROUND(713.46,2)</f>
        <v>713.46</v>
      </c>
      <c r="EB398" s="6"/>
      <c r="EC398" s="6"/>
      <c r="ED398" s="7">
        <f>ROUND(1953.72,2)</f>
        <v>1953.72</v>
      </c>
      <c r="EE398" s="7">
        <f>ROUND(396.64,2)</f>
        <v>396.64</v>
      </c>
      <c r="EF398" s="7">
        <f>ROUND(42.68,2)</f>
        <v>42.68</v>
      </c>
      <c r="EG398" s="7">
        <f>ROUND(321.06,2)</f>
        <v>321.06</v>
      </c>
      <c r="EH398" s="7">
        <f>ROUND(2142.52,2)</f>
        <v>2142.52</v>
      </c>
      <c r="EI398" s="7">
        <f>ROUND(321.06,2)</f>
        <v>321.06</v>
      </c>
      <c r="EJ398" s="6"/>
      <c r="EK398" s="7">
        <f>ROUND(777.84,2)</f>
        <v>777.84</v>
      </c>
      <c r="EL398" s="6"/>
      <c r="EM398" s="6"/>
      <c r="EN398" s="7">
        <f t="shared" si="30"/>
        <v>256.72000000000003</v>
      </c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7">
        <f>ROUND(1150,2)</f>
        <v>1150</v>
      </c>
      <c r="FK398" s="6"/>
      <c r="FL398" s="6"/>
      <c r="FM398" s="6"/>
      <c r="FN398" s="6"/>
      <c r="FO398" s="6"/>
      <c r="FP398" s="6"/>
      <c r="FQ398" s="6"/>
      <c r="FR398" s="6"/>
      <c r="FS398" s="6"/>
      <c r="FT398" s="7">
        <f t="shared" si="31"/>
        <v>3000</v>
      </c>
      <c r="FU398" s="6"/>
      <c r="FV398" s="6"/>
      <c r="FW398" s="6"/>
      <c r="FX398" s="7">
        <f>ROUND(2157.44,2)</f>
        <v>2157.44</v>
      </c>
      <c r="FY398" s="7">
        <f>ROUND(97797.0999999999,2)</f>
        <v>97797.1</v>
      </c>
    </row>
    <row r="399" spans="1:181" x14ac:dyDescent="0.3">
      <c r="A399" s="4" t="s">
        <v>999</v>
      </c>
      <c r="B399" s="5" t="s">
        <v>1029</v>
      </c>
      <c r="C399" s="5" t="s">
        <v>181</v>
      </c>
      <c r="D399" s="5" t="s">
        <v>335</v>
      </c>
      <c r="E399" s="5" t="s">
        <v>0</v>
      </c>
      <c r="F399" s="5" t="s">
        <v>0</v>
      </c>
      <c r="G399" s="5" t="s">
        <v>183</v>
      </c>
      <c r="H399" s="8">
        <v>33.380000000000003</v>
      </c>
      <c r="I399" s="7">
        <f>ROUND(83112.97,2)</f>
        <v>83112.97</v>
      </c>
      <c r="J399" s="6"/>
      <c r="K399" s="6"/>
      <c r="L399" s="6"/>
      <c r="M399" s="6"/>
      <c r="N399" s="7">
        <f>ROUND(1046.93,2)</f>
        <v>1046.93</v>
      </c>
      <c r="O399" s="6"/>
      <c r="P399" s="6"/>
      <c r="Q399" s="7">
        <f>ROUND(128.959999999999,2)</f>
        <v>128.96</v>
      </c>
      <c r="R399" s="6"/>
      <c r="S399" s="6"/>
      <c r="T399" s="6"/>
      <c r="U399" s="6"/>
      <c r="V399" s="7">
        <f>ROUND(8.02,2)</f>
        <v>8.02</v>
      </c>
      <c r="W399" s="7">
        <f>ROUND(30.0499999999999,2)</f>
        <v>30.05</v>
      </c>
      <c r="X399" s="6"/>
      <c r="Y399" s="7">
        <f>ROUND(0.5,2)</f>
        <v>0.5</v>
      </c>
      <c r="Z399" s="6"/>
      <c r="AA399" s="6"/>
      <c r="AB399" s="6"/>
      <c r="AC399" s="6"/>
      <c r="AD399" s="6"/>
      <c r="AE399" s="7">
        <f>ROUND(332.08,2)</f>
        <v>332.08</v>
      </c>
      <c r="AF399" s="6"/>
      <c r="AG399" s="7">
        <f>ROUND(71.1699999999999,2)</f>
        <v>71.17</v>
      </c>
      <c r="AH399" s="6"/>
      <c r="AI399" s="6"/>
      <c r="AJ399" s="6"/>
      <c r="AK399" s="6"/>
      <c r="AL399" s="6"/>
      <c r="AM399" s="6"/>
      <c r="AN399" s="6"/>
      <c r="AO399" s="6"/>
      <c r="AP399" s="7">
        <f>ROUND(445.76,2)</f>
        <v>445.76</v>
      </c>
      <c r="AQ399" s="6"/>
      <c r="AR399" s="7">
        <f>ROUND(73.44,2)</f>
        <v>73.44</v>
      </c>
      <c r="AS399" s="6"/>
      <c r="AT399" s="6"/>
      <c r="AU399" s="7">
        <f>ROUND(72,2)</f>
        <v>72</v>
      </c>
      <c r="AV399" s="6"/>
      <c r="AW399" s="7">
        <f>ROUND(11.33,2)</f>
        <v>11.33</v>
      </c>
      <c r="AX399" s="7">
        <f>ROUND(4.67,2)</f>
        <v>4.67</v>
      </c>
      <c r="AY399" s="7">
        <f>ROUND(21.5,2)</f>
        <v>21.5</v>
      </c>
      <c r="AZ399" s="7">
        <f>ROUND(2.5,2)</f>
        <v>2.5</v>
      </c>
      <c r="BA399" s="6"/>
      <c r="BB399" s="7">
        <f>ROUND(26,2)</f>
        <v>26</v>
      </c>
      <c r="BC399" s="6"/>
      <c r="BD399" s="7">
        <f t="shared" si="29"/>
        <v>8</v>
      </c>
      <c r="BE399" s="7">
        <f>ROUND(1.43,2)</f>
        <v>1.43</v>
      </c>
      <c r="BF399" s="6"/>
      <c r="BG399" s="6"/>
      <c r="BH399" s="6"/>
      <c r="BI399" s="6"/>
      <c r="BJ399" s="6"/>
      <c r="BK399" s="6"/>
      <c r="BL399" s="6"/>
      <c r="BM399" s="6"/>
      <c r="BN399" s="6"/>
      <c r="BO399" s="7">
        <f>ROUND(37.5,2)</f>
        <v>37.5</v>
      </c>
      <c r="BP399" s="6"/>
      <c r="BQ399" s="6"/>
      <c r="BR399" s="6"/>
      <c r="BS399" s="7">
        <f>ROUND(48,2)</f>
        <v>48</v>
      </c>
      <c r="BT399" s="7">
        <f>ROUND(2.45,2)</f>
        <v>2.4500000000000002</v>
      </c>
      <c r="BU399" s="6"/>
      <c r="BV399" s="6"/>
      <c r="BW399" s="6"/>
      <c r="BX399" s="7">
        <f>ROUND(48,2)</f>
        <v>48</v>
      </c>
      <c r="BY399" s="7">
        <f>ROUND(18,2)</f>
        <v>18</v>
      </c>
      <c r="BZ399" s="6"/>
      <c r="CA399" s="7">
        <f>ROUND(44,2)</f>
        <v>44</v>
      </c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7">
        <f>ROUND(2482.29,2)</f>
        <v>2482.29</v>
      </c>
      <c r="CR399" s="6"/>
      <c r="CS399" s="6"/>
      <c r="CT399" s="6"/>
      <c r="CU399" s="6"/>
      <c r="CV399" s="7">
        <f>ROUND(33579.18,2)</f>
        <v>33579.18</v>
      </c>
      <c r="CW399" s="6"/>
      <c r="CX399" s="6"/>
      <c r="CY399" s="7">
        <f>ROUND(6246.38,2)</f>
        <v>6246.38</v>
      </c>
      <c r="CZ399" s="6"/>
      <c r="DA399" s="6"/>
      <c r="DB399" s="6"/>
      <c r="DC399" s="6"/>
      <c r="DD399" s="7">
        <f>ROUND(266.26,2)</f>
        <v>266.26</v>
      </c>
      <c r="DE399" s="7">
        <f>ROUND(1459.06,2)</f>
        <v>1459.06</v>
      </c>
      <c r="DF399" s="6"/>
      <c r="DG399" s="7">
        <f>ROUND(22.87,2)</f>
        <v>22.87</v>
      </c>
      <c r="DH399" s="6"/>
      <c r="DI399" s="6"/>
      <c r="DJ399" s="6"/>
      <c r="DK399" s="6"/>
      <c r="DL399" s="6"/>
      <c r="DM399" s="6"/>
      <c r="DN399" s="7">
        <f>ROUND(10649.63,2)</f>
        <v>10649.63</v>
      </c>
      <c r="DO399" s="6"/>
      <c r="DP399" s="7">
        <f>ROUND(3465.08999999999,2)</f>
        <v>3465.09</v>
      </c>
      <c r="DQ399" s="6"/>
      <c r="DR399" s="6"/>
      <c r="DS399" s="6"/>
      <c r="DT399" s="6"/>
      <c r="DU399" s="6"/>
      <c r="DV399" s="6"/>
      <c r="DW399" s="6"/>
      <c r="DX399" s="6"/>
      <c r="DY399" s="7">
        <f>ROUND(14274.02,2)</f>
        <v>14274.02</v>
      </c>
      <c r="DZ399" s="6"/>
      <c r="EA399" s="7">
        <f>ROUND(3573.91999999999,2)</f>
        <v>3573.92</v>
      </c>
      <c r="EB399" s="6"/>
      <c r="EC399" s="6"/>
      <c r="ED399" s="7">
        <f>ROUND(2292.64,2)</f>
        <v>2292.64</v>
      </c>
      <c r="EE399" s="6"/>
      <c r="EF399" s="7">
        <f>ROUND(345.45,2)</f>
        <v>345.45</v>
      </c>
      <c r="EG399" s="7">
        <f>ROUND(213.58,2)</f>
        <v>213.58</v>
      </c>
      <c r="EH399" s="7">
        <f>ROUND(668.34,2)</f>
        <v>668.34</v>
      </c>
      <c r="EI399" s="7">
        <f>ROUND(114.34,2)</f>
        <v>114.34</v>
      </c>
      <c r="EJ399" s="6"/>
      <c r="EK399" s="7">
        <f>ROUND(792.74,2)</f>
        <v>792.74</v>
      </c>
      <c r="EL399" s="6"/>
      <c r="EM399" s="6"/>
      <c r="EN399" s="7">
        <f t="shared" si="30"/>
        <v>256.72000000000003</v>
      </c>
      <c r="EO399" s="7">
        <f>ROUND(70.89,2)</f>
        <v>70.89</v>
      </c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7">
        <f>ROUND(1171.86,2)</f>
        <v>1171.8599999999999</v>
      </c>
      <c r="FC399" s="6"/>
      <c r="FD399" s="6"/>
      <c r="FE399" s="6"/>
      <c r="FF399" s="6"/>
      <c r="FG399" s="6"/>
      <c r="FH399" s="6"/>
      <c r="FI399" s="6"/>
      <c r="FJ399" s="7">
        <f>ROUND(650,2)</f>
        <v>650</v>
      </c>
      <c r="FK399" s="6"/>
      <c r="FL399" s="6"/>
      <c r="FM399" s="6"/>
      <c r="FN399" s="6"/>
      <c r="FO399" s="6"/>
      <c r="FP399" s="6"/>
      <c r="FQ399" s="6"/>
      <c r="FR399" s="6"/>
      <c r="FS399" s="6"/>
      <c r="FT399" s="7">
        <f t="shared" si="31"/>
        <v>3000</v>
      </c>
      <c r="FU399" s="6"/>
      <c r="FV399" s="6"/>
      <c r="FW399" s="6"/>
      <c r="FX399" s="6"/>
      <c r="FY399" s="7">
        <f>ROUND(83112.97,2)</f>
        <v>83112.97</v>
      </c>
    </row>
    <row r="400" spans="1:181" x14ac:dyDescent="0.3">
      <c r="A400" s="4" t="s">
        <v>1000</v>
      </c>
      <c r="B400" s="5" t="s">
        <v>1029</v>
      </c>
      <c r="C400" s="5" t="s">
        <v>181</v>
      </c>
      <c r="D400" s="5" t="s">
        <v>303</v>
      </c>
      <c r="E400" s="5" t="s">
        <v>0</v>
      </c>
      <c r="F400" s="5" t="s">
        <v>0</v>
      </c>
      <c r="G400" s="5" t="s">
        <v>183</v>
      </c>
      <c r="H400" s="9">
        <v>33.380000000000003</v>
      </c>
      <c r="I400" s="7">
        <f>ROUND(80443.3199999999,2)</f>
        <v>80443.320000000007</v>
      </c>
      <c r="J400" s="6"/>
      <c r="K400" s="6"/>
      <c r="L400" s="6"/>
      <c r="M400" s="6"/>
      <c r="N400" s="7">
        <f>ROUND(946.14,2)</f>
        <v>946.14</v>
      </c>
      <c r="O400" s="6"/>
      <c r="P400" s="6"/>
      <c r="Q400" s="7">
        <f>ROUND(123.05,2)</f>
        <v>123.05</v>
      </c>
      <c r="R400" s="6"/>
      <c r="S400" s="6"/>
      <c r="T400" s="6"/>
      <c r="U400" s="6"/>
      <c r="V400" s="7">
        <f>ROUND(10.48,2)</f>
        <v>10.48</v>
      </c>
      <c r="W400" s="6"/>
      <c r="X400" s="7">
        <f>ROUND(0.75,2)</f>
        <v>0.75</v>
      </c>
      <c r="Y400" s="7">
        <f>ROUND(0.25,2)</f>
        <v>0.25</v>
      </c>
      <c r="Z400" s="6"/>
      <c r="AA400" s="6"/>
      <c r="AB400" s="6"/>
      <c r="AC400" s="6"/>
      <c r="AD400" s="6"/>
      <c r="AE400" s="7">
        <f>ROUND(259.44,2)</f>
        <v>259.44</v>
      </c>
      <c r="AF400" s="6"/>
      <c r="AG400" s="7">
        <f>ROUND(54.62,2)</f>
        <v>54.62</v>
      </c>
      <c r="AH400" s="6"/>
      <c r="AI400" s="6"/>
      <c r="AJ400" s="6"/>
      <c r="AK400" s="6"/>
      <c r="AL400" s="6"/>
      <c r="AM400" s="6"/>
      <c r="AN400" s="6"/>
      <c r="AO400" s="6"/>
      <c r="AP400" s="7">
        <f>ROUND(735.349999999999,2)</f>
        <v>735.35</v>
      </c>
      <c r="AQ400" s="6"/>
      <c r="AR400" s="7">
        <f>ROUND(75.64,2)</f>
        <v>75.64</v>
      </c>
      <c r="AS400" s="6"/>
      <c r="AT400" s="6"/>
      <c r="AU400" s="7">
        <f>ROUND(72,2)</f>
        <v>72</v>
      </c>
      <c r="AV400" s="6"/>
      <c r="AW400" s="7">
        <f>ROUND(32,2)</f>
        <v>32</v>
      </c>
      <c r="AX400" s="6"/>
      <c r="AY400" s="7">
        <f>ROUND(16,2)</f>
        <v>16</v>
      </c>
      <c r="AZ400" s="6"/>
      <c r="BA400" s="6"/>
      <c r="BB400" s="7">
        <f>ROUND(16,2)</f>
        <v>16</v>
      </c>
      <c r="BC400" s="6"/>
      <c r="BD400" s="7">
        <f t="shared" si="29"/>
        <v>8</v>
      </c>
      <c r="BE400" s="7">
        <f>ROUND(2,2)</f>
        <v>2</v>
      </c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7">
        <f>ROUND(1.13,2)</f>
        <v>1.1299999999999999</v>
      </c>
      <c r="BU400" s="7">
        <f>ROUND(8,2)</f>
        <v>8</v>
      </c>
      <c r="BV400" s="6"/>
      <c r="BW400" s="6"/>
      <c r="BX400" s="6"/>
      <c r="BY400" s="7">
        <f>ROUND(24,2)</f>
        <v>24</v>
      </c>
      <c r="BZ400" s="6"/>
      <c r="CA400" s="7">
        <f>ROUND(16,2)</f>
        <v>16</v>
      </c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7">
        <f>ROUND(8,2)</f>
        <v>8</v>
      </c>
      <c r="CQ400" s="7">
        <f>ROUND(2408.85,2)</f>
        <v>2408.85</v>
      </c>
      <c r="CR400" s="6"/>
      <c r="CS400" s="6"/>
      <c r="CT400" s="6"/>
      <c r="CU400" s="6"/>
      <c r="CV400" s="7">
        <f>ROUND(29056.35,2)</f>
        <v>29056.35</v>
      </c>
      <c r="CW400" s="6"/>
      <c r="CX400" s="6"/>
      <c r="CY400" s="7">
        <f>ROUND(5803.32,2)</f>
        <v>5803.32</v>
      </c>
      <c r="CZ400" s="6"/>
      <c r="DA400" s="6"/>
      <c r="DB400" s="6"/>
      <c r="DC400" s="6"/>
      <c r="DD400" s="7">
        <f>ROUND(349.82,2)</f>
        <v>349.82</v>
      </c>
      <c r="DE400" s="6"/>
      <c r="DF400" s="7">
        <f>ROUND(24.79,2)</f>
        <v>24.79</v>
      </c>
      <c r="DG400" s="7">
        <f>ROUND(12.39,2)</f>
        <v>12.39</v>
      </c>
      <c r="DH400" s="6"/>
      <c r="DI400" s="6"/>
      <c r="DJ400" s="6"/>
      <c r="DK400" s="6"/>
      <c r="DL400" s="6"/>
      <c r="DM400" s="6"/>
      <c r="DN400" s="7">
        <f>ROUND(7989.34999999999,2)</f>
        <v>7989.35</v>
      </c>
      <c r="DO400" s="6"/>
      <c r="DP400" s="7">
        <f>ROUND(2515.27999999999,2)</f>
        <v>2515.2800000000002</v>
      </c>
      <c r="DQ400" s="6"/>
      <c r="DR400" s="6"/>
      <c r="DS400" s="6"/>
      <c r="DT400" s="6"/>
      <c r="DU400" s="6"/>
      <c r="DV400" s="6"/>
      <c r="DW400" s="6"/>
      <c r="DX400" s="6"/>
      <c r="DY400" s="7">
        <f>ROUND(22603.3299999999,2)</f>
        <v>22603.33</v>
      </c>
      <c r="DZ400" s="6"/>
      <c r="EA400" s="7">
        <f>ROUND(3565.00999999999,2)</f>
        <v>3565.01</v>
      </c>
      <c r="EB400" s="6"/>
      <c r="EC400" s="6"/>
      <c r="ED400" s="7">
        <f>ROUND(2201.92,2)</f>
        <v>2201.92</v>
      </c>
      <c r="EE400" s="6"/>
      <c r="EF400" s="7">
        <f>ROUND(937.04,2)</f>
        <v>937.04</v>
      </c>
      <c r="EG400" s="6"/>
      <c r="EH400" s="7">
        <f>ROUND(462.08,2)</f>
        <v>462.08</v>
      </c>
      <c r="EI400" s="6"/>
      <c r="EJ400" s="6"/>
      <c r="EK400" s="7">
        <f>ROUND(462.08,2)</f>
        <v>462.08</v>
      </c>
      <c r="EL400" s="6"/>
      <c r="EM400" s="6"/>
      <c r="EN400" s="7">
        <f>ROUND(243.92,2)</f>
        <v>243.92</v>
      </c>
      <c r="EO400" s="7">
        <f>ROUND(99.6,2)</f>
        <v>99.6</v>
      </c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7">
        <f>ROUND(850,2)</f>
        <v>850</v>
      </c>
      <c r="FK400" s="6"/>
      <c r="FL400" s="6"/>
      <c r="FM400" s="6"/>
      <c r="FN400" s="6"/>
      <c r="FO400" s="6"/>
      <c r="FP400" s="6"/>
      <c r="FQ400" s="6"/>
      <c r="FR400" s="6"/>
      <c r="FS400" s="6"/>
      <c r="FT400" s="7">
        <f t="shared" si="31"/>
        <v>3000</v>
      </c>
      <c r="FU400" s="6"/>
      <c r="FV400" s="6"/>
      <c r="FW400" s="6"/>
      <c r="FX400" s="7">
        <f>ROUND(267.04,2)</f>
        <v>267.04000000000002</v>
      </c>
      <c r="FY400" s="7">
        <f>ROUND(80443.3199999999,2)</f>
        <v>80443.320000000007</v>
      </c>
    </row>
    <row r="401" spans="1:181" x14ac:dyDescent="0.3">
      <c r="A401" s="4" t="s">
        <v>1004</v>
      </c>
      <c r="B401" s="5" t="s">
        <v>1029</v>
      </c>
      <c r="C401" s="5" t="s">
        <v>181</v>
      </c>
      <c r="D401" s="5" t="s">
        <v>344</v>
      </c>
      <c r="E401" s="5" t="s">
        <v>0</v>
      </c>
      <c r="F401" s="5" t="s">
        <v>0</v>
      </c>
      <c r="G401" s="5" t="s">
        <v>183</v>
      </c>
      <c r="H401" s="8">
        <v>33.380000000000003</v>
      </c>
      <c r="I401" s="7">
        <f>ROUND(72399.8,2)</f>
        <v>72399.8</v>
      </c>
      <c r="J401" s="6"/>
      <c r="K401" s="6"/>
      <c r="L401" s="6"/>
      <c r="M401" s="6"/>
      <c r="N401" s="7">
        <f>ROUND(1217.52,2)</f>
        <v>1217.52</v>
      </c>
      <c r="O401" s="6"/>
      <c r="P401" s="6"/>
      <c r="Q401" s="7">
        <f>ROUND(179.98,2)</f>
        <v>179.98</v>
      </c>
      <c r="R401" s="6"/>
      <c r="S401" s="6"/>
      <c r="T401" s="6"/>
      <c r="U401" s="6"/>
      <c r="V401" s="6"/>
      <c r="W401" s="6"/>
      <c r="X401" s="7">
        <f>ROUND(0.42,2)</f>
        <v>0.42</v>
      </c>
      <c r="Y401" s="6"/>
      <c r="Z401" s="6"/>
      <c r="AA401" s="6"/>
      <c r="AB401" s="6"/>
      <c r="AC401" s="6"/>
      <c r="AD401" s="6"/>
      <c r="AE401" s="7">
        <f>ROUND(150.03,2)</f>
        <v>150.03</v>
      </c>
      <c r="AF401" s="6"/>
      <c r="AG401" s="7">
        <f>ROUND(26.85,2)</f>
        <v>26.85</v>
      </c>
      <c r="AH401" s="6"/>
      <c r="AI401" s="6"/>
      <c r="AJ401" s="6"/>
      <c r="AK401" s="6"/>
      <c r="AL401" s="6"/>
      <c r="AM401" s="6"/>
      <c r="AN401" s="6"/>
      <c r="AO401" s="6"/>
      <c r="AP401" s="7">
        <f>ROUND(279.63,2)</f>
        <v>279.63</v>
      </c>
      <c r="AQ401" s="6"/>
      <c r="AR401" s="7">
        <f>ROUND(3.76999999999999,2)</f>
        <v>3.77</v>
      </c>
      <c r="AS401" s="6"/>
      <c r="AT401" s="6"/>
      <c r="AU401" s="7">
        <f>ROUND(64,2)</f>
        <v>64</v>
      </c>
      <c r="AV401" s="6"/>
      <c r="AW401" s="7">
        <f>ROUND(44,2)</f>
        <v>44</v>
      </c>
      <c r="AX401" s="6"/>
      <c r="AY401" s="7">
        <f>ROUND(26,2)</f>
        <v>26</v>
      </c>
      <c r="AZ401" s="6"/>
      <c r="BA401" s="6"/>
      <c r="BB401" s="7">
        <f>ROUND(16,2)</f>
        <v>16</v>
      </c>
      <c r="BC401" s="6"/>
      <c r="BD401" s="7">
        <f t="shared" si="29"/>
        <v>8</v>
      </c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7">
        <f>ROUND(21.58,2)</f>
        <v>21.58</v>
      </c>
      <c r="BP401" s="6"/>
      <c r="BQ401" s="6"/>
      <c r="BR401" s="6"/>
      <c r="BS401" s="7">
        <f>ROUND(80,2)</f>
        <v>80</v>
      </c>
      <c r="BT401" s="7">
        <f>ROUND(5.33,2)</f>
        <v>5.33</v>
      </c>
      <c r="BU401" s="6"/>
      <c r="BV401" s="6"/>
      <c r="BW401" s="7">
        <f>ROUND(8,2)</f>
        <v>8</v>
      </c>
      <c r="BX401" s="6"/>
      <c r="BY401" s="7">
        <f>ROUND(16,2)</f>
        <v>16</v>
      </c>
      <c r="BZ401" s="6"/>
      <c r="CA401" s="7">
        <f>ROUND(26,2)</f>
        <v>26</v>
      </c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7">
        <f>ROUND(2173.11,2)</f>
        <v>2173.11</v>
      </c>
      <c r="CR401" s="6"/>
      <c r="CS401" s="6"/>
      <c r="CT401" s="6"/>
      <c r="CU401" s="6"/>
      <c r="CV401" s="7">
        <f>ROUND(39615.8699999999,2)</f>
        <v>39615.870000000003</v>
      </c>
      <c r="CW401" s="6"/>
      <c r="CX401" s="6"/>
      <c r="CY401" s="7">
        <f>ROUND(8714.37,2)</f>
        <v>8714.3700000000008</v>
      </c>
      <c r="CZ401" s="6"/>
      <c r="DA401" s="6"/>
      <c r="DB401" s="6"/>
      <c r="DC401" s="6"/>
      <c r="DD401" s="6"/>
      <c r="DE401" s="6"/>
      <c r="DF401" s="7">
        <f>ROUND(12.87,2)</f>
        <v>12.87</v>
      </c>
      <c r="DG401" s="6"/>
      <c r="DH401" s="6"/>
      <c r="DI401" s="6"/>
      <c r="DJ401" s="6"/>
      <c r="DK401" s="6"/>
      <c r="DL401" s="6"/>
      <c r="DM401" s="6"/>
      <c r="DN401" s="7">
        <f>ROUND(4804.96,2)</f>
        <v>4804.96</v>
      </c>
      <c r="DO401" s="6"/>
      <c r="DP401" s="7">
        <f>ROUND(1307.91,2)</f>
        <v>1307.9100000000001</v>
      </c>
      <c r="DQ401" s="6"/>
      <c r="DR401" s="6"/>
      <c r="DS401" s="6"/>
      <c r="DT401" s="6"/>
      <c r="DU401" s="6"/>
      <c r="DV401" s="6"/>
      <c r="DW401" s="6"/>
      <c r="DX401" s="6"/>
      <c r="DY401" s="7">
        <f>ROUND(8730.28999999999,2)</f>
        <v>8730.2900000000009</v>
      </c>
      <c r="DZ401" s="6"/>
      <c r="EA401" s="7">
        <f>ROUND(181.9,2)</f>
        <v>181.9</v>
      </c>
      <c r="EB401" s="6"/>
      <c r="EC401" s="6"/>
      <c r="ED401" s="7">
        <f>ROUND(2055.12,2)</f>
        <v>2055.12</v>
      </c>
      <c r="EE401" s="6"/>
      <c r="EF401" s="7">
        <f>ROUND(1413.24,2)</f>
        <v>1413.24</v>
      </c>
      <c r="EG401" s="6"/>
      <c r="EH401" s="7">
        <f>ROUND(833.699999999999,2)</f>
        <v>833.7</v>
      </c>
      <c r="EI401" s="6"/>
      <c r="EJ401" s="6"/>
      <c r="EK401" s="7">
        <f>ROUND(487.84,2)</f>
        <v>487.84</v>
      </c>
      <c r="EL401" s="6"/>
      <c r="EM401" s="6"/>
      <c r="EN401" s="7">
        <f>ROUND(256.72,2)</f>
        <v>256.72000000000003</v>
      </c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7">
        <f>ROUND(710.01,2)</f>
        <v>710.01</v>
      </c>
      <c r="FC401" s="6"/>
      <c r="FD401" s="6"/>
      <c r="FE401" s="6"/>
      <c r="FF401" s="6"/>
      <c r="FG401" s="6"/>
      <c r="FH401" s="6"/>
      <c r="FI401" s="6"/>
      <c r="FJ401" s="7">
        <f>ROUND(275,2)</f>
        <v>275</v>
      </c>
      <c r="FK401" s="6"/>
      <c r="FL401" s="6"/>
      <c r="FM401" s="6"/>
      <c r="FN401" s="6"/>
      <c r="FO401" s="6"/>
      <c r="FP401" s="6"/>
      <c r="FQ401" s="6"/>
      <c r="FR401" s="6"/>
      <c r="FS401" s="6"/>
      <c r="FT401" s="7">
        <f t="shared" si="31"/>
        <v>3000</v>
      </c>
      <c r="FU401" s="6"/>
      <c r="FV401" s="6"/>
      <c r="FW401" s="6"/>
      <c r="FX401" s="6"/>
      <c r="FY401" s="7">
        <f>ROUND(72399.8,2)</f>
        <v>72399.8</v>
      </c>
    </row>
    <row r="402" spans="1:181" x14ac:dyDescent="0.3">
      <c r="A402" s="4" t="s">
        <v>1008</v>
      </c>
      <c r="B402" s="5" t="s">
        <v>1029</v>
      </c>
      <c r="C402" s="5" t="s">
        <v>181</v>
      </c>
      <c r="D402" s="5" t="s">
        <v>309</v>
      </c>
      <c r="E402" s="5" t="s">
        <v>0</v>
      </c>
      <c r="F402" s="5" t="s">
        <v>0</v>
      </c>
      <c r="G402" s="5" t="s">
        <v>183</v>
      </c>
      <c r="H402" s="8">
        <v>33.380000000000003</v>
      </c>
      <c r="I402" s="7">
        <f>ROUND(114072.34,2)</f>
        <v>114072.34</v>
      </c>
      <c r="J402" s="6"/>
      <c r="K402" s="6"/>
      <c r="L402" s="6"/>
      <c r="M402" s="6"/>
      <c r="N402" s="7">
        <f>ROUND(1875.63999999999,2)</f>
        <v>1875.64</v>
      </c>
      <c r="O402" s="6"/>
      <c r="P402" s="6"/>
      <c r="Q402" s="7">
        <f>ROUND(708.239999999999,2)</f>
        <v>708.24</v>
      </c>
      <c r="R402" s="6"/>
      <c r="S402" s="6"/>
      <c r="T402" s="6"/>
      <c r="U402" s="6"/>
      <c r="V402" s="7">
        <f>ROUND(6.92,2)</f>
        <v>6.92</v>
      </c>
      <c r="W402" s="7">
        <f>ROUND(7.17,2)</f>
        <v>7.17</v>
      </c>
      <c r="X402" s="7">
        <f>ROUND(3.08,2)</f>
        <v>3.08</v>
      </c>
      <c r="Y402" s="7">
        <f>ROUND(4.03,2)</f>
        <v>4.03</v>
      </c>
      <c r="Z402" s="6"/>
      <c r="AA402" s="6"/>
      <c r="AB402" s="6"/>
      <c r="AC402" s="6"/>
      <c r="AD402" s="6"/>
      <c r="AE402" s="7">
        <f>ROUND(73.45,2)</f>
        <v>73.45</v>
      </c>
      <c r="AF402" s="6"/>
      <c r="AG402" s="7">
        <f>ROUND(23.77,2)</f>
        <v>23.77</v>
      </c>
      <c r="AH402" s="6"/>
      <c r="AI402" s="6"/>
      <c r="AJ402" s="6"/>
      <c r="AK402" s="6"/>
      <c r="AL402" s="6"/>
      <c r="AM402" s="6"/>
      <c r="AN402" s="6"/>
      <c r="AO402" s="6"/>
      <c r="AP402" s="7">
        <f>ROUND(52.25,2)</f>
        <v>52.25</v>
      </c>
      <c r="AQ402" s="6"/>
      <c r="AR402" s="7">
        <f>ROUND(24,2)</f>
        <v>24</v>
      </c>
      <c r="AS402" s="6"/>
      <c r="AT402" s="6"/>
      <c r="AU402" s="7">
        <f>ROUND(62,2)</f>
        <v>62</v>
      </c>
      <c r="AV402" s="6"/>
      <c r="AW402" s="7">
        <f>ROUND(8,2)</f>
        <v>8</v>
      </c>
      <c r="AX402" s="6"/>
      <c r="AY402" s="6"/>
      <c r="AZ402" s="6"/>
      <c r="BA402" s="6"/>
      <c r="BB402" s="7">
        <f>ROUND(32,2)</f>
        <v>32</v>
      </c>
      <c r="BC402" s="6"/>
      <c r="BD402" s="7">
        <f t="shared" si="29"/>
        <v>8</v>
      </c>
      <c r="BE402" s="7">
        <f>ROUND(1.75,2)</f>
        <v>1.75</v>
      </c>
      <c r="BF402" s="6"/>
      <c r="BG402" s="6"/>
      <c r="BH402" s="6"/>
      <c r="BI402" s="6"/>
      <c r="BJ402" s="6"/>
      <c r="BK402" s="6"/>
      <c r="BL402" s="6"/>
      <c r="BM402" s="6"/>
      <c r="BN402" s="6"/>
      <c r="BO402" s="7">
        <f>ROUND(20,2)</f>
        <v>20</v>
      </c>
      <c r="BP402" s="6"/>
      <c r="BQ402" s="6"/>
      <c r="BR402" s="6"/>
      <c r="BS402" s="7">
        <f>ROUND(8,2)</f>
        <v>8</v>
      </c>
      <c r="BT402" s="6"/>
      <c r="BU402" s="6"/>
      <c r="BV402" s="6"/>
      <c r="BW402" s="7">
        <f>ROUND(10,2)</f>
        <v>10</v>
      </c>
      <c r="BX402" s="6"/>
      <c r="BY402" s="7">
        <f>ROUND(8,2)</f>
        <v>8</v>
      </c>
      <c r="BZ402" s="6"/>
      <c r="CA402" s="7">
        <f>ROUND(16,2)</f>
        <v>16</v>
      </c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7">
        <f>ROUND(48,2)</f>
        <v>48</v>
      </c>
      <c r="CQ402" s="7">
        <f>ROUND(3000.3,2)</f>
        <v>3000.3</v>
      </c>
      <c r="CR402" s="6"/>
      <c r="CS402" s="6"/>
      <c r="CT402" s="6"/>
      <c r="CU402" s="6"/>
      <c r="CV402" s="7">
        <f>ROUND(61170.9399999999,2)</f>
        <v>61170.94</v>
      </c>
      <c r="CW402" s="6"/>
      <c r="CX402" s="6"/>
      <c r="CY402" s="7">
        <f>ROUND(34551.46,2)</f>
        <v>34551.46</v>
      </c>
      <c r="CZ402" s="6"/>
      <c r="DA402" s="6"/>
      <c r="DB402" s="6"/>
      <c r="DC402" s="6"/>
      <c r="DD402" s="7">
        <f>ROUND(224.7,2)</f>
        <v>224.7</v>
      </c>
      <c r="DE402" s="7">
        <f>ROUND(357.07,2)</f>
        <v>357.07</v>
      </c>
      <c r="DF402" s="7">
        <f>ROUND(100.409999999999,2)</f>
        <v>100.41</v>
      </c>
      <c r="DG402" s="7">
        <f>ROUND(193.989999999999,2)</f>
        <v>193.99</v>
      </c>
      <c r="DH402" s="6"/>
      <c r="DI402" s="6"/>
      <c r="DJ402" s="6"/>
      <c r="DK402" s="6"/>
      <c r="DL402" s="6"/>
      <c r="DM402" s="6"/>
      <c r="DN402" s="7">
        <f>ROUND(2398.1,2)</f>
        <v>2398.1</v>
      </c>
      <c r="DO402" s="6"/>
      <c r="DP402" s="7">
        <f>ROUND(1178.38,2)</f>
        <v>1178.3800000000001</v>
      </c>
      <c r="DQ402" s="6"/>
      <c r="DR402" s="6"/>
      <c r="DS402" s="6"/>
      <c r="DT402" s="6"/>
      <c r="DU402" s="6"/>
      <c r="DV402" s="6"/>
      <c r="DW402" s="6"/>
      <c r="DX402" s="6"/>
      <c r="DY402" s="7">
        <f>ROUND(1707.37,2)</f>
        <v>1707.37</v>
      </c>
      <c r="DZ402" s="6"/>
      <c r="EA402" s="7">
        <f>ROUND(1198.62,2)</f>
        <v>1198.6199999999999</v>
      </c>
      <c r="EB402" s="6"/>
      <c r="EC402" s="6"/>
      <c r="ED402" s="7">
        <f>ROUND(2022.94,2)</f>
        <v>2022.94</v>
      </c>
      <c r="EE402" s="6"/>
      <c r="EF402" s="7">
        <f>ROUND(256.72,2)</f>
        <v>256.72000000000003</v>
      </c>
      <c r="EG402" s="6"/>
      <c r="EH402" s="6"/>
      <c r="EI402" s="6"/>
      <c r="EJ402" s="6"/>
      <c r="EK402" s="7">
        <f>ROUND(1049.92,2)</f>
        <v>1049.92</v>
      </c>
      <c r="EL402" s="6"/>
      <c r="EM402" s="6"/>
      <c r="EN402" s="7">
        <f>ROUND(256.72,2)</f>
        <v>256.72000000000003</v>
      </c>
      <c r="EO402" s="7">
        <f>ROUND(56.16,2)</f>
        <v>56.16</v>
      </c>
      <c r="EP402" s="6"/>
      <c r="EQ402" s="6"/>
      <c r="ER402" s="6"/>
      <c r="ES402" s="6"/>
      <c r="ET402" s="6"/>
      <c r="EU402" s="6"/>
      <c r="EV402" s="7">
        <f>ROUND(500,2)</f>
        <v>500</v>
      </c>
      <c r="EW402" s="6"/>
      <c r="EX402" s="6"/>
      <c r="EY402" s="6"/>
      <c r="EZ402" s="6"/>
      <c r="FA402" s="6"/>
      <c r="FB402" s="7">
        <f>ROUND(646.599999999999,2)</f>
        <v>646.6</v>
      </c>
      <c r="FC402" s="6"/>
      <c r="FD402" s="6"/>
      <c r="FE402" s="6"/>
      <c r="FF402" s="6"/>
      <c r="FG402" s="6"/>
      <c r="FH402" s="6"/>
      <c r="FI402" s="6"/>
      <c r="FJ402" s="7">
        <f>ROUND(1600,2)</f>
        <v>1600</v>
      </c>
      <c r="FK402" s="6"/>
      <c r="FL402" s="6"/>
      <c r="FM402" s="6"/>
      <c r="FN402" s="6"/>
      <c r="FO402" s="6"/>
      <c r="FP402" s="6"/>
      <c r="FQ402" s="6"/>
      <c r="FR402" s="6"/>
      <c r="FS402" s="6"/>
      <c r="FT402" s="7">
        <f t="shared" si="31"/>
        <v>3000</v>
      </c>
      <c r="FU402" s="6"/>
      <c r="FV402" s="6"/>
      <c r="FW402" s="6"/>
      <c r="FX402" s="7">
        <f>ROUND(1602.24,2)</f>
        <v>1602.24</v>
      </c>
      <c r="FY402" s="7">
        <f>ROUND(114072.34,2)</f>
        <v>114072.34</v>
      </c>
    </row>
    <row r="403" spans="1:181" x14ac:dyDescent="0.3">
      <c r="A403" s="4" t="s">
        <v>1009</v>
      </c>
      <c r="B403" s="5" t="s">
        <v>1029</v>
      </c>
      <c r="C403" s="5" t="s">
        <v>181</v>
      </c>
      <c r="D403" s="5" t="s">
        <v>194</v>
      </c>
      <c r="E403" s="5" t="s">
        <v>0</v>
      </c>
      <c r="F403" s="5" t="s">
        <v>309</v>
      </c>
      <c r="G403" s="5" t="s">
        <v>183</v>
      </c>
      <c r="H403" s="8">
        <v>33.380000000000003</v>
      </c>
      <c r="I403" s="7">
        <f>ROUND(96333.5499999999,2)</f>
        <v>96333.55</v>
      </c>
      <c r="J403" s="6"/>
      <c r="K403" s="6"/>
      <c r="L403" s="6"/>
      <c r="M403" s="6"/>
      <c r="N403" s="7">
        <f>ROUND(1256.04,2)</f>
        <v>1256.04</v>
      </c>
      <c r="O403" s="6"/>
      <c r="P403" s="6"/>
      <c r="Q403" s="7">
        <f>ROUND(283.92,2)</f>
        <v>283.92</v>
      </c>
      <c r="R403" s="6"/>
      <c r="S403" s="6"/>
      <c r="T403" s="6"/>
      <c r="U403" s="6"/>
      <c r="V403" s="6"/>
      <c r="W403" s="7">
        <f>ROUND(5.25,2)</f>
        <v>5.25</v>
      </c>
      <c r="X403" s="7">
        <f>ROUND(6.2,2)</f>
        <v>6.2</v>
      </c>
      <c r="Y403" s="7">
        <f>ROUND(0.17,2)</f>
        <v>0.17</v>
      </c>
      <c r="Z403" s="6"/>
      <c r="AA403" s="6"/>
      <c r="AB403" s="6"/>
      <c r="AC403" s="6"/>
      <c r="AD403" s="6"/>
      <c r="AE403" s="7">
        <f>ROUND(166.54,2)</f>
        <v>166.54</v>
      </c>
      <c r="AF403" s="6"/>
      <c r="AG403" s="7">
        <f>ROUND(13.35,2)</f>
        <v>13.35</v>
      </c>
      <c r="AH403" s="6"/>
      <c r="AI403" s="6"/>
      <c r="AJ403" s="6"/>
      <c r="AK403" s="6"/>
      <c r="AL403" s="6"/>
      <c r="AM403" s="6"/>
      <c r="AN403" s="6"/>
      <c r="AO403" s="6"/>
      <c r="AP403" s="7">
        <f>ROUND(466.29,2)</f>
        <v>466.29</v>
      </c>
      <c r="AQ403" s="6"/>
      <c r="AR403" s="7">
        <f>ROUND(69.13,2)</f>
        <v>69.13</v>
      </c>
      <c r="AS403" s="6"/>
      <c r="AT403" s="6"/>
      <c r="AU403" s="7">
        <f>ROUND(68,2)</f>
        <v>68</v>
      </c>
      <c r="AV403" s="7">
        <f>ROUND(8,2)</f>
        <v>8</v>
      </c>
      <c r="AW403" s="7">
        <f>ROUND(36,2)</f>
        <v>36</v>
      </c>
      <c r="AX403" s="6"/>
      <c r="AY403" s="7">
        <f>ROUND(66.01,2)</f>
        <v>66.010000000000005</v>
      </c>
      <c r="AZ403" s="7">
        <f>ROUND(13.99,2)</f>
        <v>13.99</v>
      </c>
      <c r="BA403" s="6"/>
      <c r="BB403" s="7">
        <f>ROUND(16,2)</f>
        <v>16</v>
      </c>
      <c r="BC403" s="6"/>
      <c r="BD403" s="7">
        <f t="shared" si="29"/>
        <v>8</v>
      </c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7">
        <f>ROUND(16.12,2)</f>
        <v>16.12</v>
      </c>
      <c r="BP403" s="7">
        <f>ROUND(14.3799999999999,2)</f>
        <v>14.38</v>
      </c>
      <c r="BQ403" s="7">
        <f>ROUND(43.98,2)</f>
        <v>43.98</v>
      </c>
      <c r="BR403" s="7">
        <f>ROUND(32.67,2)</f>
        <v>32.67</v>
      </c>
      <c r="BS403" s="6"/>
      <c r="BT403" s="6"/>
      <c r="BU403" s="6"/>
      <c r="BV403" s="6"/>
      <c r="BW403" s="6"/>
      <c r="BX403" s="6"/>
      <c r="BY403" s="6"/>
      <c r="BZ403" s="6"/>
      <c r="CA403" s="7">
        <f>ROUND(1.58,2)</f>
        <v>1.58</v>
      </c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7">
        <f>ROUND(2591.62,2)</f>
        <v>2591.62</v>
      </c>
      <c r="CR403" s="6"/>
      <c r="CS403" s="6"/>
      <c r="CT403" s="6"/>
      <c r="CU403" s="6"/>
      <c r="CV403" s="7">
        <f>ROUND(40917.72,2)</f>
        <v>40917.72</v>
      </c>
      <c r="CW403" s="6"/>
      <c r="CX403" s="6"/>
      <c r="CY403" s="7">
        <f>ROUND(13899.56,2)</f>
        <v>13899.56</v>
      </c>
      <c r="CZ403" s="6"/>
      <c r="DA403" s="6"/>
      <c r="DB403" s="6"/>
      <c r="DC403" s="6"/>
      <c r="DD403" s="6"/>
      <c r="DE403" s="7">
        <f>ROUND(253.89,2)</f>
        <v>253.89</v>
      </c>
      <c r="DF403" s="7">
        <f>ROUND(202.91,2)</f>
        <v>202.91</v>
      </c>
      <c r="DG403" s="7">
        <f>ROUND(8.43,2)</f>
        <v>8.43</v>
      </c>
      <c r="DH403" s="6"/>
      <c r="DI403" s="6"/>
      <c r="DJ403" s="6"/>
      <c r="DK403" s="6"/>
      <c r="DL403" s="6"/>
      <c r="DM403" s="6"/>
      <c r="DN403" s="7">
        <f>ROUND(5449.12,2)</f>
        <v>5449.12</v>
      </c>
      <c r="DO403" s="6"/>
      <c r="DP403" s="7">
        <f>ROUND(659.17,2)</f>
        <v>659.17</v>
      </c>
      <c r="DQ403" s="6"/>
      <c r="DR403" s="6"/>
      <c r="DS403" s="6"/>
      <c r="DT403" s="6"/>
      <c r="DU403" s="6"/>
      <c r="DV403" s="6"/>
      <c r="DW403" s="6"/>
      <c r="DX403" s="6"/>
      <c r="DY403" s="7">
        <f>ROUND(15221.0099999999,2)</f>
        <v>15221.01</v>
      </c>
      <c r="DZ403" s="6"/>
      <c r="EA403" s="7">
        <f>ROUND(3413.17,2)</f>
        <v>3413.17</v>
      </c>
      <c r="EB403" s="6"/>
      <c r="EC403" s="6"/>
      <c r="ED403" s="7">
        <f>ROUND(2210.38,2)</f>
        <v>2210.38</v>
      </c>
      <c r="EE403" s="7">
        <f>ROUND(396.64,2)</f>
        <v>396.64</v>
      </c>
      <c r="EF403" s="7">
        <f>ROUND(1155.24,2)</f>
        <v>1155.24</v>
      </c>
      <c r="EG403" s="6"/>
      <c r="EH403" s="7">
        <f>ROUND(2144.97999999999,2)</f>
        <v>2144.98</v>
      </c>
      <c r="EI403" s="7">
        <f>ROUND(673.66,2)</f>
        <v>673.66</v>
      </c>
      <c r="EJ403" s="6"/>
      <c r="EK403" s="7">
        <f>ROUND(528.8,2)</f>
        <v>528.79999999999995</v>
      </c>
      <c r="EL403" s="6"/>
      <c r="EM403" s="6"/>
      <c r="EN403" s="7">
        <f>ROUND(256.72,2)</f>
        <v>256.72000000000003</v>
      </c>
      <c r="EO403" s="6"/>
      <c r="EP403" s="6"/>
      <c r="EQ403" s="6"/>
      <c r="ER403" s="7">
        <f>ROUND(292.66,2)</f>
        <v>292.66000000000003</v>
      </c>
      <c r="ES403" s="6"/>
      <c r="ET403" s="6"/>
      <c r="EU403" s="6"/>
      <c r="EV403" s="6"/>
      <c r="EW403" s="6"/>
      <c r="EX403" s="6"/>
      <c r="EY403" s="6"/>
      <c r="EZ403" s="6"/>
      <c r="FA403" s="6"/>
      <c r="FB403" s="7">
        <f>ROUND(528.09,2)</f>
        <v>528.09</v>
      </c>
      <c r="FC403" s="7">
        <f>ROUND(713.81,2)</f>
        <v>713.81</v>
      </c>
      <c r="FD403" s="7">
        <f>ROUND(1437.96,2)</f>
        <v>1437.96</v>
      </c>
      <c r="FE403" s="7">
        <f>ROUND(1619.63,2)</f>
        <v>1619.63</v>
      </c>
      <c r="FF403" s="6"/>
      <c r="FG403" s="6"/>
      <c r="FH403" s="6"/>
      <c r="FI403" s="6"/>
      <c r="FJ403" s="7">
        <f>ROUND(1350,2)</f>
        <v>1350</v>
      </c>
      <c r="FK403" s="6"/>
      <c r="FL403" s="6"/>
      <c r="FM403" s="6"/>
      <c r="FN403" s="6"/>
      <c r="FO403" s="6"/>
      <c r="FP403" s="6"/>
      <c r="FQ403" s="6"/>
      <c r="FR403" s="6"/>
      <c r="FS403" s="6"/>
      <c r="FT403" s="7">
        <f t="shared" si="31"/>
        <v>3000</v>
      </c>
      <c r="FU403" s="6"/>
      <c r="FV403" s="6"/>
      <c r="FW403" s="6"/>
      <c r="FX403" s="6"/>
      <c r="FY403" s="7">
        <f>ROUND(96333.5499999999,2)</f>
        <v>96333.55</v>
      </c>
    </row>
    <row r="404" spans="1:181" x14ac:dyDescent="0.3">
      <c r="A404" s="4" t="s">
        <v>1010</v>
      </c>
      <c r="B404" s="5" t="s">
        <v>1029</v>
      </c>
      <c r="C404" s="5" t="s">
        <v>181</v>
      </c>
      <c r="D404" s="5" t="s">
        <v>196</v>
      </c>
      <c r="E404" s="5" t="s">
        <v>0</v>
      </c>
      <c r="F404" s="5" t="s">
        <v>0</v>
      </c>
      <c r="G404" s="5" t="s">
        <v>183</v>
      </c>
      <c r="H404" s="8">
        <v>33.380000000000003</v>
      </c>
      <c r="I404" s="7">
        <f>ROUND(77812.6,2)</f>
        <v>77812.600000000006</v>
      </c>
      <c r="J404" s="6"/>
      <c r="K404" s="6"/>
      <c r="L404" s="6"/>
      <c r="M404" s="6"/>
      <c r="N404" s="7">
        <f>ROUND(712.719999999999,2)</f>
        <v>712.72</v>
      </c>
      <c r="O404" s="6"/>
      <c r="P404" s="6"/>
      <c r="Q404" s="7">
        <f>ROUND(64.98,2)</f>
        <v>64.98</v>
      </c>
      <c r="R404" s="6"/>
      <c r="S404" s="6"/>
      <c r="T404" s="6"/>
      <c r="U404" s="6"/>
      <c r="V404" s="7">
        <f>ROUND(17.1,2)</f>
        <v>17.100000000000001</v>
      </c>
      <c r="W404" s="6"/>
      <c r="X404" s="6"/>
      <c r="Y404" s="6"/>
      <c r="Z404" s="6"/>
      <c r="AA404" s="6"/>
      <c r="AB404" s="6"/>
      <c r="AC404" s="6"/>
      <c r="AD404" s="6"/>
      <c r="AE404" s="7">
        <f>ROUND(563.12,2)</f>
        <v>563.12</v>
      </c>
      <c r="AF404" s="6"/>
      <c r="AG404" s="7">
        <f>ROUND(24.29,2)</f>
        <v>24.29</v>
      </c>
      <c r="AH404" s="6"/>
      <c r="AI404" s="6"/>
      <c r="AJ404" s="6"/>
      <c r="AK404" s="6"/>
      <c r="AL404" s="6"/>
      <c r="AM404" s="6"/>
      <c r="AN404" s="6"/>
      <c r="AO404" s="6"/>
      <c r="AP404" s="7">
        <f>ROUND(530.41,2)</f>
        <v>530.41</v>
      </c>
      <c r="AQ404" s="6"/>
      <c r="AR404" s="7">
        <f>ROUND(1.43,2)</f>
        <v>1.43</v>
      </c>
      <c r="AS404" s="6"/>
      <c r="AT404" s="6"/>
      <c r="AU404" s="7">
        <f>ROUND(75.67,2)</f>
        <v>75.67</v>
      </c>
      <c r="AV404" s="7">
        <f>ROUND(0.33,2)</f>
        <v>0.33</v>
      </c>
      <c r="AW404" s="7">
        <f>ROUND(36,2)</f>
        <v>36</v>
      </c>
      <c r="AX404" s="6"/>
      <c r="AY404" s="7">
        <f>ROUND(38.08,2)</f>
        <v>38.08</v>
      </c>
      <c r="AZ404" s="7">
        <f>ROUND(1.92,2)</f>
        <v>1.92</v>
      </c>
      <c r="BA404" s="6"/>
      <c r="BB404" s="7">
        <f>ROUND(40,2)</f>
        <v>40</v>
      </c>
      <c r="BC404" s="6"/>
      <c r="BD404" s="7">
        <f t="shared" si="29"/>
        <v>8</v>
      </c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7">
        <f>ROUND(54.03,2)</f>
        <v>54.03</v>
      </c>
      <c r="BP404" s="7">
        <f>ROUND(7.65,2)</f>
        <v>7.65</v>
      </c>
      <c r="BQ404" s="7">
        <f>ROUND(30.98,2)</f>
        <v>30.98</v>
      </c>
      <c r="BR404" s="7">
        <f>ROUND(7.02,2)</f>
        <v>7.02</v>
      </c>
      <c r="BS404" s="7">
        <f>ROUND(25.67,2)</f>
        <v>25.67</v>
      </c>
      <c r="BT404" s="7">
        <f>ROUND(11.87,2)</f>
        <v>11.87</v>
      </c>
      <c r="BU404" s="6"/>
      <c r="BV404" s="6"/>
      <c r="BW404" s="6"/>
      <c r="BX404" s="6"/>
      <c r="BY404" s="6"/>
      <c r="BZ404" s="6"/>
      <c r="CA404" s="7">
        <f>ROUND(16,2)</f>
        <v>16</v>
      </c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7">
        <f>ROUND(2267.27,2)</f>
        <v>2267.27</v>
      </c>
      <c r="CR404" s="6"/>
      <c r="CS404" s="6"/>
      <c r="CT404" s="6"/>
      <c r="CU404" s="6"/>
      <c r="CV404" s="7">
        <f>ROUND(23151.3,2)</f>
        <v>23151.3</v>
      </c>
      <c r="CW404" s="6"/>
      <c r="CX404" s="6"/>
      <c r="CY404" s="7">
        <f>ROUND(3162.42,2)</f>
        <v>3162.42</v>
      </c>
      <c r="CZ404" s="6"/>
      <c r="DA404" s="6"/>
      <c r="DB404" s="6"/>
      <c r="DC404" s="6"/>
      <c r="DD404" s="7">
        <f>ROUND(548.74,2)</f>
        <v>548.74</v>
      </c>
      <c r="DE404" s="6"/>
      <c r="DF404" s="6"/>
      <c r="DG404" s="6"/>
      <c r="DH404" s="6"/>
      <c r="DI404" s="6"/>
      <c r="DJ404" s="6"/>
      <c r="DK404" s="6"/>
      <c r="DL404" s="6"/>
      <c r="DM404" s="6"/>
      <c r="DN404" s="7">
        <f>ROUND(18546.92,2)</f>
        <v>18546.919999999998</v>
      </c>
      <c r="DO404" s="6"/>
      <c r="DP404" s="7">
        <f>ROUND(1200.54,2)</f>
        <v>1200.54</v>
      </c>
      <c r="DQ404" s="6"/>
      <c r="DR404" s="6"/>
      <c r="DS404" s="6"/>
      <c r="DT404" s="6"/>
      <c r="DU404" s="6"/>
      <c r="DV404" s="6"/>
      <c r="DW404" s="6"/>
      <c r="DX404" s="6"/>
      <c r="DY404" s="7">
        <f>ROUND(17234.01,2)</f>
        <v>17234.009999999998</v>
      </c>
      <c r="DZ404" s="6"/>
      <c r="EA404" s="7">
        <f>ROUND(72.6,2)</f>
        <v>72.599999999999994</v>
      </c>
      <c r="EB404" s="6"/>
      <c r="EC404" s="6"/>
      <c r="ED404" s="7">
        <f>ROUND(2465.79,2)</f>
        <v>2465.79</v>
      </c>
      <c r="EE404" s="7">
        <f>ROUND(16.36,2)</f>
        <v>16.36</v>
      </c>
      <c r="EF404" s="7">
        <f>ROUND(1172.52,2)</f>
        <v>1172.52</v>
      </c>
      <c r="EG404" s="6"/>
      <c r="EH404" s="7">
        <f>ROUND(1250.86,2)</f>
        <v>1250.8599999999999</v>
      </c>
      <c r="EI404" s="7">
        <f>ROUND(95.18,2)</f>
        <v>95.18</v>
      </c>
      <c r="EJ404" s="6"/>
      <c r="EK404" s="7">
        <f>ROUND(1283.6,2)</f>
        <v>1283.5999999999999</v>
      </c>
      <c r="EL404" s="6"/>
      <c r="EM404" s="6"/>
      <c r="EN404" s="7">
        <f>ROUND(256.72,2)</f>
        <v>256.72000000000003</v>
      </c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7">
        <f>ROUND(1769.50999999999,2)</f>
        <v>1769.51</v>
      </c>
      <c r="FC404" s="7">
        <f>ROUND(371.37,2)</f>
        <v>371.37</v>
      </c>
      <c r="FD404" s="7">
        <f>ROUND(1026.25,2)</f>
        <v>1026.25</v>
      </c>
      <c r="FE404" s="7">
        <f>ROUND(337.91,2)</f>
        <v>337.91</v>
      </c>
      <c r="FF404" s="6"/>
      <c r="FG404" s="6"/>
      <c r="FH404" s="6"/>
      <c r="FI404" s="6"/>
      <c r="FJ404" s="7">
        <f>ROUND(850,2)</f>
        <v>850</v>
      </c>
      <c r="FK404" s="6"/>
      <c r="FL404" s="6"/>
      <c r="FM404" s="6"/>
      <c r="FN404" s="6"/>
      <c r="FO404" s="6"/>
      <c r="FP404" s="6"/>
      <c r="FQ404" s="6"/>
      <c r="FR404" s="6"/>
      <c r="FS404" s="6"/>
      <c r="FT404" s="7">
        <f t="shared" si="31"/>
        <v>3000</v>
      </c>
      <c r="FU404" s="6"/>
      <c r="FV404" s="6"/>
      <c r="FW404" s="6"/>
      <c r="FX404" s="6"/>
      <c r="FY404" s="7">
        <f>ROUND(77812.6,2)</f>
        <v>77812.600000000006</v>
      </c>
    </row>
    <row r="405" spans="1:181" x14ac:dyDescent="0.3">
      <c r="A405" s="4" t="s">
        <v>1015</v>
      </c>
      <c r="B405" s="5" t="s">
        <v>1029</v>
      </c>
      <c r="C405" s="5" t="s">
        <v>181</v>
      </c>
      <c r="D405" s="5" t="s">
        <v>254</v>
      </c>
      <c r="E405" s="5" t="s">
        <v>0</v>
      </c>
      <c r="F405" s="5" t="s">
        <v>0</v>
      </c>
      <c r="G405" s="5" t="s">
        <v>183</v>
      </c>
      <c r="H405" s="9">
        <v>30.04</v>
      </c>
      <c r="I405" s="7">
        <f>ROUND(56353.8899999999,2)</f>
        <v>56353.89</v>
      </c>
      <c r="J405" s="6"/>
      <c r="K405" s="6"/>
      <c r="L405" s="6"/>
      <c r="M405" s="6"/>
      <c r="N405" s="7">
        <f>ROUND(1064.98999999999,2)</f>
        <v>1064.99</v>
      </c>
      <c r="O405" s="6"/>
      <c r="P405" s="6"/>
      <c r="Q405" s="7">
        <f>ROUND(24.77,2)</f>
        <v>24.77</v>
      </c>
      <c r="R405" s="6"/>
      <c r="S405" s="6"/>
      <c r="T405" s="6"/>
      <c r="U405" s="6"/>
      <c r="V405" s="7">
        <f>ROUND(55.87,2)</f>
        <v>55.87</v>
      </c>
      <c r="W405" s="7">
        <f>ROUND(0.3,2)</f>
        <v>0.3</v>
      </c>
      <c r="X405" s="6"/>
      <c r="Y405" s="6"/>
      <c r="Z405" s="6"/>
      <c r="AA405" s="6"/>
      <c r="AB405" s="6"/>
      <c r="AC405" s="6"/>
      <c r="AD405" s="6"/>
      <c r="AE405" s="7">
        <f>ROUND(113.29,2)</f>
        <v>113.29</v>
      </c>
      <c r="AF405" s="6"/>
      <c r="AG405" s="7">
        <f>ROUND(22.16,2)</f>
        <v>22.16</v>
      </c>
      <c r="AH405" s="6"/>
      <c r="AI405" s="6"/>
      <c r="AJ405" s="6"/>
      <c r="AK405" s="6"/>
      <c r="AL405" s="6"/>
      <c r="AM405" s="6"/>
      <c r="AN405" s="6"/>
      <c r="AO405" s="6"/>
      <c r="AP405" s="7">
        <f>ROUND(310.389999999999,2)</f>
        <v>310.39</v>
      </c>
      <c r="AQ405" s="6"/>
      <c r="AR405" s="7">
        <f>ROUND(86.42,2)</f>
        <v>86.42</v>
      </c>
      <c r="AS405" s="6"/>
      <c r="AT405" s="6"/>
      <c r="AU405" s="7">
        <f>ROUND(44,2)</f>
        <v>44</v>
      </c>
      <c r="AV405" s="6"/>
      <c r="AW405" s="7">
        <f>ROUND(8,2)</f>
        <v>8</v>
      </c>
      <c r="AX405" s="6"/>
      <c r="AY405" s="6"/>
      <c r="AZ405" s="6"/>
      <c r="BA405" s="6"/>
      <c r="BB405" s="7">
        <f>ROUND(15,2)</f>
        <v>15</v>
      </c>
      <c r="BC405" s="6"/>
      <c r="BD405" s="7">
        <f t="shared" si="29"/>
        <v>8</v>
      </c>
      <c r="BE405" s="7">
        <f>ROUND(8.51,2)</f>
        <v>8.51</v>
      </c>
      <c r="BF405" s="6"/>
      <c r="BG405" s="6"/>
      <c r="BH405" s="6"/>
      <c r="BI405" s="6"/>
      <c r="BJ405" s="6"/>
      <c r="BK405" s="6"/>
      <c r="BL405" s="6"/>
      <c r="BM405" s="6"/>
      <c r="BN405" s="6"/>
      <c r="BO405" s="7">
        <f>ROUND(28.5,2)</f>
        <v>28.5</v>
      </c>
      <c r="BP405" s="6"/>
      <c r="BQ405" s="7">
        <f>ROUND(1.8,2)</f>
        <v>1.8</v>
      </c>
      <c r="BR405" s="7">
        <f>ROUND(4.45,2)</f>
        <v>4.45</v>
      </c>
      <c r="BS405" s="6"/>
      <c r="BT405" s="6"/>
      <c r="BU405" s="6"/>
      <c r="BV405" s="6"/>
      <c r="BW405" s="7">
        <f>ROUND(5,2)</f>
        <v>5</v>
      </c>
      <c r="BX405" s="6"/>
      <c r="BY405" s="7">
        <f>ROUND(10,2)</f>
        <v>10</v>
      </c>
      <c r="BZ405" s="7">
        <f>ROUND(15,2)</f>
        <v>15</v>
      </c>
      <c r="CA405" s="7">
        <f>ROUND(10,2)</f>
        <v>10</v>
      </c>
      <c r="CB405" s="6"/>
      <c r="CC405" s="6"/>
      <c r="CD405" s="7">
        <f>ROUND(5.38,2)</f>
        <v>5.38</v>
      </c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7">
        <f>ROUND(1841.83,2)</f>
        <v>1841.83</v>
      </c>
      <c r="CR405" s="6"/>
      <c r="CS405" s="6"/>
      <c r="CT405" s="6"/>
      <c r="CU405" s="6"/>
      <c r="CV405" s="7">
        <f>ROUND(28923.9499999999,2)</f>
        <v>28923.95</v>
      </c>
      <c r="CW405" s="6"/>
      <c r="CX405" s="6"/>
      <c r="CY405" s="7">
        <f>ROUND(1110.88,2)</f>
        <v>1110.8800000000001</v>
      </c>
      <c r="CZ405" s="6"/>
      <c r="DA405" s="6"/>
      <c r="DB405" s="6"/>
      <c r="DC405" s="6"/>
      <c r="DD405" s="7">
        <f>ROUND(1615.08,2)</f>
        <v>1615.08</v>
      </c>
      <c r="DE405" s="7">
        <f>ROUND(13.39,2)</f>
        <v>13.39</v>
      </c>
      <c r="DF405" s="6"/>
      <c r="DG405" s="6"/>
      <c r="DH405" s="6"/>
      <c r="DI405" s="6"/>
      <c r="DJ405" s="6"/>
      <c r="DK405" s="6"/>
      <c r="DL405" s="6"/>
      <c r="DM405" s="6"/>
      <c r="DN405" s="7">
        <f>ROUND(3263.71999999999,2)</f>
        <v>3263.72</v>
      </c>
      <c r="DO405" s="6"/>
      <c r="DP405" s="7">
        <f>ROUND(969.52,2)</f>
        <v>969.52</v>
      </c>
      <c r="DQ405" s="6"/>
      <c r="DR405" s="6"/>
      <c r="DS405" s="6"/>
      <c r="DT405" s="6"/>
      <c r="DU405" s="6"/>
      <c r="DV405" s="6"/>
      <c r="DW405" s="6"/>
      <c r="DX405" s="6"/>
      <c r="DY405" s="7">
        <f>ROUND(9149.35,2)</f>
        <v>9149.35</v>
      </c>
      <c r="DZ405" s="6"/>
      <c r="EA405" s="7">
        <f>ROUND(3846.7,2)</f>
        <v>3846.7</v>
      </c>
      <c r="EB405" s="6"/>
      <c r="EC405" s="6"/>
      <c r="ED405" s="7">
        <f>ROUND(1203.79,2)</f>
        <v>1203.79</v>
      </c>
      <c r="EE405" s="6"/>
      <c r="EF405" s="7">
        <f>ROUND(238,2)</f>
        <v>238</v>
      </c>
      <c r="EG405" s="6"/>
      <c r="EH405" s="6"/>
      <c r="EI405" s="6"/>
      <c r="EJ405" s="6"/>
      <c r="EK405" s="7">
        <f>ROUND(393.1,2)</f>
        <v>393.1</v>
      </c>
      <c r="EL405" s="6"/>
      <c r="EM405" s="6"/>
      <c r="EN405" s="7">
        <f>ROUND(218.24,2)</f>
        <v>218.24</v>
      </c>
      <c r="EO405" s="7">
        <f>ROUND(224.67,2)</f>
        <v>224.67</v>
      </c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7">
        <f>ROUND(834.6,2)</f>
        <v>834.6</v>
      </c>
      <c r="FC405" s="6"/>
      <c r="FD405" s="7">
        <f>ROUND(53.55,2)</f>
        <v>53.55</v>
      </c>
      <c r="FE405" s="7">
        <f>ROUND(198.58,2)</f>
        <v>198.58</v>
      </c>
      <c r="FF405" s="6"/>
      <c r="FG405" s="6"/>
      <c r="FH405" s="6"/>
      <c r="FI405" s="7">
        <f>ROUND(146.77,2)</f>
        <v>146.77000000000001</v>
      </c>
      <c r="FJ405" s="7">
        <f>ROUND(950,2)</f>
        <v>950</v>
      </c>
      <c r="FK405" s="6"/>
      <c r="FL405" s="6"/>
      <c r="FM405" s="6"/>
      <c r="FN405" s="6"/>
      <c r="FO405" s="6"/>
      <c r="FP405" s="6"/>
      <c r="FQ405" s="6"/>
      <c r="FR405" s="6"/>
      <c r="FS405" s="6"/>
      <c r="FT405" s="7">
        <f t="shared" si="31"/>
        <v>3000</v>
      </c>
      <c r="FU405" s="6"/>
      <c r="FV405" s="6"/>
      <c r="FW405" s="6"/>
      <c r="FX405" s="6"/>
      <c r="FY405" s="7">
        <f>ROUND(56353.8899999999,2)</f>
        <v>56353.89</v>
      </c>
    </row>
    <row r="406" spans="1:181" x14ac:dyDescent="0.3">
      <c r="A406" s="4" t="s">
        <v>1016</v>
      </c>
      <c r="B406" s="5" t="s">
        <v>1029</v>
      </c>
      <c r="C406" s="5" t="s">
        <v>181</v>
      </c>
      <c r="D406" s="5" t="s">
        <v>234</v>
      </c>
      <c r="E406" s="5" t="s">
        <v>0</v>
      </c>
      <c r="F406" s="5" t="s">
        <v>0</v>
      </c>
      <c r="G406" s="5" t="s">
        <v>183</v>
      </c>
      <c r="H406" s="8">
        <v>33.380000000000003</v>
      </c>
      <c r="I406" s="7">
        <f>ROUND(131350.499999999,2)</f>
        <v>131350.5</v>
      </c>
      <c r="J406" s="6"/>
      <c r="K406" s="6"/>
      <c r="L406" s="6"/>
      <c r="M406" s="6"/>
      <c r="N406" s="7">
        <f>ROUND(1847.67999999999,2)</f>
        <v>1847.68</v>
      </c>
      <c r="O406" s="6"/>
      <c r="P406" s="6"/>
      <c r="Q406" s="7">
        <f>ROUND(952.6,2)</f>
        <v>952.6</v>
      </c>
      <c r="R406" s="6"/>
      <c r="S406" s="6"/>
      <c r="T406" s="6"/>
      <c r="U406" s="6"/>
      <c r="V406" s="7">
        <f>ROUND(17.69,2)</f>
        <v>17.690000000000001</v>
      </c>
      <c r="W406" s="7">
        <f>ROUND(22.84,2)</f>
        <v>22.84</v>
      </c>
      <c r="X406" s="7">
        <f>ROUND(1.56,2)</f>
        <v>1.56</v>
      </c>
      <c r="Y406" s="7">
        <f>ROUND(3.38999999999999,2)</f>
        <v>3.39</v>
      </c>
      <c r="Z406" s="6"/>
      <c r="AA406" s="6"/>
      <c r="AB406" s="6"/>
      <c r="AC406" s="6"/>
      <c r="AD406" s="6"/>
      <c r="AE406" s="7">
        <f>ROUND(7.42,2)</f>
        <v>7.42</v>
      </c>
      <c r="AF406" s="6"/>
      <c r="AG406" s="7">
        <f>ROUND(8.67,2)</f>
        <v>8.67</v>
      </c>
      <c r="AH406" s="6"/>
      <c r="AI406" s="6"/>
      <c r="AJ406" s="6"/>
      <c r="AK406" s="6"/>
      <c r="AL406" s="6"/>
      <c r="AM406" s="6"/>
      <c r="AN406" s="6"/>
      <c r="AO406" s="6"/>
      <c r="AP406" s="7">
        <f>ROUND(123.2,2)</f>
        <v>123.2</v>
      </c>
      <c r="AQ406" s="6"/>
      <c r="AR406" s="7">
        <f>ROUND(69.68,2)</f>
        <v>69.680000000000007</v>
      </c>
      <c r="AS406" s="6"/>
      <c r="AT406" s="6"/>
      <c r="AU406" s="7">
        <f>ROUND(62.67,2)</f>
        <v>62.67</v>
      </c>
      <c r="AV406" s="7">
        <f>ROUND(5.33,2)</f>
        <v>5.33</v>
      </c>
      <c r="AW406" s="7">
        <f>ROUND(5.92,2)</f>
        <v>5.92</v>
      </c>
      <c r="AX406" s="7">
        <f>ROUND(26.08,2)</f>
        <v>26.08</v>
      </c>
      <c r="AY406" s="7">
        <f>ROUND(32,2)</f>
        <v>32</v>
      </c>
      <c r="AZ406" s="7">
        <f>ROUND(16,2)</f>
        <v>16</v>
      </c>
      <c r="BA406" s="6"/>
      <c r="BB406" s="6"/>
      <c r="BC406" s="6"/>
      <c r="BD406" s="7">
        <f t="shared" si="29"/>
        <v>8</v>
      </c>
      <c r="BE406" s="7">
        <f>ROUND(2.02,2)</f>
        <v>2.02</v>
      </c>
      <c r="BF406" s="6"/>
      <c r="BG406" s="6"/>
      <c r="BH406" s="6"/>
      <c r="BI406" s="6"/>
      <c r="BJ406" s="6"/>
      <c r="BK406" s="6"/>
      <c r="BL406" s="6"/>
      <c r="BM406" s="6"/>
      <c r="BN406" s="6"/>
      <c r="BO406" s="7">
        <f>ROUND(18.4199999999999,2)</f>
        <v>18.420000000000002</v>
      </c>
      <c r="BP406" s="7">
        <f>ROUND(7.27999999999999,2)</f>
        <v>7.28</v>
      </c>
      <c r="BQ406" s="7">
        <f>ROUND(5.42,2)</f>
        <v>5.42</v>
      </c>
      <c r="BR406" s="6"/>
      <c r="BS406" s="6"/>
      <c r="BT406" s="6"/>
      <c r="BU406" s="6"/>
      <c r="BV406" s="6"/>
      <c r="BW406" s="6"/>
      <c r="BX406" s="6"/>
      <c r="BY406" s="6"/>
      <c r="BZ406" s="7">
        <f>ROUND(8,2)</f>
        <v>8</v>
      </c>
      <c r="CA406" s="7">
        <f>ROUND(8,2)</f>
        <v>8</v>
      </c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7">
        <f>ROUND(72,2)</f>
        <v>72</v>
      </c>
      <c r="CQ406" s="7">
        <f>ROUND(3331.86999999999,2)</f>
        <v>3331.87</v>
      </c>
      <c r="CR406" s="6"/>
      <c r="CS406" s="6"/>
      <c r="CT406" s="6"/>
      <c r="CU406" s="6"/>
      <c r="CV406" s="7">
        <f>ROUND(60206.7299999999,2)</f>
        <v>60206.73</v>
      </c>
      <c r="CW406" s="6"/>
      <c r="CX406" s="6"/>
      <c r="CY406" s="7">
        <f>ROUND(46622,2)</f>
        <v>46622</v>
      </c>
      <c r="CZ406" s="6"/>
      <c r="DA406" s="6"/>
      <c r="DB406" s="6"/>
      <c r="DC406" s="6"/>
      <c r="DD406" s="7">
        <f>ROUND(575.15,2)</f>
        <v>575.15</v>
      </c>
      <c r="DE406" s="7">
        <f>ROUND(1119.16999999999,2)</f>
        <v>1119.17</v>
      </c>
      <c r="DF406" s="7">
        <f>ROUND(50.87,2)</f>
        <v>50.87</v>
      </c>
      <c r="DG406" s="7">
        <f>ROUND(167.63,2)</f>
        <v>167.63</v>
      </c>
      <c r="DH406" s="6"/>
      <c r="DI406" s="6"/>
      <c r="DJ406" s="6"/>
      <c r="DK406" s="6"/>
      <c r="DL406" s="6"/>
      <c r="DM406" s="6"/>
      <c r="DN406" s="7">
        <f>ROUND(245.23,2)</f>
        <v>245.23</v>
      </c>
      <c r="DO406" s="6"/>
      <c r="DP406" s="7">
        <f>ROUND(434.04,2)</f>
        <v>434.04</v>
      </c>
      <c r="DQ406" s="6"/>
      <c r="DR406" s="6"/>
      <c r="DS406" s="6"/>
      <c r="DT406" s="6"/>
      <c r="DU406" s="6"/>
      <c r="DV406" s="6"/>
      <c r="DW406" s="6"/>
      <c r="DX406" s="6"/>
      <c r="DY406" s="7">
        <f>ROUND(4024.75,2)</f>
        <v>4024.75</v>
      </c>
      <c r="DZ406" s="6"/>
      <c r="EA406" s="7">
        <f>ROUND(3415.27,2)</f>
        <v>3415.27</v>
      </c>
      <c r="EB406" s="6"/>
      <c r="EC406" s="6"/>
      <c r="ED406" s="7">
        <f>ROUND(2039.32,2)</f>
        <v>2039.32</v>
      </c>
      <c r="EE406" s="7">
        <f>ROUND(264.26,2)</f>
        <v>264.26</v>
      </c>
      <c r="EF406" s="7">
        <f>ROUND(192.95,2)</f>
        <v>192.95</v>
      </c>
      <c r="EG406" s="7">
        <f>ROUND(1285.46,2)</f>
        <v>1285.46</v>
      </c>
      <c r="EH406" s="7">
        <f>ROUND(1042.24,2)</f>
        <v>1042.24</v>
      </c>
      <c r="EI406" s="7">
        <f>ROUND(793.2,2)</f>
        <v>793.2</v>
      </c>
      <c r="EJ406" s="6"/>
      <c r="EK406" s="6"/>
      <c r="EL406" s="6"/>
      <c r="EM406" s="6"/>
      <c r="EN406" s="7">
        <f>ROUND(256.72,2)</f>
        <v>256.72000000000003</v>
      </c>
      <c r="EO406" s="7">
        <f>ROUND(64.82,2)</f>
        <v>64.819999999999993</v>
      </c>
      <c r="EP406" s="6"/>
      <c r="EQ406" s="6"/>
      <c r="ER406" s="7">
        <f>ROUND(279.6,2)</f>
        <v>279.60000000000002</v>
      </c>
      <c r="ES406" s="6"/>
      <c r="ET406" s="6"/>
      <c r="EU406" s="6"/>
      <c r="EV406" s="7">
        <f>ROUND(333.33,2)</f>
        <v>333.33</v>
      </c>
      <c r="EW406" s="6"/>
      <c r="EX406" s="6"/>
      <c r="EY406" s="6"/>
      <c r="EZ406" s="6"/>
      <c r="FA406" s="6"/>
      <c r="FB406" s="7">
        <f>ROUND(598.75,2)</f>
        <v>598.75</v>
      </c>
      <c r="FC406" s="7">
        <f>ROUND(360.909999999999,2)</f>
        <v>360.91</v>
      </c>
      <c r="FD406" s="7">
        <f>ROUND(174.74,2)</f>
        <v>174.74</v>
      </c>
      <c r="FE406" s="6"/>
      <c r="FF406" s="6"/>
      <c r="FG406" s="6"/>
      <c r="FH406" s="6"/>
      <c r="FI406" s="6"/>
      <c r="FJ406" s="7">
        <f>ROUND(1400,2)</f>
        <v>1400</v>
      </c>
      <c r="FK406" s="6"/>
      <c r="FL406" s="6"/>
      <c r="FM406" s="6"/>
      <c r="FN406" s="6"/>
      <c r="FO406" s="6"/>
      <c r="FP406" s="6"/>
      <c r="FQ406" s="6"/>
      <c r="FR406" s="6"/>
      <c r="FS406" s="6"/>
      <c r="FT406" s="7">
        <f t="shared" si="31"/>
        <v>3000</v>
      </c>
      <c r="FU406" s="6"/>
      <c r="FV406" s="6"/>
      <c r="FW406" s="6"/>
      <c r="FX406" s="7">
        <f>ROUND(2403.36,2)</f>
        <v>2403.36</v>
      </c>
      <c r="FY406" s="7">
        <f>ROUND(131350.499999999,2)</f>
        <v>131350.5</v>
      </c>
    </row>
    <row r="407" spans="1:181" x14ac:dyDescent="0.3">
      <c r="A407" s="4" t="s">
        <v>1019</v>
      </c>
      <c r="B407" s="5" t="s">
        <v>1029</v>
      </c>
      <c r="C407" s="5" t="s">
        <v>181</v>
      </c>
      <c r="D407" s="5" t="s">
        <v>527</v>
      </c>
      <c r="E407" s="5" t="s">
        <v>0</v>
      </c>
      <c r="F407" s="5" t="s">
        <v>1020</v>
      </c>
      <c r="G407" s="5" t="s">
        <v>183</v>
      </c>
      <c r="H407" s="8">
        <v>28.37</v>
      </c>
      <c r="I407" s="7">
        <f>ROUND(35907.99,2)</f>
        <v>35907.99</v>
      </c>
      <c r="J407" s="6"/>
      <c r="K407" s="6"/>
      <c r="L407" s="6"/>
      <c r="M407" s="6"/>
      <c r="N407" s="7">
        <f>ROUND(705.42,2)</f>
        <v>705.42</v>
      </c>
      <c r="O407" s="6"/>
      <c r="P407" s="6"/>
      <c r="Q407" s="7">
        <f>ROUND(8.95,2)</f>
        <v>8.9499999999999993</v>
      </c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7">
        <f>ROUND(138.81,2)</f>
        <v>138.81</v>
      </c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7">
        <f>ROUND(30,2)</f>
        <v>30</v>
      </c>
      <c r="AV407" s="6"/>
      <c r="AW407" s="6"/>
      <c r="AX407" s="6"/>
      <c r="AY407" s="6"/>
      <c r="AZ407" s="6"/>
      <c r="BA407" s="6"/>
      <c r="BB407" s="6"/>
      <c r="BC407" s="6"/>
      <c r="BD407" s="7">
        <f>ROUND(240.74,2)</f>
        <v>240.74</v>
      </c>
      <c r="BE407" s="6"/>
      <c r="BF407" s="7">
        <f>ROUND(23.03,2)</f>
        <v>23.03</v>
      </c>
      <c r="BG407" s="6"/>
      <c r="BH407" s="6"/>
      <c r="BI407" s="7">
        <f>ROUND(20.45,2)</f>
        <v>20.45</v>
      </c>
      <c r="BJ407" s="6"/>
      <c r="BK407" s="6"/>
      <c r="BL407" s="6"/>
      <c r="BM407" s="6"/>
      <c r="BN407" s="6"/>
      <c r="BO407" s="6"/>
      <c r="BP407" s="6"/>
      <c r="BQ407" s="7">
        <f>ROUND(216.76,2)</f>
        <v>216.76</v>
      </c>
      <c r="BR407" s="6"/>
      <c r="BS407" s="7">
        <f>ROUND(45,2)</f>
        <v>45</v>
      </c>
      <c r="BT407" s="7">
        <f>ROUND(0.7,2)</f>
        <v>0.7</v>
      </c>
      <c r="BU407" s="6"/>
      <c r="BV407" s="6"/>
      <c r="BW407" s="6"/>
      <c r="BX407" s="6"/>
      <c r="BY407" s="6"/>
      <c r="BZ407" s="6"/>
      <c r="CA407" s="7">
        <f>ROUND(40,2)</f>
        <v>40</v>
      </c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7">
        <f>ROUND(15,2)</f>
        <v>15</v>
      </c>
      <c r="CQ407" s="7">
        <f>ROUND(1484.86,2)</f>
        <v>1484.86</v>
      </c>
      <c r="CR407" s="6"/>
      <c r="CS407" s="6"/>
      <c r="CT407" s="6"/>
      <c r="CU407" s="6"/>
      <c r="CV407" s="7">
        <f>ROUND(18192.75,2)</f>
        <v>18192.75</v>
      </c>
      <c r="CW407" s="6"/>
      <c r="CX407" s="6"/>
      <c r="CY407" s="7">
        <f>ROUND(234.94,2)</f>
        <v>234.94</v>
      </c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7">
        <f>ROUND(3830.16,2)</f>
        <v>3830.16</v>
      </c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7">
        <f>ROUND(811.65,2)</f>
        <v>811.65</v>
      </c>
      <c r="EE407" s="6"/>
      <c r="EF407" s="6"/>
      <c r="EG407" s="6"/>
      <c r="EH407" s="6"/>
      <c r="EI407" s="6"/>
      <c r="EJ407" s="6"/>
      <c r="EK407" s="6"/>
      <c r="EL407" s="6"/>
      <c r="EM407" s="6"/>
      <c r="EN407" s="7">
        <f>ROUND(4278.32,2)</f>
        <v>4278.32</v>
      </c>
      <c r="EO407" s="6"/>
      <c r="EP407" s="7">
        <f>ROUND(604.54,2)</f>
        <v>604.54</v>
      </c>
      <c r="EQ407" s="6"/>
      <c r="ER407" s="6"/>
      <c r="ES407" s="6"/>
      <c r="ET407" s="7">
        <f>ROUND(357.88,2)</f>
        <v>357.88</v>
      </c>
      <c r="EU407" s="6"/>
      <c r="EV407" s="6"/>
      <c r="EW407" s="6"/>
      <c r="EX407" s="6"/>
      <c r="EY407" s="6"/>
      <c r="EZ407" s="6"/>
      <c r="FA407" s="6"/>
      <c r="FB407" s="6"/>
      <c r="FC407" s="6"/>
      <c r="FD407" s="7">
        <f>ROUND(5372.2,2)</f>
        <v>5372.2</v>
      </c>
      <c r="FE407" s="6"/>
      <c r="FF407" s="6"/>
      <c r="FG407" s="6"/>
      <c r="FH407" s="6"/>
      <c r="FI407" s="6"/>
      <c r="FJ407" s="7">
        <f>ROUND(300,2)</f>
        <v>300</v>
      </c>
      <c r="FK407" s="6"/>
      <c r="FL407" s="6"/>
      <c r="FM407" s="6"/>
      <c r="FN407" s="6"/>
      <c r="FO407" s="6"/>
      <c r="FP407" s="6"/>
      <c r="FQ407" s="6"/>
      <c r="FR407" s="6"/>
      <c r="FS407" s="6"/>
      <c r="FT407" s="7">
        <f>ROUND(1500,2)</f>
        <v>1500</v>
      </c>
      <c r="FU407" s="6"/>
      <c r="FV407" s="6"/>
      <c r="FW407" s="6"/>
      <c r="FX407" s="7">
        <f>ROUND(425.55,2)</f>
        <v>425.55</v>
      </c>
      <c r="FY407" s="7">
        <f>ROUND(35907.99,2)</f>
        <v>35907.99</v>
      </c>
    </row>
    <row r="408" spans="1:181" x14ac:dyDescent="0.3">
      <c r="A408" s="4" t="s">
        <v>1021</v>
      </c>
      <c r="B408" s="5" t="s">
        <v>1029</v>
      </c>
      <c r="C408" s="5" t="s">
        <v>181</v>
      </c>
      <c r="D408" s="5" t="s">
        <v>196</v>
      </c>
      <c r="E408" s="5" t="s">
        <v>0</v>
      </c>
      <c r="F408" s="5" t="s">
        <v>0</v>
      </c>
      <c r="G408" s="5" t="s">
        <v>183</v>
      </c>
      <c r="H408" s="8">
        <v>33.049999999999997</v>
      </c>
      <c r="I408" s="7">
        <f>ROUND(86239.13,2)</f>
        <v>86239.13</v>
      </c>
      <c r="J408" s="6"/>
      <c r="K408" s="6"/>
      <c r="L408" s="6"/>
      <c r="M408" s="6"/>
      <c r="N408" s="7">
        <f>ROUND(1012.75,2)</f>
        <v>1012.75</v>
      </c>
      <c r="O408" s="6"/>
      <c r="P408" s="6"/>
      <c r="Q408" s="7">
        <f>ROUND(168.739999999999,2)</f>
        <v>168.74</v>
      </c>
      <c r="R408" s="6"/>
      <c r="S408" s="6"/>
      <c r="T408" s="6"/>
      <c r="U408" s="6"/>
      <c r="V408" s="7">
        <f>ROUND(12.43,2)</f>
        <v>12.43</v>
      </c>
      <c r="W408" s="7">
        <f>ROUND(29.27,2)</f>
        <v>29.27</v>
      </c>
      <c r="X408" s="7">
        <f>ROUND(0.909999999999999,2)</f>
        <v>0.91</v>
      </c>
      <c r="Y408" s="6"/>
      <c r="Z408" s="6"/>
      <c r="AA408" s="6"/>
      <c r="AB408" s="6"/>
      <c r="AC408" s="6"/>
      <c r="AD408" s="6"/>
      <c r="AE408" s="7">
        <f>ROUND(210.48,2)</f>
        <v>210.48</v>
      </c>
      <c r="AF408" s="6"/>
      <c r="AG408" s="7">
        <f>ROUND(23.18,2)</f>
        <v>23.18</v>
      </c>
      <c r="AH408" s="6"/>
      <c r="AI408" s="6"/>
      <c r="AJ408" s="6"/>
      <c r="AK408" s="6"/>
      <c r="AL408" s="6"/>
      <c r="AM408" s="6"/>
      <c r="AN408" s="6"/>
      <c r="AO408" s="6"/>
      <c r="AP408" s="7">
        <f>ROUND(533.12,2)</f>
        <v>533.12</v>
      </c>
      <c r="AQ408" s="6"/>
      <c r="AR408" s="7">
        <f>ROUND(56.3799999999999,2)</f>
        <v>56.38</v>
      </c>
      <c r="AS408" s="6"/>
      <c r="AT408" s="6"/>
      <c r="AU408" s="7">
        <f>ROUND(66,2)</f>
        <v>66</v>
      </c>
      <c r="AV408" s="6"/>
      <c r="AW408" s="7">
        <f>ROUND(34,2)</f>
        <v>34</v>
      </c>
      <c r="AX408" s="6"/>
      <c r="AY408" s="7">
        <f>ROUND(8,2)</f>
        <v>8</v>
      </c>
      <c r="AZ408" s="6"/>
      <c r="BA408" s="6"/>
      <c r="BB408" s="6"/>
      <c r="BC408" s="6"/>
      <c r="BD408" s="7">
        <f>ROUND(8,2)</f>
        <v>8</v>
      </c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7">
        <f>ROUND(89.37,2)</f>
        <v>89.37</v>
      </c>
      <c r="BP408" s="7">
        <f>ROUND(10.88,2)</f>
        <v>10.88</v>
      </c>
      <c r="BQ408" s="7">
        <f>ROUND(31.03,2)</f>
        <v>31.03</v>
      </c>
      <c r="BR408" s="7">
        <f>ROUND(1.72,2)</f>
        <v>1.72</v>
      </c>
      <c r="BS408" s="7">
        <f>ROUND(104,2)</f>
        <v>104</v>
      </c>
      <c r="BT408" s="7">
        <f>ROUND(9.73,2)</f>
        <v>9.73</v>
      </c>
      <c r="BU408" s="6"/>
      <c r="BV408" s="6"/>
      <c r="BW408" s="7">
        <f>ROUND(8,2)</f>
        <v>8</v>
      </c>
      <c r="BX408" s="6"/>
      <c r="BY408" s="7">
        <f>ROUND(8,2)</f>
        <v>8</v>
      </c>
      <c r="BZ408" s="6"/>
      <c r="CA408" s="7">
        <f>ROUND(8,2)</f>
        <v>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7">
        <f>ROUND(72,2)</f>
        <v>72</v>
      </c>
      <c r="CQ408" s="7">
        <f>ROUND(2505.99,2)</f>
        <v>2505.9899999999998</v>
      </c>
      <c r="CR408" s="6"/>
      <c r="CS408" s="6"/>
      <c r="CT408" s="6"/>
      <c r="CU408" s="6"/>
      <c r="CV408" s="7">
        <f>ROUND(33015.6,2)</f>
        <v>33015.599999999999</v>
      </c>
      <c r="CW408" s="6"/>
      <c r="CX408" s="6"/>
      <c r="CY408" s="7">
        <f>ROUND(8270.19,2)</f>
        <v>8270.19</v>
      </c>
      <c r="CZ408" s="6"/>
      <c r="DA408" s="6"/>
      <c r="DB408" s="6"/>
      <c r="DC408" s="6"/>
      <c r="DD408" s="7">
        <f>ROUND(402.85,2)</f>
        <v>402.85</v>
      </c>
      <c r="DE408" s="7">
        <f>ROUND(1454.62999999999,2)</f>
        <v>1454.63</v>
      </c>
      <c r="DF408" s="7">
        <f>ROUND(29.57,2)</f>
        <v>29.57</v>
      </c>
      <c r="DG408" s="6"/>
      <c r="DH408" s="6"/>
      <c r="DI408" s="6"/>
      <c r="DJ408" s="6"/>
      <c r="DK408" s="6"/>
      <c r="DL408" s="6"/>
      <c r="DM408" s="6"/>
      <c r="DN408" s="7">
        <f>ROUND(6864.31,2)</f>
        <v>6864.31</v>
      </c>
      <c r="DO408" s="6"/>
      <c r="DP408" s="7">
        <f>ROUND(1127.78,2)</f>
        <v>1127.78</v>
      </c>
      <c r="DQ408" s="6"/>
      <c r="DR408" s="6"/>
      <c r="DS408" s="6"/>
      <c r="DT408" s="6"/>
      <c r="DU408" s="6"/>
      <c r="DV408" s="6"/>
      <c r="DW408" s="6"/>
      <c r="DX408" s="6"/>
      <c r="DY408" s="7">
        <f>ROUND(17326.87,2)</f>
        <v>17326.87</v>
      </c>
      <c r="DZ408" s="6"/>
      <c r="EA408" s="7">
        <f>ROUND(2739.54999999999,2)</f>
        <v>2739.55</v>
      </c>
      <c r="EB408" s="6"/>
      <c r="EC408" s="6"/>
      <c r="ED408" s="7">
        <f>ROUND(2142.9,2)</f>
        <v>2142.9</v>
      </c>
      <c r="EE408" s="6"/>
      <c r="EF408" s="7">
        <f>ROUND(1098.74,2)</f>
        <v>1098.74</v>
      </c>
      <c r="EG408" s="6"/>
      <c r="EH408" s="7">
        <f>ROUND(264.4,2)</f>
        <v>264.39999999999998</v>
      </c>
      <c r="EI408" s="6"/>
      <c r="EJ408" s="6"/>
      <c r="EK408" s="6"/>
      <c r="EL408" s="6"/>
      <c r="EM408" s="6"/>
      <c r="EN408" s="7">
        <f>ROUND(256.72,2)</f>
        <v>256.72000000000003</v>
      </c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7">
        <f>ROUND(2917.56999999999,2)</f>
        <v>2917.57</v>
      </c>
      <c r="FC408" s="7">
        <f>ROUND(523.7,2)</f>
        <v>523.70000000000005</v>
      </c>
      <c r="FD408" s="7">
        <f>ROUND(1017.59999999999,2)</f>
        <v>1017.6</v>
      </c>
      <c r="FE408" s="7">
        <f>ROUND(82.79,2)</f>
        <v>82.79</v>
      </c>
      <c r="FF408" s="6"/>
      <c r="FG408" s="6"/>
      <c r="FH408" s="6"/>
      <c r="FI408" s="6"/>
      <c r="FJ408" s="7">
        <f>ROUND(1300,2)</f>
        <v>1300</v>
      </c>
      <c r="FK408" s="6"/>
      <c r="FL408" s="6"/>
      <c r="FM408" s="6"/>
      <c r="FN408" s="6"/>
      <c r="FO408" s="6"/>
      <c r="FP408" s="6"/>
      <c r="FQ408" s="6"/>
      <c r="FR408" s="6"/>
      <c r="FS408" s="6"/>
      <c r="FT408" s="7">
        <f>ROUND(3000,2)</f>
        <v>3000</v>
      </c>
      <c r="FU408" s="6"/>
      <c r="FV408" s="6"/>
      <c r="FW408" s="6"/>
      <c r="FX408" s="7">
        <f>ROUND(2403.36,2)</f>
        <v>2403.36</v>
      </c>
      <c r="FY408" s="7">
        <f>ROUND(86239.13,2)</f>
        <v>86239.13</v>
      </c>
    </row>
    <row r="409" spans="1:181" x14ac:dyDescent="0.3">
      <c r="A409" s="4" t="s">
        <v>1022</v>
      </c>
      <c r="B409" s="5" t="s">
        <v>1029</v>
      </c>
      <c r="C409" s="5" t="s">
        <v>181</v>
      </c>
      <c r="D409" s="5" t="s">
        <v>901</v>
      </c>
      <c r="E409" s="5" t="s">
        <v>0</v>
      </c>
      <c r="F409" s="5" t="s">
        <v>0</v>
      </c>
      <c r="G409" s="5" t="s">
        <v>183</v>
      </c>
      <c r="H409" s="8">
        <v>33.380000000000003</v>
      </c>
      <c r="I409" s="7">
        <f>ROUND(83186.4099999999,2)</f>
        <v>83186.41</v>
      </c>
      <c r="J409" s="6"/>
      <c r="K409" s="6"/>
      <c r="L409" s="6"/>
      <c r="M409" s="6"/>
      <c r="N409" s="7">
        <f>ROUND(723.48,2)</f>
        <v>723.48</v>
      </c>
      <c r="O409" s="6"/>
      <c r="P409" s="6"/>
      <c r="Q409" s="7">
        <f>ROUND(127.409999999999,2)</f>
        <v>127.41</v>
      </c>
      <c r="R409" s="6"/>
      <c r="S409" s="6"/>
      <c r="T409" s="6"/>
      <c r="U409" s="6"/>
      <c r="V409" s="7">
        <f>ROUND(8.3,2)</f>
        <v>8.3000000000000007</v>
      </c>
      <c r="W409" s="7">
        <f>ROUND(8.57,2)</f>
        <v>8.57</v>
      </c>
      <c r="X409" s="6"/>
      <c r="Y409" s="6"/>
      <c r="Z409" s="6"/>
      <c r="AA409" s="6"/>
      <c r="AB409" s="6"/>
      <c r="AC409" s="6"/>
      <c r="AD409" s="6"/>
      <c r="AE409" s="7">
        <f>ROUND(745.89,2)</f>
        <v>745.89</v>
      </c>
      <c r="AF409" s="6"/>
      <c r="AG409" s="7">
        <f>ROUND(60.7,2)</f>
        <v>60.7</v>
      </c>
      <c r="AH409" s="6"/>
      <c r="AI409" s="6"/>
      <c r="AJ409" s="6"/>
      <c r="AK409" s="6"/>
      <c r="AL409" s="6"/>
      <c r="AM409" s="6"/>
      <c r="AN409" s="6"/>
      <c r="AO409" s="6"/>
      <c r="AP409" s="7">
        <f>ROUND(320.37,2)</f>
        <v>320.37</v>
      </c>
      <c r="AQ409" s="6"/>
      <c r="AR409" s="7">
        <f>ROUND(2.01,2)</f>
        <v>2.0099999999999998</v>
      </c>
      <c r="AS409" s="6"/>
      <c r="AT409" s="6"/>
      <c r="AU409" s="7">
        <f>ROUND(76,2)</f>
        <v>76</v>
      </c>
      <c r="AV409" s="6"/>
      <c r="AW409" s="7">
        <f>ROUND(41.58,2)</f>
        <v>41.58</v>
      </c>
      <c r="AX409" s="7">
        <f>ROUND(2.42,2)</f>
        <v>2.42</v>
      </c>
      <c r="AY409" s="7">
        <f>ROUND(76,2)</f>
        <v>76</v>
      </c>
      <c r="AZ409" s="6"/>
      <c r="BA409" s="7">
        <f>ROUND(5,2)</f>
        <v>5</v>
      </c>
      <c r="BB409" s="7">
        <f>ROUND(10,2)</f>
        <v>10</v>
      </c>
      <c r="BC409" s="6"/>
      <c r="BD409" s="7">
        <f>ROUND(8,2)</f>
        <v>8</v>
      </c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7">
        <f>ROUND(93.37,2)</f>
        <v>93.37</v>
      </c>
      <c r="BR409" s="6"/>
      <c r="BS409" s="7">
        <f>ROUND(8,2)</f>
        <v>8</v>
      </c>
      <c r="BT409" s="7">
        <f>ROUND(3.4,2)</f>
        <v>3.4</v>
      </c>
      <c r="BU409" s="6"/>
      <c r="BV409" s="6"/>
      <c r="BW409" s="6"/>
      <c r="BX409" s="6"/>
      <c r="BY409" s="7">
        <f>ROUND(32,2)</f>
        <v>32</v>
      </c>
      <c r="BZ409" s="6"/>
      <c r="CA409" s="7">
        <f>ROUND(26,2)</f>
        <v>26</v>
      </c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7">
        <f>ROUND(2378.5,2)</f>
        <v>2378.5</v>
      </c>
      <c r="CR409" s="6"/>
      <c r="CS409" s="6"/>
      <c r="CT409" s="6"/>
      <c r="CU409" s="6"/>
      <c r="CV409" s="7">
        <f>ROUND(23633.8399999999,2)</f>
        <v>23633.84</v>
      </c>
      <c r="CW409" s="6"/>
      <c r="CX409" s="6"/>
      <c r="CY409" s="7">
        <f>ROUND(6273.30999999999,2)</f>
        <v>6273.31</v>
      </c>
      <c r="CZ409" s="6"/>
      <c r="DA409" s="6"/>
      <c r="DB409" s="6"/>
      <c r="DC409" s="6"/>
      <c r="DD409" s="7">
        <f>ROUND(266.35,2)</f>
        <v>266.35000000000002</v>
      </c>
      <c r="DE409" s="7">
        <f>ROUND(426.79,2)</f>
        <v>426.79</v>
      </c>
      <c r="DF409" s="6"/>
      <c r="DG409" s="6"/>
      <c r="DH409" s="6"/>
      <c r="DI409" s="6"/>
      <c r="DJ409" s="6"/>
      <c r="DK409" s="6"/>
      <c r="DL409" s="6"/>
      <c r="DM409" s="6"/>
      <c r="DN409" s="7">
        <f>ROUND(24358.96,2)</f>
        <v>24358.959999999999</v>
      </c>
      <c r="DO409" s="6"/>
      <c r="DP409" s="7">
        <f>ROUND(2931.49,2)</f>
        <v>2931.49</v>
      </c>
      <c r="DQ409" s="6"/>
      <c r="DR409" s="6"/>
      <c r="DS409" s="6"/>
      <c r="DT409" s="6"/>
      <c r="DU409" s="6"/>
      <c r="DV409" s="6"/>
      <c r="DW409" s="6"/>
      <c r="DX409" s="6"/>
      <c r="DY409" s="7">
        <f>ROUND(10431.1199999999,2)</f>
        <v>10431.120000000001</v>
      </c>
      <c r="DZ409" s="6"/>
      <c r="EA409" s="7">
        <f>ROUND(98.96,2)</f>
        <v>98.96</v>
      </c>
      <c r="EB409" s="6"/>
      <c r="EC409" s="6"/>
      <c r="ED409" s="7">
        <f>ROUND(2476.7,2)</f>
        <v>2476.6999999999998</v>
      </c>
      <c r="EE409" s="6"/>
      <c r="EF409" s="7">
        <f>ROUND(1344.63,2)</f>
        <v>1344.63</v>
      </c>
      <c r="EG409" s="7">
        <f>ROUND(116.48,2)</f>
        <v>116.48</v>
      </c>
      <c r="EH409" s="7">
        <f>ROUND(2496.44,2)</f>
        <v>2496.44</v>
      </c>
      <c r="EI409" s="6"/>
      <c r="EJ409" s="7">
        <f>ROUND(247.88,2)</f>
        <v>247.88</v>
      </c>
      <c r="EK409" s="7">
        <f>ROUND(320.9,2)</f>
        <v>320.89999999999998</v>
      </c>
      <c r="EL409" s="6"/>
      <c r="EM409" s="6"/>
      <c r="EN409" s="7">
        <f>ROUND(256.72,2)</f>
        <v>256.72000000000003</v>
      </c>
      <c r="EO409" s="6"/>
      <c r="EP409" s="6"/>
      <c r="EQ409" s="6"/>
      <c r="ER409" s="6"/>
      <c r="ES409" s="6"/>
      <c r="ET409" s="6"/>
      <c r="EU409" s="6"/>
      <c r="EV409" s="7">
        <f>ROUND(500,2)</f>
        <v>500</v>
      </c>
      <c r="EW409" s="6"/>
      <c r="EX409" s="6"/>
      <c r="EY409" s="6"/>
      <c r="EZ409" s="6"/>
      <c r="FA409" s="6"/>
      <c r="FB409" s="6"/>
      <c r="FC409" s="6"/>
      <c r="FD409" s="7">
        <f>ROUND(3005.84,2)</f>
        <v>3005.84</v>
      </c>
      <c r="FE409" s="6"/>
      <c r="FF409" s="6"/>
      <c r="FG409" s="6"/>
      <c r="FH409" s="6"/>
      <c r="FI409" s="6"/>
      <c r="FJ409" s="7">
        <f>ROUND(1000,2)</f>
        <v>1000</v>
      </c>
      <c r="FK409" s="6"/>
      <c r="FL409" s="6"/>
      <c r="FM409" s="6"/>
      <c r="FN409" s="6"/>
      <c r="FO409" s="6"/>
      <c r="FP409" s="6"/>
      <c r="FQ409" s="6"/>
      <c r="FR409" s="6"/>
      <c r="FS409" s="6"/>
      <c r="FT409" s="7">
        <f>ROUND(3000,2)</f>
        <v>3000</v>
      </c>
      <c r="FU409" s="6"/>
      <c r="FV409" s="6"/>
      <c r="FW409" s="6"/>
      <c r="FX409" s="6"/>
      <c r="FY409" s="7">
        <f>ROUND(83186.4099999999,2)</f>
        <v>83186.41</v>
      </c>
    </row>
    <row r="410" spans="1:181" x14ac:dyDescent="0.3">
      <c r="A410" s="4" t="s">
        <v>1025</v>
      </c>
      <c r="B410" s="5" t="s">
        <v>1029</v>
      </c>
      <c r="C410" s="5" t="s">
        <v>181</v>
      </c>
      <c r="D410" s="5" t="s">
        <v>370</v>
      </c>
      <c r="E410" s="5" t="s">
        <v>0</v>
      </c>
      <c r="F410" s="5" t="s">
        <v>0</v>
      </c>
      <c r="G410" s="5" t="s">
        <v>183</v>
      </c>
      <c r="H410" s="8">
        <v>33.380000000000003</v>
      </c>
      <c r="I410" s="7">
        <f>ROUND(97862.52,2)</f>
        <v>97862.52</v>
      </c>
      <c r="J410" s="6"/>
      <c r="K410" s="6"/>
      <c r="L410" s="6"/>
      <c r="M410" s="6"/>
      <c r="N410" s="7">
        <f>ROUND(2022.62999999999,2)</f>
        <v>2022.63</v>
      </c>
      <c r="O410" s="6"/>
      <c r="P410" s="6"/>
      <c r="Q410" s="7">
        <f>ROUND(342.749999999999,2)</f>
        <v>342.75</v>
      </c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7">
        <f>ROUND(62.47,2)</f>
        <v>62.47</v>
      </c>
      <c r="AV410" s="7">
        <f>ROUND(5.53,2)</f>
        <v>5.53</v>
      </c>
      <c r="AW410" s="7">
        <f>ROUND(38.5,2)</f>
        <v>38.5</v>
      </c>
      <c r="AX410" s="7">
        <f>ROUND(1.5,2)</f>
        <v>1.5</v>
      </c>
      <c r="AY410" s="6"/>
      <c r="AZ410" s="6"/>
      <c r="BA410" s="6"/>
      <c r="BB410" s="6"/>
      <c r="BC410" s="6"/>
      <c r="BD410" s="7">
        <f>ROUND(8,2)</f>
        <v>8</v>
      </c>
      <c r="BE410" s="7">
        <f>ROUND(1.67,2)</f>
        <v>1.67</v>
      </c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7">
        <f>ROUND(160,2)</f>
        <v>160</v>
      </c>
      <c r="CQ410" s="7">
        <f>ROUND(2643.05,2)</f>
        <v>2643.05</v>
      </c>
      <c r="CR410" s="6"/>
      <c r="CS410" s="6"/>
      <c r="CT410" s="6"/>
      <c r="CU410" s="6"/>
      <c r="CV410" s="7">
        <f>ROUND(66207.2599999999,2)</f>
        <v>66207.259999999995</v>
      </c>
      <c r="CW410" s="6"/>
      <c r="CX410" s="6"/>
      <c r="CY410" s="7">
        <f>ROUND(16835.21,2)</f>
        <v>16835.21</v>
      </c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7">
        <f>ROUND(2032.71,2)</f>
        <v>2032.71</v>
      </c>
      <c r="EE410" s="7">
        <f>ROUND(274.18,2)</f>
        <v>274.18</v>
      </c>
      <c r="EF410" s="7">
        <f>ROUND(1264.75,2)</f>
        <v>1264.75</v>
      </c>
      <c r="EG410" s="7">
        <f>ROUND(74.36,2)</f>
        <v>74.36</v>
      </c>
      <c r="EH410" s="6"/>
      <c r="EI410" s="6"/>
      <c r="EJ410" s="6"/>
      <c r="EK410" s="6"/>
      <c r="EL410" s="6"/>
      <c r="EM410" s="6"/>
      <c r="EN410" s="7">
        <f>ROUND(256.72,2)</f>
        <v>256.72000000000003</v>
      </c>
      <c r="EO410" s="7">
        <f>ROUND(76.53,2)</f>
        <v>76.53</v>
      </c>
      <c r="EP410" s="6"/>
      <c r="EQ410" s="6"/>
      <c r="ER410" s="6"/>
      <c r="ES410" s="6"/>
      <c r="ET410" s="6"/>
      <c r="EU410" s="6"/>
      <c r="EV410" s="7">
        <f>ROUND(500,2)</f>
        <v>500</v>
      </c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7">
        <f>ROUND(2000,2)</f>
        <v>2000</v>
      </c>
      <c r="FK410" s="6"/>
      <c r="FL410" s="6"/>
      <c r="FM410" s="6"/>
      <c r="FN410" s="6"/>
      <c r="FO410" s="6"/>
      <c r="FP410" s="6"/>
      <c r="FQ410" s="6"/>
      <c r="FR410" s="6"/>
      <c r="FS410" s="6"/>
      <c r="FT410" s="7">
        <f>ROUND(3000,2)</f>
        <v>3000</v>
      </c>
      <c r="FU410" s="6"/>
      <c r="FV410" s="6"/>
      <c r="FW410" s="6"/>
      <c r="FX410" s="7">
        <f>ROUND(5340.8,2)</f>
        <v>5340.8</v>
      </c>
      <c r="FY410" s="7">
        <f>ROUND(97862.52,2)</f>
        <v>97862.52</v>
      </c>
    </row>
    <row r="411" spans="1:181" x14ac:dyDescent="0.3">
      <c r="A411" s="4" t="s">
        <v>1026</v>
      </c>
      <c r="B411" s="5" t="s">
        <v>1029</v>
      </c>
      <c r="C411" s="5" t="s">
        <v>181</v>
      </c>
      <c r="D411" s="5" t="s">
        <v>1027</v>
      </c>
      <c r="E411" s="5" t="s">
        <v>378</v>
      </c>
      <c r="F411" s="5" t="s">
        <v>0</v>
      </c>
      <c r="G411" s="5" t="s">
        <v>183</v>
      </c>
      <c r="H411" s="9">
        <v>29.75</v>
      </c>
      <c r="I411" s="7">
        <f>ROUND(47746.54,2)</f>
        <v>47746.54</v>
      </c>
      <c r="J411" s="6"/>
      <c r="K411" s="6"/>
      <c r="L411" s="6"/>
      <c r="M411" s="6"/>
      <c r="N411" s="7">
        <f>ROUND(1056.68999999999,2)</f>
        <v>1056.69</v>
      </c>
      <c r="O411" s="6"/>
      <c r="P411" s="6"/>
      <c r="Q411" s="7">
        <f>ROUND(34.92,2)</f>
        <v>34.92</v>
      </c>
      <c r="R411" s="6"/>
      <c r="S411" s="6"/>
      <c r="T411" s="6"/>
      <c r="U411" s="6"/>
      <c r="V411" s="7">
        <f>ROUND(50.5999999999999,2)</f>
        <v>50.6</v>
      </c>
      <c r="W411" s="7">
        <f>ROUND(4.33,2)</f>
        <v>4.33</v>
      </c>
      <c r="X411" s="6"/>
      <c r="Y411" s="6"/>
      <c r="Z411" s="6"/>
      <c r="AA411" s="6"/>
      <c r="AB411" s="6"/>
      <c r="AC411" s="6"/>
      <c r="AD411" s="6"/>
      <c r="AE411" s="7">
        <f>ROUND(64.32,2)</f>
        <v>64.319999999999993</v>
      </c>
      <c r="AF411" s="6"/>
      <c r="AG411" s="7">
        <f>ROUND(12.83,2)</f>
        <v>12.83</v>
      </c>
      <c r="AH411" s="6"/>
      <c r="AI411" s="6"/>
      <c r="AJ411" s="6"/>
      <c r="AK411" s="6"/>
      <c r="AL411" s="6"/>
      <c r="AM411" s="6"/>
      <c r="AN411" s="6"/>
      <c r="AO411" s="6"/>
      <c r="AP411" s="7">
        <f>ROUND(201.79,2)</f>
        <v>201.79</v>
      </c>
      <c r="AQ411" s="6"/>
      <c r="AR411" s="7">
        <f>ROUND(51.83,2)</f>
        <v>51.83</v>
      </c>
      <c r="AS411" s="6"/>
      <c r="AT411" s="6"/>
      <c r="AU411" s="7">
        <f>ROUND(33,2)</f>
        <v>33</v>
      </c>
      <c r="AV411" s="6"/>
      <c r="AW411" s="7">
        <f>ROUND(5,2)</f>
        <v>5</v>
      </c>
      <c r="AX411" s="6"/>
      <c r="AY411" s="7">
        <f>ROUND(5,2)</f>
        <v>5</v>
      </c>
      <c r="AZ411" s="6"/>
      <c r="BA411" s="6"/>
      <c r="BB411" s="7">
        <f>ROUND(28,2)</f>
        <v>28</v>
      </c>
      <c r="BC411" s="6"/>
      <c r="BD411" s="7">
        <f>ROUND(8,2)</f>
        <v>8</v>
      </c>
      <c r="BE411" s="6"/>
      <c r="BF411" s="6"/>
      <c r="BG411" s="7">
        <f>ROUND(17.6,2)</f>
        <v>17.600000000000001</v>
      </c>
      <c r="BH411" s="6"/>
      <c r="BI411" s="6"/>
      <c r="BJ411" s="6"/>
      <c r="BK411" s="6"/>
      <c r="BL411" s="6"/>
      <c r="BM411" s="6"/>
      <c r="BN411" s="6"/>
      <c r="BO411" s="6"/>
      <c r="BP411" s="6"/>
      <c r="BQ411" s="7">
        <f>ROUND(16,2)</f>
        <v>16</v>
      </c>
      <c r="BR411" s="6"/>
      <c r="BS411" s="6"/>
      <c r="BT411" s="7">
        <f>ROUND(0.67,2)</f>
        <v>0.67</v>
      </c>
      <c r="BU411" s="6"/>
      <c r="BV411" s="6"/>
      <c r="BW411" s="6"/>
      <c r="BX411" s="6"/>
      <c r="BY411" s="7">
        <f>ROUND(5,2)</f>
        <v>5</v>
      </c>
      <c r="BZ411" s="7">
        <f>ROUND(40,2)</f>
        <v>40</v>
      </c>
      <c r="CA411" s="7">
        <f>ROUND(16,2)</f>
        <v>16</v>
      </c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7">
        <f>ROUND(1651.58,2)</f>
        <v>1651.58</v>
      </c>
      <c r="CR411" s="6"/>
      <c r="CS411" s="6"/>
      <c r="CT411" s="6"/>
      <c r="CU411" s="6"/>
      <c r="CV411" s="7">
        <f>ROUND(29648.52,2)</f>
        <v>29648.52</v>
      </c>
      <c r="CW411" s="6"/>
      <c r="CX411" s="6"/>
      <c r="CY411" s="7">
        <f>ROUND(1559.86,2)</f>
        <v>1559.86</v>
      </c>
      <c r="CZ411" s="6"/>
      <c r="DA411" s="6"/>
      <c r="DB411" s="6"/>
      <c r="DC411" s="6"/>
      <c r="DD411" s="7">
        <f>ROUND(1509.79,2)</f>
        <v>1509.79</v>
      </c>
      <c r="DE411" s="7">
        <f>ROUND(193.23,2)</f>
        <v>193.23</v>
      </c>
      <c r="DF411" s="6"/>
      <c r="DG411" s="6"/>
      <c r="DH411" s="6"/>
      <c r="DI411" s="7">
        <f>ROUND(157.08,2)</f>
        <v>157.08000000000001</v>
      </c>
      <c r="DJ411" s="6"/>
      <c r="DK411" s="6"/>
      <c r="DL411" s="6"/>
      <c r="DM411" s="6"/>
      <c r="DN411" s="7">
        <f>ROUND(1916.2,2)</f>
        <v>1916.2</v>
      </c>
      <c r="DO411" s="6"/>
      <c r="DP411" s="7">
        <f>ROUND(572.79,2)</f>
        <v>572.79</v>
      </c>
      <c r="DQ411" s="6"/>
      <c r="DR411" s="6"/>
      <c r="DS411" s="6"/>
      <c r="DT411" s="6"/>
      <c r="DU411" s="6"/>
      <c r="DV411" s="6"/>
      <c r="DW411" s="6"/>
      <c r="DX411" s="6"/>
      <c r="DY411" s="7">
        <f>ROUND(6024.9,2)</f>
        <v>6024.9</v>
      </c>
      <c r="DZ411" s="6"/>
      <c r="EA411" s="7">
        <f>ROUND(2321.7,2)</f>
        <v>2321.6999999999998</v>
      </c>
      <c r="EB411" s="6"/>
      <c r="EC411" s="6"/>
      <c r="ED411" s="7">
        <f>ROUND(907.95,2)</f>
        <v>907.95</v>
      </c>
      <c r="EE411" s="6"/>
      <c r="EF411" s="7">
        <f>ROUND(140.45,2)</f>
        <v>140.44999999999999</v>
      </c>
      <c r="EG411" s="6"/>
      <c r="EH411" s="7">
        <f>ROUND(148.75,2)</f>
        <v>148.75</v>
      </c>
      <c r="EI411" s="6"/>
      <c r="EJ411" s="6"/>
      <c r="EK411" s="7">
        <f>ROUND(795.95,2)</f>
        <v>795.95</v>
      </c>
      <c r="EL411" s="6"/>
      <c r="EM411" s="6"/>
      <c r="EN411" s="7">
        <f>ROUND(218.24,2)</f>
        <v>218.24</v>
      </c>
      <c r="EO411" s="6"/>
      <c r="EP411" s="6"/>
      <c r="EQ411" s="7">
        <f>ROUND(480.13,2)</f>
        <v>480.13</v>
      </c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7">
        <f>ROUND(476,2)</f>
        <v>476</v>
      </c>
      <c r="FE411" s="6"/>
      <c r="FF411" s="6"/>
      <c r="FG411" s="6"/>
      <c r="FH411" s="6"/>
      <c r="FI411" s="6"/>
      <c r="FJ411" s="7">
        <f>ROUND(675,2)</f>
        <v>675</v>
      </c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7">
        <f>ROUND(47746.54,2)</f>
        <v>47746.54</v>
      </c>
    </row>
    <row r="412" spans="1:181" ht="26.4" x14ac:dyDescent="0.3">
      <c r="A412" s="4" t="s">
        <v>243</v>
      </c>
      <c r="B412" s="5"/>
      <c r="C412" s="5" t="s">
        <v>244</v>
      </c>
      <c r="D412" s="5" t="s">
        <v>245</v>
      </c>
      <c r="E412" s="5" t="s">
        <v>246</v>
      </c>
      <c r="F412" s="5" t="s">
        <v>0</v>
      </c>
      <c r="G412" s="5" t="s">
        <v>247</v>
      </c>
      <c r="H412" s="8">
        <f>ROUND(18,2)</f>
        <v>18</v>
      </c>
      <c r="I412" s="7">
        <f>ROUND(5337,2)</f>
        <v>5337</v>
      </c>
      <c r="J412" s="7">
        <f>ROUND(268.5,2)</f>
        <v>268.5</v>
      </c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7">
        <f>ROUND(20,2)</f>
        <v>20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7">
        <f>ROUND(8,2)</f>
        <v>8</v>
      </c>
      <c r="CH412" s="6"/>
      <c r="CI412" s="6"/>
      <c r="CJ412" s="6"/>
      <c r="CK412" s="6"/>
      <c r="CL412" s="6"/>
      <c r="CM412" s="6"/>
      <c r="CN412" s="6"/>
      <c r="CO412" s="6"/>
      <c r="CP412" s="6"/>
      <c r="CQ412" s="7">
        <f>ROUND(296.5,2)</f>
        <v>296.5</v>
      </c>
      <c r="CR412" s="7">
        <f>ROUND(4833,2)</f>
        <v>4833</v>
      </c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7">
        <f>ROUND(360,2)</f>
        <v>360</v>
      </c>
      <c r="FH412" s="6"/>
      <c r="FI412" s="6"/>
      <c r="FJ412" s="6"/>
      <c r="FK412" s="6"/>
      <c r="FL412" s="6"/>
      <c r="FM412" s="7">
        <f>ROUND(144,2)</f>
        <v>144</v>
      </c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7">
        <f>ROUND(5337,2)</f>
        <v>5337</v>
      </c>
    </row>
    <row r="413" spans="1:181" ht="26.4" x14ac:dyDescent="0.3">
      <c r="A413" s="4" t="s">
        <v>258</v>
      </c>
      <c r="B413" s="5"/>
      <c r="C413" s="5" t="s">
        <v>244</v>
      </c>
      <c r="D413" s="5" t="s">
        <v>259</v>
      </c>
      <c r="E413" s="5" t="s">
        <v>0</v>
      </c>
      <c r="F413" s="5" t="s">
        <v>0</v>
      </c>
      <c r="G413" s="5" t="s">
        <v>247</v>
      </c>
      <c r="H413" s="8">
        <f>ROUND(20.2601,2)</f>
        <v>20.260000000000002</v>
      </c>
      <c r="I413" s="7">
        <f>ROUND(50321.93,2)</f>
        <v>50321.93</v>
      </c>
      <c r="J413" s="7">
        <f>ROUND(1881.25,2)</f>
        <v>1881.25</v>
      </c>
      <c r="K413" s="7">
        <f>ROUND(123.25,2)</f>
        <v>123.25</v>
      </c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7">
        <f>ROUND(40,2)</f>
        <v>40</v>
      </c>
      <c r="BX413" s="6"/>
      <c r="BY413" s="6"/>
      <c r="BZ413" s="6"/>
      <c r="CA413" s="6"/>
      <c r="CB413" s="6"/>
      <c r="CC413" s="6"/>
      <c r="CD413" s="6"/>
      <c r="CE413" s="6"/>
      <c r="CF413" s="6"/>
      <c r="CG413" s="7">
        <f>ROUND(45,2)</f>
        <v>45</v>
      </c>
      <c r="CH413" s="7">
        <f>ROUND(40,2)</f>
        <v>40</v>
      </c>
      <c r="CI413" s="7">
        <f>ROUND(32,2)</f>
        <v>32</v>
      </c>
      <c r="CJ413" s="7">
        <f>ROUND(22,2)</f>
        <v>22</v>
      </c>
      <c r="CK413" s="6"/>
      <c r="CL413" s="7">
        <f>ROUND(20,2)</f>
        <v>20</v>
      </c>
      <c r="CM413" s="6"/>
      <c r="CN413" s="7">
        <f>ROUND(79,2)</f>
        <v>79</v>
      </c>
      <c r="CO413" s="7">
        <f>ROUND(8,2)</f>
        <v>8</v>
      </c>
      <c r="CP413" s="6"/>
      <c r="CQ413" s="7">
        <f>ROUND(2290.5,2)</f>
        <v>2290.5</v>
      </c>
      <c r="CR413" s="7">
        <f>ROUND(38114.13,2)</f>
        <v>38114.129999999997</v>
      </c>
      <c r="CS413" s="7">
        <f>ROUND(3745.61,2)</f>
        <v>3745.61</v>
      </c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>
        <f>ROUND(500,2)</f>
        <v>500</v>
      </c>
      <c r="EX413" s="6"/>
      <c r="EY413" s="6"/>
      <c r="EZ413" s="6"/>
      <c r="FA413" s="6"/>
      <c r="FB413" s="6"/>
      <c r="FC413" s="6"/>
      <c r="FD413" s="6"/>
      <c r="FE413" s="6"/>
      <c r="FF413" s="6"/>
      <c r="FG413" s="7">
        <f>ROUND(810.4,2)</f>
        <v>810.4</v>
      </c>
      <c r="FH413" s="6"/>
      <c r="FI413" s="6"/>
      <c r="FJ413" s="7">
        <f>ROUND(1944.96,2)</f>
        <v>1944.96</v>
      </c>
      <c r="FK413" s="6"/>
      <c r="FL413" s="6"/>
      <c r="FM413" s="7">
        <f>ROUND(911.7,2)</f>
        <v>911.7</v>
      </c>
      <c r="FN413" s="7">
        <f>ROUND(810.4,2)</f>
        <v>810.4</v>
      </c>
      <c r="FO413" s="7">
        <f>ROUND(648.32,2)</f>
        <v>648.32000000000005</v>
      </c>
      <c r="FP413" s="7">
        <f>ROUND(668.59,2)</f>
        <v>668.59</v>
      </c>
      <c r="FQ413" s="6"/>
      <c r="FR413" s="6"/>
      <c r="FS413" s="7">
        <f>ROUND(405.2,2)</f>
        <v>405.2</v>
      </c>
      <c r="FT413" s="6"/>
      <c r="FU413" s="6"/>
      <c r="FV413" s="7">
        <f>ROUND(1600.54,2)</f>
        <v>1600.54</v>
      </c>
      <c r="FW413" s="7">
        <f>ROUND(162.08,2)</f>
        <v>162.08000000000001</v>
      </c>
      <c r="FX413" s="6"/>
      <c r="FY413" s="7">
        <f>ROUND(50321.93,2)</f>
        <v>50321.93</v>
      </c>
    </row>
    <row r="414" spans="1:181" ht="26.4" x14ac:dyDescent="0.3">
      <c r="A414" s="4" t="s">
        <v>325</v>
      </c>
      <c r="B414" s="5"/>
      <c r="C414" s="5" t="s">
        <v>244</v>
      </c>
      <c r="D414" s="5" t="s">
        <v>326</v>
      </c>
      <c r="E414" s="5" t="s">
        <v>0</v>
      </c>
      <c r="F414" s="5" t="s">
        <v>0</v>
      </c>
      <c r="G414" s="5" t="s">
        <v>247</v>
      </c>
      <c r="H414" s="8">
        <f>ROUND(18,2)</f>
        <v>18</v>
      </c>
      <c r="I414" s="7">
        <f>ROUND(5985,2)</f>
        <v>5985</v>
      </c>
      <c r="J414" s="7">
        <f>ROUND(320,2)</f>
        <v>320</v>
      </c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7">
        <f>ROUND(320,2)</f>
        <v>320</v>
      </c>
      <c r="CR414" s="7">
        <f>ROUND(5760,2)</f>
        <v>5760</v>
      </c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7">
        <f>ROUND(225,2)</f>
        <v>225</v>
      </c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7">
        <f>ROUND(5985,2)</f>
        <v>5985</v>
      </c>
    </row>
    <row r="415" spans="1:181" ht="26.4" x14ac:dyDescent="0.3">
      <c r="A415" s="4" t="s">
        <v>364</v>
      </c>
      <c r="B415" s="5"/>
      <c r="C415" s="5" t="s">
        <v>244</v>
      </c>
      <c r="D415" s="5" t="s">
        <v>365</v>
      </c>
      <c r="E415" s="5" t="s">
        <v>0</v>
      </c>
      <c r="F415" s="5" t="s">
        <v>0</v>
      </c>
      <c r="G415" s="5" t="s">
        <v>366</v>
      </c>
      <c r="H415" s="8">
        <f>ROUND(21,2)</f>
        <v>21</v>
      </c>
      <c r="I415" s="7">
        <f>ROUND(53849.9299999999,2)</f>
        <v>53849.93</v>
      </c>
      <c r="J415" s="7">
        <f>ROUND(1982,2)</f>
        <v>1982</v>
      </c>
      <c r="K415" s="7">
        <f>ROUND(261.25,2)</f>
        <v>261.25</v>
      </c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7">
        <f>ROUND(16,2)</f>
        <v>16</v>
      </c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7">
        <f>ROUND(40,2)</f>
        <v>40</v>
      </c>
      <c r="CI415" s="7">
        <f>ROUND(24,2)</f>
        <v>24</v>
      </c>
      <c r="CJ415" s="7">
        <f>ROUND(19.5,2)</f>
        <v>19.5</v>
      </c>
      <c r="CK415" s="7">
        <f>ROUND(6,2)</f>
        <v>6</v>
      </c>
      <c r="CL415" s="6"/>
      <c r="CM415" s="6"/>
      <c r="CN415" s="7">
        <f>ROUND(40,2)</f>
        <v>40</v>
      </c>
      <c r="CO415" s="6"/>
      <c r="CP415" s="6"/>
      <c r="CQ415" s="7">
        <f>ROUND(2388.75,2)</f>
        <v>2388.75</v>
      </c>
      <c r="CR415" s="7">
        <f>ROUND(40423.6599999999,2)</f>
        <v>40423.660000000003</v>
      </c>
      <c r="CS415" s="7">
        <f>ROUND(7992.41,2)</f>
        <v>7992.41</v>
      </c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>
        <f>ROUND(291.67,2)</f>
        <v>291.67</v>
      </c>
      <c r="EX415" s="6"/>
      <c r="EY415" s="6"/>
      <c r="EZ415" s="6"/>
      <c r="FA415" s="6"/>
      <c r="FB415" s="6"/>
      <c r="FC415" s="6"/>
      <c r="FD415" s="6"/>
      <c r="FE415" s="6"/>
      <c r="FF415" s="6"/>
      <c r="FG415" s="7">
        <f>ROUND(336,2)</f>
        <v>336</v>
      </c>
      <c r="FH415" s="6"/>
      <c r="FI415" s="6"/>
      <c r="FJ415" s="7">
        <f>ROUND(2016,2)</f>
        <v>2016</v>
      </c>
      <c r="FK415" s="6"/>
      <c r="FL415" s="6"/>
      <c r="FM415" s="6"/>
      <c r="FN415" s="7">
        <f>ROUND(817.12,2)</f>
        <v>817.12</v>
      </c>
      <c r="FO415" s="7">
        <f>ROUND(481.12,2)</f>
        <v>481.12</v>
      </c>
      <c r="FP415" s="7">
        <f>ROUND(591.73,2)</f>
        <v>591.73</v>
      </c>
      <c r="FQ415" s="7">
        <f>ROUND(117.42,2)</f>
        <v>117.42</v>
      </c>
      <c r="FR415" s="6"/>
      <c r="FS415" s="6"/>
      <c r="FT415" s="6"/>
      <c r="FU415" s="6"/>
      <c r="FV415" s="7">
        <f>ROUND(782.8,2)</f>
        <v>782.8</v>
      </c>
      <c r="FW415" s="6"/>
      <c r="FX415" s="6"/>
      <c r="FY415" s="7">
        <f>ROUND(53849.9299999999,2)</f>
        <v>53849.93</v>
      </c>
    </row>
    <row r="416" spans="1:181" ht="26.4" x14ac:dyDescent="0.3">
      <c r="A416" s="4" t="s">
        <v>402</v>
      </c>
      <c r="B416" s="5"/>
      <c r="C416" s="5" t="s">
        <v>244</v>
      </c>
      <c r="D416" s="5" t="s">
        <v>403</v>
      </c>
      <c r="E416" s="5" t="s">
        <v>404</v>
      </c>
      <c r="F416" s="5" t="s">
        <v>0</v>
      </c>
      <c r="G416" s="5" t="s">
        <v>247</v>
      </c>
      <c r="H416" s="8">
        <f>ROUND(20.2601,2)</f>
        <v>20.260000000000002</v>
      </c>
      <c r="I416" s="7">
        <f>ROUND(43148.77,2)</f>
        <v>43148.77</v>
      </c>
      <c r="J416" s="7">
        <f>ROUND(1522,2)</f>
        <v>1522</v>
      </c>
      <c r="K416" s="7">
        <f>ROUND(208,2)</f>
        <v>208</v>
      </c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7">
        <f>ROUND(16,2)</f>
        <v>16</v>
      </c>
      <c r="BX416" s="6"/>
      <c r="BY416" s="6"/>
      <c r="BZ416" s="6"/>
      <c r="CA416" s="6"/>
      <c r="CB416" s="6"/>
      <c r="CC416" s="6"/>
      <c r="CD416" s="6"/>
      <c r="CE416" s="6"/>
      <c r="CF416" s="7">
        <f>ROUND(40,2)</f>
        <v>40</v>
      </c>
      <c r="CG416" s="6"/>
      <c r="CH416" s="7">
        <f>ROUND(8,2)</f>
        <v>8</v>
      </c>
      <c r="CI416" s="7">
        <f>ROUND(72,2)</f>
        <v>72</v>
      </c>
      <c r="CJ416" s="7">
        <f>ROUND(18.5,2)</f>
        <v>18.5</v>
      </c>
      <c r="CK416" s="6"/>
      <c r="CL416" s="7">
        <f>ROUND(52,2)</f>
        <v>52</v>
      </c>
      <c r="CM416" s="6"/>
      <c r="CN416" s="7">
        <f>ROUND(64,2)</f>
        <v>64</v>
      </c>
      <c r="CO416" s="6"/>
      <c r="CP416" s="7">
        <f>ROUND(16,2)</f>
        <v>16</v>
      </c>
      <c r="CQ416" s="7">
        <f>ROUND(2016.5,2)</f>
        <v>2016.5</v>
      </c>
      <c r="CR416" s="7">
        <f>ROUND(30835.72,2)</f>
        <v>30835.72</v>
      </c>
      <c r="CS416" s="7">
        <f>ROUND(6321.14,2)</f>
        <v>6321.14</v>
      </c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7">
        <f>ROUND(324.16,2)</f>
        <v>324.16000000000003</v>
      </c>
      <c r="FH416" s="6"/>
      <c r="FI416" s="6"/>
      <c r="FJ416" s="6"/>
      <c r="FK416" s="6"/>
      <c r="FL416" s="7">
        <f>ROUND(810.4,2)</f>
        <v>810.4</v>
      </c>
      <c r="FM416" s="6"/>
      <c r="FN416" s="7">
        <f>ROUND(162.08,2)</f>
        <v>162.08000000000001</v>
      </c>
      <c r="FO416" s="7">
        <f>ROUND(1458.73,2)</f>
        <v>1458.73</v>
      </c>
      <c r="FP416" s="7">
        <f>ROUND(562.22,2)</f>
        <v>562.22</v>
      </c>
      <c r="FQ416" s="6"/>
      <c r="FR416" s="6"/>
      <c r="FS416" s="7">
        <f>ROUND(1053.52,2)</f>
        <v>1053.52</v>
      </c>
      <c r="FT416" s="6"/>
      <c r="FU416" s="6"/>
      <c r="FV416" s="7">
        <f>ROUND(1296.64,2)</f>
        <v>1296.6400000000001</v>
      </c>
      <c r="FW416" s="6"/>
      <c r="FX416" s="7">
        <f>ROUND(324.16,2)</f>
        <v>324.16000000000003</v>
      </c>
      <c r="FY416" s="7">
        <f>ROUND(43148.7699999999,2)</f>
        <v>43148.77</v>
      </c>
    </row>
    <row r="417" spans="1:181" ht="26.4" x14ac:dyDescent="0.3">
      <c r="A417" s="4" t="s">
        <v>454</v>
      </c>
      <c r="B417" s="5"/>
      <c r="C417" s="5" t="s">
        <v>244</v>
      </c>
      <c r="D417" s="5" t="s">
        <v>455</v>
      </c>
      <c r="E417" s="5" t="s">
        <v>0</v>
      </c>
      <c r="F417" s="5" t="s">
        <v>0</v>
      </c>
      <c r="G417" s="5" t="s">
        <v>247</v>
      </c>
      <c r="H417" s="8">
        <f>ROUND(24.7509,2)</f>
        <v>24.75</v>
      </c>
      <c r="I417" s="7">
        <f>ROUND(72503.56,2)</f>
        <v>72503.56</v>
      </c>
      <c r="J417" s="7">
        <f>ROUND(1792,2)</f>
        <v>1792</v>
      </c>
      <c r="K417" s="7">
        <f>ROUND(456.75,2)</f>
        <v>456.75</v>
      </c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7">
        <f>ROUND(64,2)</f>
        <v>64</v>
      </c>
      <c r="CI417" s="7">
        <f>ROUND(32,2)</f>
        <v>32</v>
      </c>
      <c r="CJ417" s="6"/>
      <c r="CK417" s="6"/>
      <c r="CL417" s="6"/>
      <c r="CM417" s="6"/>
      <c r="CN417" s="7">
        <f>ROUND(232,2)</f>
        <v>232</v>
      </c>
      <c r="CO417" s="6"/>
      <c r="CP417" s="7">
        <f>ROUND(8,2)</f>
        <v>8</v>
      </c>
      <c r="CQ417" s="7">
        <f>ROUND(2584.75,2)</f>
        <v>2584.75</v>
      </c>
      <c r="CR417" s="7">
        <f>ROUND(44353.75,2)</f>
        <v>44353.75</v>
      </c>
      <c r="CS417" s="7">
        <f>ROUND(16957.45,2)</f>
        <v>16957.45</v>
      </c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7">
        <f>ROUND(2876,2)</f>
        <v>2876</v>
      </c>
      <c r="FK417" s="6"/>
      <c r="FL417" s="6"/>
      <c r="FM417" s="6"/>
      <c r="FN417" s="7">
        <f>ROUND(1584.08,2)</f>
        <v>1584.08</v>
      </c>
      <c r="FO417" s="7">
        <f>ROUND(792.03,2)</f>
        <v>792.03</v>
      </c>
      <c r="FP417" s="6"/>
      <c r="FQ417" s="6"/>
      <c r="FR417" s="6"/>
      <c r="FS417" s="6"/>
      <c r="FT417" s="6"/>
      <c r="FU417" s="6"/>
      <c r="FV417" s="7">
        <f>ROUND(5742.24,2)</f>
        <v>5742.24</v>
      </c>
      <c r="FW417" s="6"/>
      <c r="FX417" s="7">
        <f>ROUND(198.01,2)</f>
        <v>198.01</v>
      </c>
      <c r="FY417" s="7">
        <f>ROUND(72503.56,2)</f>
        <v>72503.56</v>
      </c>
    </row>
    <row r="418" spans="1:181" ht="26.4" x14ac:dyDescent="0.3">
      <c r="A418" s="4" t="s">
        <v>456</v>
      </c>
      <c r="B418" s="5"/>
      <c r="C418" s="5" t="s">
        <v>244</v>
      </c>
      <c r="D418" s="5" t="s">
        <v>457</v>
      </c>
      <c r="E418" s="5" t="s">
        <v>329</v>
      </c>
      <c r="F418" s="5" t="s">
        <v>0</v>
      </c>
      <c r="G418" s="5" t="s">
        <v>247</v>
      </c>
      <c r="H418" s="8">
        <f>ROUND(18,2)</f>
        <v>18</v>
      </c>
      <c r="I418" s="7">
        <f>ROUND(12793.5,2)</f>
        <v>12793.5</v>
      </c>
      <c r="J418" s="7">
        <f>ROUND(620.25,2)</f>
        <v>620.25</v>
      </c>
      <c r="K418" s="7">
        <f>ROUND(13,2)</f>
        <v>13</v>
      </c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7">
        <f>ROUND(11,2)</f>
        <v>11</v>
      </c>
      <c r="CH418" s="7">
        <f>ROUND(18,2)</f>
        <v>18</v>
      </c>
      <c r="CI418" s="6"/>
      <c r="CJ418" s="6"/>
      <c r="CK418" s="6"/>
      <c r="CL418" s="6"/>
      <c r="CM418" s="6"/>
      <c r="CN418" s="7">
        <f>ROUND(42,2)</f>
        <v>42</v>
      </c>
      <c r="CO418" s="6"/>
      <c r="CP418" s="6"/>
      <c r="CQ418" s="7">
        <f>ROUND(704.25,2)</f>
        <v>704.25</v>
      </c>
      <c r="CR418" s="7">
        <f>ROUND(11164.5,2)</f>
        <v>11164.5</v>
      </c>
      <c r="CS418" s="7">
        <f>ROUND(351,2)</f>
        <v>351</v>
      </c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7">
        <f>ROUND(198,2)</f>
        <v>198</v>
      </c>
      <c r="FN418" s="7">
        <f>ROUND(324,2)</f>
        <v>324</v>
      </c>
      <c r="FO418" s="6"/>
      <c r="FP418" s="6"/>
      <c r="FQ418" s="6"/>
      <c r="FR418" s="6"/>
      <c r="FS418" s="6"/>
      <c r="FT418" s="6"/>
      <c r="FU418" s="6"/>
      <c r="FV418" s="7">
        <f>ROUND(756,2)</f>
        <v>756</v>
      </c>
      <c r="FW418" s="6"/>
      <c r="FX418" s="6"/>
      <c r="FY418" s="7">
        <f>ROUND(12793.5,2)</f>
        <v>12793.5</v>
      </c>
    </row>
    <row r="419" spans="1:181" ht="26.4" x14ac:dyDescent="0.3">
      <c r="A419" s="4" t="s">
        <v>458</v>
      </c>
      <c r="B419" s="5"/>
      <c r="C419" s="5" t="s">
        <v>244</v>
      </c>
      <c r="D419" s="5" t="s">
        <v>459</v>
      </c>
      <c r="E419" s="5" t="s">
        <v>0</v>
      </c>
      <c r="F419" s="5" t="s">
        <v>0</v>
      </c>
      <c r="G419" s="5" t="s">
        <v>247</v>
      </c>
      <c r="H419" s="8">
        <f>ROUND(20.8678,2)</f>
        <v>20.87</v>
      </c>
      <c r="I419" s="7">
        <f>ROUND(48296.07,2)</f>
        <v>48296.07</v>
      </c>
      <c r="J419" s="7">
        <f>ROUND(1849.5,2)</f>
        <v>1849.5</v>
      </c>
      <c r="K419" s="7">
        <f>ROUND(55.25,2)</f>
        <v>55.25</v>
      </c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7">
        <f>ROUND(16,2)</f>
        <v>16</v>
      </c>
      <c r="BX419" s="6"/>
      <c r="BY419" s="6"/>
      <c r="BZ419" s="6"/>
      <c r="CA419" s="6"/>
      <c r="CB419" s="6"/>
      <c r="CC419" s="6"/>
      <c r="CD419" s="6"/>
      <c r="CE419" s="6"/>
      <c r="CF419" s="6"/>
      <c r="CG419" s="7">
        <f>ROUND(20,2)</f>
        <v>20</v>
      </c>
      <c r="CH419" s="7">
        <f>ROUND(48,2)</f>
        <v>48</v>
      </c>
      <c r="CI419" s="7">
        <f>ROUND(40,2)</f>
        <v>40</v>
      </c>
      <c r="CJ419" s="7">
        <f>ROUND(8,2)</f>
        <v>8</v>
      </c>
      <c r="CK419" s="6"/>
      <c r="CL419" s="7">
        <f>ROUND(30,2)</f>
        <v>30</v>
      </c>
      <c r="CM419" s="6"/>
      <c r="CN419" s="7">
        <f>ROUND(120,2)</f>
        <v>120</v>
      </c>
      <c r="CO419" s="6"/>
      <c r="CP419" s="6"/>
      <c r="CQ419" s="7">
        <f>ROUND(2186.75,2)</f>
        <v>2186.75</v>
      </c>
      <c r="CR419" s="7">
        <f>ROUND(38594.9599999999,2)</f>
        <v>38594.959999999999</v>
      </c>
      <c r="CS419" s="7">
        <f>ROUND(1729.43,2)</f>
        <v>1729.43</v>
      </c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7">
        <f>ROUND(333.88,2)</f>
        <v>333.88</v>
      </c>
      <c r="FH419" s="6"/>
      <c r="FI419" s="6"/>
      <c r="FJ419" s="7">
        <f>ROUND(2003.52,2)</f>
        <v>2003.52</v>
      </c>
      <c r="FK419" s="6"/>
      <c r="FL419" s="6"/>
      <c r="FM419" s="7">
        <f>ROUND(417.36,2)</f>
        <v>417.36</v>
      </c>
      <c r="FN419" s="7">
        <f>ROUND(1001.64,2)</f>
        <v>1001.64</v>
      </c>
      <c r="FO419" s="7">
        <f>ROUND(834.7,2)</f>
        <v>834.7</v>
      </c>
      <c r="FP419" s="7">
        <f>ROUND(250.41,2)</f>
        <v>250.41</v>
      </c>
      <c r="FQ419" s="6"/>
      <c r="FR419" s="6"/>
      <c r="FS419" s="7">
        <f>ROUND(626.04,2)</f>
        <v>626.04</v>
      </c>
      <c r="FT419" s="6"/>
      <c r="FU419" s="6"/>
      <c r="FV419" s="7">
        <f>ROUND(2504.13,2)</f>
        <v>2504.13</v>
      </c>
      <c r="FW419" s="6"/>
      <c r="FX419" s="6"/>
      <c r="FY419" s="7">
        <f>ROUND(48296.07,2)</f>
        <v>48296.07</v>
      </c>
    </row>
    <row r="420" spans="1:181" ht="26.4" x14ac:dyDescent="0.3">
      <c r="A420" s="4" t="s">
        <v>490</v>
      </c>
      <c r="B420" s="5"/>
      <c r="C420" s="5" t="s">
        <v>244</v>
      </c>
      <c r="D420" s="5" t="s">
        <v>491</v>
      </c>
      <c r="E420" s="5" t="s">
        <v>0</v>
      </c>
      <c r="F420" s="5" t="s">
        <v>0</v>
      </c>
      <c r="G420" s="5" t="s">
        <v>247</v>
      </c>
      <c r="H420" s="8">
        <f>ROUND(18,2)</f>
        <v>18</v>
      </c>
      <c r="I420" s="7">
        <f>ROUND(29736,2)</f>
        <v>29736</v>
      </c>
      <c r="J420" s="7">
        <f>ROUND(1493.25,2)</f>
        <v>1493.25</v>
      </c>
      <c r="K420" s="7">
        <f>ROUND(4.5,2)</f>
        <v>4.5</v>
      </c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7">
        <f>ROUND(5,2)</f>
        <v>5</v>
      </c>
      <c r="BX420" s="6"/>
      <c r="BY420" s="6"/>
      <c r="BZ420" s="6"/>
      <c r="CA420" s="6"/>
      <c r="CB420" s="6"/>
      <c r="CC420" s="6"/>
      <c r="CD420" s="6"/>
      <c r="CE420" s="6"/>
      <c r="CF420" s="6"/>
      <c r="CG420" s="7">
        <f>ROUND(34,2)</f>
        <v>34</v>
      </c>
      <c r="CH420" s="7">
        <f>ROUND(37,2)</f>
        <v>37</v>
      </c>
      <c r="CI420" s="6"/>
      <c r="CJ420" s="7">
        <f>ROUND(4,2)</f>
        <v>4</v>
      </c>
      <c r="CK420" s="6"/>
      <c r="CL420" s="6"/>
      <c r="CM420" s="6"/>
      <c r="CN420" s="7">
        <f>ROUND(26,2)</f>
        <v>26</v>
      </c>
      <c r="CO420" s="6"/>
      <c r="CP420" s="6"/>
      <c r="CQ420" s="7">
        <f>ROUND(1603.75,2)</f>
        <v>1603.75</v>
      </c>
      <c r="CR420" s="7">
        <f>ROUND(26878.5,2)</f>
        <v>26878.5</v>
      </c>
      <c r="CS420" s="7">
        <f>ROUND(121.5,2)</f>
        <v>121.5</v>
      </c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7">
        <f>ROUND(90,2)</f>
        <v>90</v>
      </c>
      <c r="FH420" s="6"/>
      <c r="FI420" s="6"/>
      <c r="FJ420" s="7">
        <f>ROUND(792,2)</f>
        <v>792</v>
      </c>
      <c r="FK420" s="6"/>
      <c r="FL420" s="6"/>
      <c r="FM420" s="7">
        <f>ROUND(612,2)</f>
        <v>612</v>
      </c>
      <c r="FN420" s="7">
        <f>ROUND(666,2)</f>
        <v>666</v>
      </c>
      <c r="FO420" s="6"/>
      <c r="FP420" s="7">
        <f>ROUND(108,2)</f>
        <v>108</v>
      </c>
      <c r="FQ420" s="6"/>
      <c r="FR420" s="6"/>
      <c r="FS420" s="6"/>
      <c r="FT420" s="6"/>
      <c r="FU420" s="6"/>
      <c r="FV420" s="7">
        <f>ROUND(468,2)</f>
        <v>468</v>
      </c>
      <c r="FW420" s="6"/>
      <c r="FX420" s="6"/>
      <c r="FY420" s="7">
        <f>ROUND(29736,2)</f>
        <v>29736</v>
      </c>
    </row>
    <row r="421" spans="1:181" ht="26.4" x14ac:dyDescent="0.3">
      <c r="A421" s="4" t="s">
        <v>551</v>
      </c>
      <c r="B421" s="5"/>
      <c r="C421" s="5" t="s">
        <v>244</v>
      </c>
      <c r="D421" s="5" t="s">
        <v>552</v>
      </c>
      <c r="E421" s="5" t="s">
        <v>0</v>
      </c>
      <c r="F421" s="5" t="s">
        <v>0</v>
      </c>
      <c r="G421" s="5" t="s">
        <v>247</v>
      </c>
      <c r="H421" s="8">
        <f>ROUND(19.673,2)</f>
        <v>19.670000000000002</v>
      </c>
      <c r="I421" s="7">
        <f>ROUND(46532.9299999999,2)</f>
        <v>46532.93</v>
      </c>
      <c r="J421" s="7">
        <f>ROUND(1990.25,2)</f>
        <v>1990.25</v>
      </c>
      <c r="K421" s="7">
        <f>ROUND(71.25,2)</f>
        <v>71.25</v>
      </c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7">
        <f>ROUND(32,2)</f>
        <v>32</v>
      </c>
      <c r="BX421" s="6"/>
      <c r="BY421" s="6"/>
      <c r="BZ421" s="6"/>
      <c r="CA421" s="6"/>
      <c r="CB421" s="6"/>
      <c r="CC421" s="6"/>
      <c r="CD421" s="6"/>
      <c r="CE421" s="6"/>
      <c r="CF421" s="7">
        <f>ROUND(24,2)</f>
        <v>24</v>
      </c>
      <c r="CG421" s="7">
        <f>ROUND(27,2)</f>
        <v>27</v>
      </c>
      <c r="CH421" s="7">
        <f>ROUND(16,2)</f>
        <v>16</v>
      </c>
      <c r="CI421" s="7">
        <f>ROUND(4,2)</f>
        <v>4</v>
      </c>
      <c r="CJ421" s="7">
        <f>ROUND(25,2)</f>
        <v>25</v>
      </c>
      <c r="CK421" s="6"/>
      <c r="CL421" s="7">
        <f>ROUND(19,2)</f>
        <v>19</v>
      </c>
      <c r="CM421" s="6"/>
      <c r="CN421" s="6"/>
      <c r="CO421" s="6"/>
      <c r="CP421" s="6"/>
      <c r="CQ421" s="7">
        <f>ROUND(2208.5,2)</f>
        <v>2208.5</v>
      </c>
      <c r="CR421" s="7">
        <f>ROUND(39154.2099999999,2)</f>
        <v>39154.21</v>
      </c>
      <c r="CS421" s="7">
        <f>ROUND(2102.58,2)</f>
        <v>2102.58</v>
      </c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7">
        <f>ROUND(629.53,2)</f>
        <v>629.53</v>
      </c>
      <c r="FH421" s="6"/>
      <c r="FI421" s="6"/>
      <c r="FJ421" s="7">
        <f>ROUND(2138.31999999999,2)</f>
        <v>2138.3200000000002</v>
      </c>
      <c r="FK421" s="6"/>
      <c r="FL421" s="7">
        <f>ROUND(472.15,2)</f>
        <v>472.15</v>
      </c>
      <c r="FM421" s="7">
        <f>ROUND(531.16,2)</f>
        <v>531.16</v>
      </c>
      <c r="FN421" s="7">
        <f>ROUND(314.76,2)</f>
        <v>314.76</v>
      </c>
      <c r="FO421" s="7">
        <f>ROUND(78.69,2)</f>
        <v>78.69</v>
      </c>
      <c r="FP421" s="7">
        <f>ROUND(737.75,2)</f>
        <v>737.75</v>
      </c>
      <c r="FQ421" s="6"/>
      <c r="FR421" s="6"/>
      <c r="FS421" s="7">
        <f>ROUND(373.78,2)</f>
        <v>373.78</v>
      </c>
      <c r="FT421" s="6"/>
      <c r="FU421" s="6"/>
      <c r="FV421" s="6"/>
      <c r="FW421" s="6"/>
      <c r="FX421" s="6"/>
      <c r="FY421" s="7">
        <f>ROUND(46532.9299999999,2)</f>
        <v>46532.93</v>
      </c>
    </row>
    <row r="422" spans="1:181" ht="26.4" x14ac:dyDescent="0.3">
      <c r="A422" s="4" t="s">
        <v>585</v>
      </c>
      <c r="B422" s="5"/>
      <c r="C422" s="5" t="s">
        <v>244</v>
      </c>
      <c r="D422" s="5" t="s">
        <v>586</v>
      </c>
      <c r="E422" s="5" t="s">
        <v>202</v>
      </c>
      <c r="F422" s="5" t="s">
        <v>0</v>
      </c>
      <c r="G422" s="5" t="s">
        <v>247</v>
      </c>
      <c r="H422" s="8">
        <f>ROUND(18,2)</f>
        <v>18</v>
      </c>
      <c r="I422" s="7">
        <f>ROUND(8077.5,2)</f>
        <v>8077.5</v>
      </c>
      <c r="J422" s="7">
        <f>ROUND(413.75,2)</f>
        <v>413.75</v>
      </c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7">
        <f>ROUND(10,2)</f>
        <v>10</v>
      </c>
      <c r="CI422" s="6"/>
      <c r="CJ422" s="6"/>
      <c r="CK422" s="6"/>
      <c r="CL422" s="6"/>
      <c r="CM422" s="6"/>
      <c r="CN422" s="6"/>
      <c r="CO422" s="6"/>
      <c r="CP422" s="7">
        <f>ROUND(25,2)</f>
        <v>25</v>
      </c>
      <c r="CQ422" s="7">
        <f>ROUND(448.75,2)</f>
        <v>448.75</v>
      </c>
      <c r="CR422" s="7">
        <f>ROUND(7447.5,2)</f>
        <v>7447.5</v>
      </c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7">
        <f>ROUND(180,2)</f>
        <v>180</v>
      </c>
      <c r="FO422" s="6"/>
      <c r="FP422" s="6"/>
      <c r="FQ422" s="6"/>
      <c r="FR422" s="6"/>
      <c r="FS422" s="6"/>
      <c r="FT422" s="6"/>
      <c r="FU422" s="6"/>
      <c r="FV422" s="6"/>
      <c r="FW422" s="6"/>
      <c r="FX422" s="7">
        <f>ROUND(450,2)</f>
        <v>450</v>
      </c>
      <c r="FY422" s="7">
        <f>ROUND(8077.5,2)</f>
        <v>8077.5</v>
      </c>
    </row>
    <row r="423" spans="1:181" ht="26.4" x14ac:dyDescent="0.3">
      <c r="A423" s="4" t="s">
        <v>607</v>
      </c>
      <c r="B423" s="5"/>
      <c r="C423" s="5" t="s">
        <v>244</v>
      </c>
      <c r="D423" s="5" t="s">
        <v>326</v>
      </c>
      <c r="E423" s="5" t="s">
        <v>0</v>
      </c>
      <c r="F423" s="5" t="s">
        <v>0</v>
      </c>
      <c r="G423" s="5" t="s">
        <v>247</v>
      </c>
      <c r="H423" s="8">
        <f>ROUND(18,2)</f>
        <v>18</v>
      </c>
      <c r="I423" s="7">
        <f>ROUND(4171.5,2)</f>
        <v>4171.5</v>
      </c>
      <c r="J423" s="7">
        <f>ROUND(219.25,2)</f>
        <v>219.25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7">
        <f>ROUND(219.25,2)</f>
        <v>219.25</v>
      </c>
      <c r="CR423" s="7">
        <f>ROUND(3946.5,2)</f>
        <v>3946.5</v>
      </c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7">
        <f>ROUND(225,2)</f>
        <v>225</v>
      </c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7">
        <f>ROUND(4171.5,2)</f>
        <v>4171.5</v>
      </c>
    </row>
    <row r="424" spans="1:181" ht="26.4" x14ac:dyDescent="0.3">
      <c r="A424" s="4" t="s">
        <v>666</v>
      </c>
      <c r="B424" s="5"/>
      <c r="C424" s="5" t="s">
        <v>244</v>
      </c>
      <c r="D424" s="5" t="s">
        <v>667</v>
      </c>
      <c r="E424" s="5" t="s">
        <v>668</v>
      </c>
      <c r="F424" s="5" t="s">
        <v>0</v>
      </c>
      <c r="G424" s="5" t="s">
        <v>247</v>
      </c>
      <c r="H424" s="8">
        <f>ROUND(18,2)</f>
        <v>18</v>
      </c>
      <c r="I424" s="7">
        <f>ROUND(1480.5,2)</f>
        <v>1480.5</v>
      </c>
      <c r="J424" s="7">
        <f>ROUND(82.25,2)</f>
        <v>82.25</v>
      </c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7">
        <f>ROUND(82.25,2)</f>
        <v>82.25</v>
      </c>
      <c r="CR424" s="7">
        <f>ROUND(1480.5,2)</f>
        <v>1480.5</v>
      </c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7">
        <f>ROUND(1480.5,2)</f>
        <v>1480.5</v>
      </c>
    </row>
    <row r="425" spans="1:181" ht="26.4" x14ac:dyDescent="0.3">
      <c r="A425" s="4" t="s">
        <v>736</v>
      </c>
      <c r="B425" s="5"/>
      <c r="C425" s="5" t="s">
        <v>244</v>
      </c>
      <c r="D425" s="5" t="s">
        <v>737</v>
      </c>
      <c r="E425" s="5" t="s">
        <v>0</v>
      </c>
      <c r="F425" s="5" t="s">
        <v>0</v>
      </c>
      <c r="G425" s="5" t="s">
        <v>247</v>
      </c>
      <c r="H425" s="8">
        <f>ROUND(20.2601,2)</f>
        <v>20.260000000000002</v>
      </c>
      <c r="I425" s="7">
        <f>ROUND(44929.09,2)</f>
        <v>44929.09</v>
      </c>
      <c r="J425" s="7">
        <f>ROUND(1853.5,2)</f>
        <v>1853.5</v>
      </c>
      <c r="K425" s="7">
        <f>ROUND(4.75,2)</f>
        <v>4.75</v>
      </c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7">
        <f>ROUND(24,2)</f>
        <v>24</v>
      </c>
      <c r="BX425" s="6"/>
      <c r="BY425" s="6"/>
      <c r="BZ425" s="6"/>
      <c r="CA425" s="6"/>
      <c r="CB425" s="6"/>
      <c r="CC425" s="6"/>
      <c r="CD425" s="6"/>
      <c r="CE425" s="6"/>
      <c r="CF425" s="6"/>
      <c r="CG425" s="7">
        <f>ROUND(49,2)</f>
        <v>49</v>
      </c>
      <c r="CH425" s="7">
        <f>ROUND(36,2)</f>
        <v>36</v>
      </c>
      <c r="CI425" s="7">
        <f>ROUND(32,2)</f>
        <v>32</v>
      </c>
      <c r="CJ425" s="7">
        <f>ROUND(12,2)</f>
        <v>12</v>
      </c>
      <c r="CK425" s="6"/>
      <c r="CL425" s="7">
        <f>ROUND(23,2)</f>
        <v>23</v>
      </c>
      <c r="CM425" s="6"/>
      <c r="CN425" s="7">
        <f>ROUND(79,2)</f>
        <v>79</v>
      </c>
      <c r="CO425" s="6"/>
      <c r="CP425" s="6"/>
      <c r="CQ425" s="7">
        <f>ROUND(2113.25,2)</f>
        <v>2113.25</v>
      </c>
      <c r="CR425" s="7">
        <f>ROUND(37551.91,2)</f>
        <v>37551.910000000003</v>
      </c>
      <c r="CS425" s="7">
        <f>ROUND(144.359999999999,2)</f>
        <v>144.36000000000001</v>
      </c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7">
        <f>ROUND(486.24,2)</f>
        <v>486.24</v>
      </c>
      <c r="FH425" s="6"/>
      <c r="FI425" s="6"/>
      <c r="FJ425" s="7">
        <f>ROUND(1944.96,2)</f>
        <v>1944.96</v>
      </c>
      <c r="FK425" s="6"/>
      <c r="FL425" s="6"/>
      <c r="FM425" s="7">
        <f>ROUND(992.739999999999,2)</f>
        <v>992.74</v>
      </c>
      <c r="FN425" s="7">
        <f>ROUND(729.36,2)</f>
        <v>729.36</v>
      </c>
      <c r="FO425" s="7">
        <f>ROUND(648.319999999999,2)</f>
        <v>648.32000000000005</v>
      </c>
      <c r="FP425" s="7">
        <f>ROUND(364.68,2)</f>
        <v>364.68</v>
      </c>
      <c r="FQ425" s="6"/>
      <c r="FR425" s="6"/>
      <c r="FS425" s="7">
        <f>ROUND(465.98,2)</f>
        <v>465.98</v>
      </c>
      <c r="FT425" s="6"/>
      <c r="FU425" s="6"/>
      <c r="FV425" s="7">
        <f>ROUND(1600.54,2)</f>
        <v>1600.54</v>
      </c>
      <c r="FW425" s="6"/>
      <c r="FX425" s="6"/>
      <c r="FY425" s="7">
        <f>ROUND(44929.09,2)</f>
        <v>44929.09</v>
      </c>
    </row>
    <row r="426" spans="1:181" x14ac:dyDescent="0.3">
      <c r="A426" s="4" t="s">
        <v>740</v>
      </c>
      <c r="B426" s="5"/>
      <c r="C426" s="5" t="s">
        <v>244</v>
      </c>
      <c r="D426" s="5" t="s">
        <v>741</v>
      </c>
      <c r="E426" s="5" t="s">
        <v>0</v>
      </c>
      <c r="F426" s="5" t="s">
        <v>0</v>
      </c>
      <c r="G426" s="5" t="s">
        <v>742</v>
      </c>
      <c r="H426" s="8">
        <f>ROUND(20.2601,2)</f>
        <v>20.260000000000002</v>
      </c>
      <c r="I426" s="7">
        <f>ROUND(45007.6,2)</f>
        <v>45007.6</v>
      </c>
      <c r="J426" s="7">
        <f>ROUND(1964,2)</f>
        <v>1964</v>
      </c>
      <c r="K426" s="7">
        <f>ROUND(1,2)</f>
        <v>1</v>
      </c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7">
        <f>ROUND(32,2)</f>
        <v>32</v>
      </c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7">
        <f>ROUND(38,2)</f>
        <v>38</v>
      </c>
      <c r="CI426" s="7">
        <f>ROUND(32,2)</f>
        <v>32</v>
      </c>
      <c r="CJ426" s="7">
        <f>ROUND(8,2)</f>
        <v>8</v>
      </c>
      <c r="CK426" s="6"/>
      <c r="CL426" s="7">
        <f>ROUND(30,2)</f>
        <v>30</v>
      </c>
      <c r="CM426" s="6"/>
      <c r="CN426" s="7">
        <f>ROUND(16,2)</f>
        <v>16</v>
      </c>
      <c r="CO426" s="6"/>
      <c r="CP426" s="6"/>
      <c r="CQ426" s="7">
        <f>ROUND(2121,2)</f>
        <v>2121</v>
      </c>
      <c r="CR426" s="7">
        <f>ROUND(39790.64,2)</f>
        <v>39790.639999999999</v>
      </c>
      <c r="CS426" s="7">
        <f>ROUND(30.4,2)</f>
        <v>30.4</v>
      </c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7">
        <f>ROUND(648.32,2)</f>
        <v>648.32000000000005</v>
      </c>
      <c r="FH426" s="6"/>
      <c r="FI426" s="6"/>
      <c r="FJ426" s="7">
        <f>ROUND(1944.96,2)</f>
        <v>1944.96</v>
      </c>
      <c r="FK426" s="6"/>
      <c r="FL426" s="6"/>
      <c r="FM426" s="6"/>
      <c r="FN426" s="7">
        <f>ROUND(769.88,2)</f>
        <v>769.88</v>
      </c>
      <c r="FO426" s="7">
        <f>ROUND(648.32,2)</f>
        <v>648.32000000000005</v>
      </c>
      <c r="FP426" s="7">
        <f>ROUND(243.12,2)</f>
        <v>243.12</v>
      </c>
      <c r="FQ426" s="6"/>
      <c r="FR426" s="6"/>
      <c r="FS426" s="7">
        <f>ROUND(607.8,2)</f>
        <v>607.79999999999995</v>
      </c>
      <c r="FT426" s="6"/>
      <c r="FU426" s="6"/>
      <c r="FV426" s="7">
        <f>ROUND(324.16,2)</f>
        <v>324.16000000000003</v>
      </c>
      <c r="FW426" s="6"/>
      <c r="FX426" s="6"/>
      <c r="FY426" s="7">
        <f>ROUND(45007.6,2)</f>
        <v>45007.6</v>
      </c>
    </row>
    <row r="427" spans="1:181" ht="26.4" x14ac:dyDescent="0.3">
      <c r="A427" s="4" t="s">
        <v>743</v>
      </c>
      <c r="B427" s="5"/>
      <c r="C427" s="5" t="s">
        <v>244</v>
      </c>
      <c r="D427" s="5" t="s">
        <v>744</v>
      </c>
      <c r="E427" s="5" t="s">
        <v>0</v>
      </c>
      <c r="F427" s="5" t="s">
        <v>0</v>
      </c>
      <c r="G427" s="5" t="s">
        <v>247</v>
      </c>
      <c r="H427" s="8">
        <f>ROUND(20.2601,2)</f>
        <v>20.260000000000002</v>
      </c>
      <c r="I427" s="7">
        <f>ROUND(44962.02,2)</f>
        <v>44962.02</v>
      </c>
      <c r="J427" s="7">
        <f>ROUND(1834.5,2)</f>
        <v>1834.5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7">
        <f>ROUND(24,2)</f>
        <v>24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7">
        <f>ROUND(39.25,2)</f>
        <v>39.25</v>
      </c>
      <c r="CH427" s="7">
        <f>ROUND(40,2)</f>
        <v>40</v>
      </c>
      <c r="CI427" s="7">
        <f>ROUND(32,2)</f>
        <v>32</v>
      </c>
      <c r="CJ427" s="7">
        <f>ROUND(8,2)</f>
        <v>8</v>
      </c>
      <c r="CK427" s="6"/>
      <c r="CL427" s="7">
        <f>ROUND(21.5,2)</f>
        <v>21.5</v>
      </c>
      <c r="CM427" s="7">
        <f>ROUND(1,2)</f>
        <v>1</v>
      </c>
      <c r="CN427" s="7">
        <f>ROUND(119,2)</f>
        <v>119</v>
      </c>
      <c r="CO427" s="6"/>
      <c r="CP427" s="6"/>
      <c r="CQ427" s="7">
        <f>ROUND(2119.25,2)</f>
        <v>2119.25</v>
      </c>
      <c r="CR427" s="7">
        <f>ROUND(37166.98,2)</f>
        <v>37166.980000000003</v>
      </c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7">
        <f>ROUND(486.24,2)</f>
        <v>486.24</v>
      </c>
      <c r="FH427" s="6"/>
      <c r="FI427" s="6"/>
      <c r="FJ427" s="7">
        <f>ROUND(1944.96,2)</f>
        <v>1944.96</v>
      </c>
      <c r="FK427" s="6"/>
      <c r="FL427" s="6"/>
      <c r="FM427" s="7">
        <f>ROUND(795.21,2)</f>
        <v>795.21</v>
      </c>
      <c r="FN427" s="7">
        <f>ROUND(810.4,2)</f>
        <v>810.4</v>
      </c>
      <c r="FO427" s="7">
        <f>ROUND(648.32,2)</f>
        <v>648.32000000000005</v>
      </c>
      <c r="FP427" s="7">
        <f>ROUND(243.12,2)</f>
        <v>243.12</v>
      </c>
      <c r="FQ427" s="6"/>
      <c r="FR427" s="6"/>
      <c r="FS427" s="7">
        <f>ROUND(435.59,2)</f>
        <v>435.59</v>
      </c>
      <c r="FT427" s="6"/>
      <c r="FU427" s="7">
        <f>ROUND(20.26,2)</f>
        <v>20.260000000000002</v>
      </c>
      <c r="FV427" s="7">
        <f>ROUND(2410.94,2)</f>
        <v>2410.94</v>
      </c>
      <c r="FW427" s="6"/>
      <c r="FX427" s="6"/>
      <c r="FY427" s="7">
        <f>ROUND(44962.02,2)</f>
        <v>44962.02</v>
      </c>
    </row>
    <row r="428" spans="1:181" ht="26.4" x14ac:dyDescent="0.3">
      <c r="A428" s="4" t="s">
        <v>783</v>
      </c>
      <c r="B428" s="5"/>
      <c r="C428" s="5" t="s">
        <v>244</v>
      </c>
      <c r="D428" s="5" t="s">
        <v>784</v>
      </c>
      <c r="E428" s="5" t="s">
        <v>785</v>
      </c>
      <c r="F428" s="5" t="s">
        <v>0</v>
      </c>
      <c r="G428" s="5" t="s">
        <v>247</v>
      </c>
      <c r="H428" s="8">
        <f>ROUND(18,2)</f>
        <v>18</v>
      </c>
      <c r="I428" s="7">
        <f>ROUND(10084.5,2)</f>
        <v>10084.5</v>
      </c>
      <c r="J428" s="7">
        <f>ROUND(476.25,2)</f>
        <v>476.25</v>
      </c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7">
        <f>ROUND(16,2)</f>
        <v>16</v>
      </c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7">
        <f>ROUND(16,2)</f>
        <v>16</v>
      </c>
      <c r="CJ428" s="6"/>
      <c r="CK428" s="6"/>
      <c r="CL428" s="7">
        <f>ROUND(12,2)</f>
        <v>12</v>
      </c>
      <c r="CM428" s="6"/>
      <c r="CN428" s="7">
        <f>ROUND(40,2)</f>
        <v>40</v>
      </c>
      <c r="CO428" s="6"/>
      <c r="CP428" s="6"/>
      <c r="CQ428" s="7">
        <f>ROUND(560.25,2)</f>
        <v>560.25</v>
      </c>
      <c r="CR428" s="7">
        <f>ROUND(8572.5,2)</f>
        <v>8572.5</v>
      </c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7">
        <f>ROUND(288,2)</f>
        <v>288</v>
      </c>
      <c r="FH428" s="6"/>
      <c r="FI428" s="6"/>
      <c r="FJ428" s="6"/>
      <c r="FK428" s="6"/>
      <c r="FL428" s="6"/>
      <c r="FM428" s="6"/>
      <c r="FN428" s="6"/>
      <c r="FO428" s="7">
        <f>ROUND(288,2)</f>
        <v>288</v>
      </c>
      <c r="FP428" s="6"/>
      <c r="FQ428" s="6"/>
      <c r="FR428" s="6"/>
      <c r="FS428" s="7">
        <f>ROUND(216,2)</f>
        <v>216</v>
      </c>
      <c r="FT428" s="6"/>
      <c r="FU428" s="6"/>
      <c r="FV428" s="7">
        <f>ROUND(720,2)</f>
        <v>720</v>
      </c>
      <c r="FW428" s="6"/>
      <c r="FX428" s="6"/>
      <c r="FY428" s="7">
        <f>ROUND(10084.5,2)</f>
        <v>10084.5</v>
      </c>
    </row>
    <row r="429" spans="1:181" x14ac:dyDescent="0.3">
      <c r="A429" s="4" t="s">
        <v>895</v>
      </c>
      <c r="B429" s="5"/>
      <c r="C429" s="5" t="s">
        <v>244</v>
      </c>
      <c r="D429" s="5" t="s">
        <v>896</v>
      </c>
      <c r="E429" s="5" t="s">
        <v>0</v>
      </c>
      <c r="F429" s="5" t="s">
        <v>0</v>
      </c>
      <c r="G429" s="5" t="s">
        <v>742</v>
      </c>
      <c r="H429" s="8">
        <f>ROUND(24.64,2)</f>
        <v>24.64</v>
      </c>
      <c r="I429" s="7">
        <f>ROUND(70473.48,2)</f>
        <v>70473.48</v>
      </c>
      <c r="J429" s="7">
        <f>ROUND(1800,2)</f>
        <v>1800</v>
      </c>
      <c r="K429" s="7">
        <f>ROUND(394.25,2)</f>
        <v>394.25</v>
      </c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7">
        <f>ROUND(16,2)</f>
        <v>16</v>
      </c>
      <c r="BX429" s="6"/>
      <c r="BY429" s="6"/>
      <c r="BZ429" s="6"/>
      <c r="CA429" s="6"/>
      <c r="CB429" s="6"/>
      <c r="CC429" s="6"/>
      <c r="CD429" s="6"/>
      <c r="CE429" s="6"/>
      <c r="CF429" s="6"/>
      <c r="CG429" s="7">
        <f>ROUND(16,2)</f>
        <v>16</v>
      </c>
      <c r="CH429" s="7">
        <f>ROUND(32,2)</f>
        <v>32</v>
      </c>
      <c r="CI429" s="7">
        <f>ROUND(48,2)</f>
        <v>48</v>
      </c>
      <c r="CJ429" s="7">
        <f>ROUND(31.5,2)</f>
        <v>31.5</v>
      </c>
      <c r="CK429" s="6"/>
      <c r="CL429" s="7">
        <f>ROUND(1.5,2)</f>
        <v>1.5</v>
      </c>
      <c r="CM429" s="6"/>
      <c r="CN429" s="7">
        <f>ROUND(196,2)</f>
        <v>196</v>
      </c>
      <c r="CO429" s="6"/>
      <c r="CP429" s="7">
        <f>ROUND(16,2)</f>
        <v>16</v>
      </c>
      <c r="CQ429" s="7">
        <f>ROUND(2551.25,2)</f>
        <v>2551.25</v>
      </c>
      <c r="CR429" s="7">
        <f>ROUND(44351.9999999999,2)</f>
        <v>44352</v>
      </c>
      <c r="CS429" s="7">
        <f>ROUND(14571.48,2)</f>
        <v>14571.48</v>
      </c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7">
        <f>ROUND(394.24,2)</f>
        <v>394.24</v>
      </c>
      <c r="FH429" s="6"/>
      <c r="FI429" s="6"/>
      <c r="FJ429" s="7">
        <f>ROUND(2365.44,2)</f>
        <v>2365.44</v>
      </c>
      <c r="FK429" s="6"/>
      <c r="FL429" s="6"/>
      <c r="FM429" s="7">
        <f>ROUND(394.24,2)</f>
        <v>394.24</v>
      </c>
      <c r="FN429" s="7">
        <f>ROUND(788.48,2)</f>
        <v>788.48</v>
      </c>
      <c r="FO429" s="7">
        <f>ROUND(1182.72,2)</f>
        <v>1182.72</v>
      </c>
      <c r="FP429" s="7">
        <f>ROUND(1164.24,2)</f>
        <v>1164.24</v>
      </c>
      <c r="FQ429" s="6"/>
      <c r="FR429" s="6"/>
      <c r="FS429" s="7">
        <f>ROUND(36.96,2)</f>
        <v>36.96</v>
      </c>
      <c r="FT429" s="6"/>
      <c r="FU429" s="6"/>
      <c r="FV429" s="7">
        <f>ROUND(4829.44,2)</f>
        <v>4829.4399999999996</v>
      </c>
      <c r="FW429" s="6"/>
      <c r="FX429" s="7">
        <f>ROUND(394.24,2)</f>
        <v>394.24</v>
      </c>
      <c r="FY429" s="7">
        <f>ROUND(70473.48,2)</f>
        <v>70473.48</v>
      </c>
    </row>
    <row r="430" spans="1:181" ht="26.4" x14ac:dyDescent="0.3">
      <c r="A430" s="4" t="s">
        <v>906</v>
      </c>
      <c r="B430" s="5"/>
      <c r="C430" s="5" t="s">
        <v>244</v>
      </c>
      <c r="D430" s="5" t="s">
        <v>907</v>
      </c>
      <c r="E430" s="5" t="s">
        <v>0</v>
      </c>
      <c r="F430" s="5" t="s">
        <v>0</v>
      </c>
      <c r="G430" s="5" t="s">
        <v>247</v>
      </c>
      <c r="H430" s="8">
        <f>ROUND(20.2601,2)</f>
        <v>20.260000000000002</v>
      </c>
      <c r="I430" s="7">
        <f>ROUND(28222.18,2)</f>
        <v>28222.18</v>
      </c>
      <c r="J430" s="7">
        <f>ROUND(1189.5,2)</f>
        <v>1189.5</v>
      </c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7">
        <f>ROUND(5,2)</f>
        <v>5</v>
      </c>
      <c r="BX430" s="6"/>
      <c r="BY430" s="6"/>
      <c r="BZ430" s="6"/>
      <c r="CA430" s="6"/>
      <c r="CB430" s="6"/>
      <c r="CC430" s="6"/>
      <c r="CD430" s="6"/>
      <c r="CE430" s="6"/>
      <c r="CF430" s="7">
        <f>ROUND(40,2)</f>
        <v>40</v>
      </c>
      <c r="CG430" s="7">
        <f>ROUND(10.5,2)</f>
        <v>10.5</v>
      </c>
      <c r="CH430" s="7">
        <f>ROUND(35,2)</f>
        <v>35</v>
      </c>
      <c r="CI430" s="6"/>
      <c r="CJ430" s="6"/>
      <c r="CK430" s="6"/>
      <c r="CL430" s="6"/>
      <c r="CM430" s="6"/>
      <c r="CN430" s="7">
        <f>ROUND(65,2)</f>
        <v>65</v>
      </c>
      <c r="CO430" s="6"/>
      <c r="CP430" s="6"/>
      <c r="CQ430" s="7">
        <f>ROUND(1345,2)</f>
        <v>1345</v>
      </c>
      <c r="CR430" s="7">
        <f>ROUND(24099.27,2)</f>
        <v>24099.27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7">
        <f>ROUND(101.3,2)</f>
        <v>101.3</v>
      </c>
      <c r="FH430" s="6"/>
      <c r="FI430" s="6"/>
      <c r="FJ430" s="7">
        <f>ROUND(972.48,2)</f>
        <v>972.48</v>
      </c>
      <c r="FK430" s="6"/>
      <c r="FL430" s="7">
        <f>ROUND(810.4,2)</f>
        <v>810.4</v>
      </c>
      <c r="FM430" s="7">
        <f>ROUND(212.73,2)</f>
        <v>212.73</v>
      </c>
      <c r="FN430" s="7">
        <f>ROUND(709.099999999999,2)</f>
        <v>709.1</v>
      </c>
      <c r="FO430" s="6"/>
      <c r="FP430" s="6"/>
      <c r="FQ430" s="6"/>
      <c r="FR430" s="6"/>
      <c r="FS430" s="6"/>
      <c r="FT430" s="6"/>
      <c r="FU430" s="6"/>
      <c r="FV430" s="7">
        <f>ROUND(1316.89999999999,2)</f>
        <v>1316.9</v>
      </c>
      <c r="FW430" s="6"/>
      <c r="FX430" s="6"/>
      <c r="FY430" s="7">
        <f>ROUND(28222.18,2)</f>
        <v>28222.18</v>
      </c>
    </row>
    <row r="431" spans="1:181" ht="26.4" x14ac:dyDescent="0.3">
      <c r="A431" s="4" t="s">
        <v>908</v>
      </c>
      <c r="B431" s="5"/>
      <c r="C431" s="5" t="s">
        <v>244</v>
      </c>
      <c r="D431" s="5" t="s">
        <v>909</v>
      </c>
      <c r="E431" s="5" t="s">
        <v>0</v>
      </c>
      <c r="F431" s="5" t="s">
        <v>0</v>
      </c>
      <c r="G431" s="5" t="s">
        <v>247</v>
      </c>
      <c r="H431" s="8">
        <f>ROUND(19.57,2)</f>
        <v>19.57</v>
      </c>
      <c r="I431" s="7">
        <f>ROUND(49040.5,2)</f>
        <v>49040.5</v>
      </c>
      <c r="J431" s="7">
        <f>ROUND(1908,2)</f>
        <v>1908</v>
      </c>
      <c r="K431" s="7">
        <f>ROUND(162.25,2)</f>
        <v>162.25</v>
      </c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7">
        <f>ROUND(16,2)</f>
        <v>16</v>
      </c>
      <c r="BX431" s="6"/>
      <c r="BY431" s="6"/>
      <c r="BZ431" s="6"/>
      <c r="CA431" s="6"/>
      <c r="CB431" s="6"/>
      <c r="CC431" s="6"/>
      <c r="CD431" s="6"/>
      <c r="CE431" s="6"/>
      <c r="CF431" s="7">
        <f>ROUND(24,2)</f>
        <v>24</v>
      </c>
      <c r="CG431" s="7">
        <f>ROUND(49,2)</f>
        <v>49</v>
      </c>
      <c r="CH431" s="7">
        <f>ROUND(48,2)</f>
        <v>48</v>
      </c>
      <c r="CI431" s="7">
        <f>ROUND(32,2)</f>
        <v>32</v>
      </c>
      <c r="CJ431" s="7">
        <f>ROUND(9.5,2)</f>
        <v>9.5</v>
      </c>
      <c r="CK431" s="6"/>
      <c r="CL431" s="7">
        <f>ROUND(29,2)</f>
        <v>29</v>
      </c>
      <c r="CM431" s="7">
        <f>ROUND(1.5,2)</f>
        <v>1.5</v>
      </c>
      <c r="CN431" s="7">
        <f>ROUND(32,2)</f>
        <v>32</v>
      </c>
      <c r="CO431" s="6"/>
      <c r="CP431" s="6"/>
      <c r="CQ431" s="7">
        <f>ROUND(2311.25,2)</f>
        <v>2311.25</v>
      </c>
      <c r="CR431" s="7">
        <f>ROUND(37339.57,2)</f>
        <v>37339.57</v>
      </c>
      <c r="CS431" s="7">
        <f>ROUND(4762.88,2)</f>
        <v>4762.88</v>
      </c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7">
        <f>ROUND(313.12,2)</f>
        <v>313.12</v>
      </c>
      <c r="FH431" s="6"/>
      <c r="FI431" s="6"/>
      <c r="FJ431" s="7">
        <f>ROUND(2128.72,2)</f>
        <v>2128.7199999999998</v>
      </c>
      <c r="FK431" s="6"/>
      <c r="FL431" s="7">
        <f>ROUND(469.68,2)</f>
        <v>469.68</v>
      </c>
      <c r="FM431" s="7">
        <f>ROUND(958.93,2)</f>
        <v>958.93</v>
      </c>
      <c r="FN431" s="7">
        <f>ROUND(939.359999999999,2)</f>
        <v>939.36</v>
      </c>
      <c r="FO431" s="7">
        <f>ROUND(626.24,2)</f>
        <v>626.24</v>
      </c>
      <c r="FP431" s="7">
        <f>ROUND(278.87,2)</f>
        <v>278.87</v>
      </c>
      <c r="FQ431" s="6"/>
      <c r="FR431" s="6"/>
      <c r="FS431" s="7">
        <f>ROUND(567.53,2)</f>
        <v>567.53</v>
      </c>
      <c r="FT431" s="6"/>
      <c r="FU431" s="7">
        <f>ROUND(29.36,2)</f>
        <v>29.36</v>
      </c>
      <c r="FV431" s="7">
        <f>ROUND(626.24,2)</f>
        <v>626.24</v>
      </c>
      <c r="FW431" s="6"/>
      <c r="FX431" s="6"/>
      <c r="FY431" s="7">
        <f>ROUND(49040.5,2)</f>
        <v>49040.5</v>
      </c>
    </row>
    <row r="432" spans="1:181" ht="26.4" x14ac:dyDescent="0.3">
      <c r="A432" s="4" t="s">
        <v>942</v>
      </c>
      <c r="B432" s="5"/>
      <c r="C432" s="5" t="s">
        <v>244</v>
      </c>
      <c r="D432" s="5" t="s">
        <v>943</v>
      </c>
      <c r="E432" s="5" t="s">
        <v>944</v>
      </c>
      <c r="F432" s="5" t="s">
        <v>0</v>
      </c>
      <c r="G432" s="5" t="s">
        <v>247</v>
      </c>
      <c r="H432" s="8">
        <f>ROUND(21.115,2)</f>
        <v>21.12</v>
      </c>
      <c r="I432" s="7">
        <f>ROUND(46899.5299999999,2)</f>
        <v>46899.53</v>
      </c>
      <c r="J432" s="7">
        <f>ROUND(1789.5,2)</f>
        <v>1789.5</v>
      </c>
      <c r="K432" s="7">
        <f>ROUND(2.75,2)</f>
        <v>2.75</v>
      </c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7">
        <f>ROUND(8,2)</f>
        <v>8</v>
      </c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7">
        <f>ROUND(56,2)</f>
        <v>56</v>
      </c>
      <c r="CI432" s="7">
        <f>ROUND(32,2)</f>
        <v>32</v>
      </c>
      <c r="CJ432" s="6"/>
      <c r="CK432" s="6"/>
      <c r="CL432" s="7">
        <f>ROUND(43.5,2)</f>
        <v>43.5</v>
      </c>
      <c r="CM432" s="6"/>
      <c r="CN432" s="7">
        <f>ROUND(192,2)</f>
        <v>192</v>
      </c>
      <c r="CO432" s="6"/>
      <c r="CP432" s="6"/>
      <c r="CQ432" s="7">
        <f>ROUND(2123.75,2)</f>
        <v>2123.75</v>
      </c>
      <c r="CR432" s="7">
        <f>ROUND(37785.2899999999,2)</f>
        <v>37785.29</v>
      </c>
      <c r="CS432" s="7">
        <f>ROUND(87.1,2)</f>
        <v>87.1</v>
      </c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7">
        <f>ROUND(168.92,2)</f>
        <v>168.92</v>
      </c>
      <c r="FH432" s="6"/>
      <c r="FI432" s="6"/>
      <c r="FJ432" s="7">
        <f>ROUND(2027.52,2)</f>
        <v>2027.52</v>
      </c>
      <c r="FK432" s="6"/>
      <c r="FL432" s="6"/>
      <c r="FM432" s="6"/>
      <c r="FN432" s="7">
        <f>ROUND(1182.43999999999,2)</f>
        <v>1182.44</v>
      </c>
      <c r="FO432" s="7">
        <f>ROUND(675.68,2)</f>
        <v>675.68</v>
      </c>
      <c r="FP432" s="6"/>
      <c r="FQ432" s="6"/>
      <c r="FR432" s="6"/>
      <c r="FS432" s="7">
        <f>ROUND(918.499999999999,2)</f>
        <v>918.5</v>
      </c>
      <c r="FT432" s="6"/>
      <c r="FU432" s="6"/>
      <c r="FV432" s="7">
        <f>ROUND(4054.08,2)</f>
        <v>4054.08</v>
      </c>
      <c r="FW432" s="6"/>
      <c r="FX432" s="6"/>
      <c r="FY432" s="7">
        <f>ROUND(46899.5299999999,2)</f>
        <v>46899.53</v>
      </c>
    </row>
    <row r="433" spans="1:181" ht="26.4" x14ac:dyDescent="0.3">
      <c r="A433" s="4" t="s">
        <v>1001</v>
      </c>
      <c r="B433" s="5"/>
      <c r="C433" s="5" t="s">
        <v>244</v>
      </c>
      <c r="D433" s="5" t="s">
        <v>1002</v>
      </c>
      <c r="E433" s="5" t="s">
        <v>0</v>
      </c>
      <c r="F433" s="5" t="s">
        <v>1003</v>
      </c>
      <c r="G433" s="5" t="s">
        <v>247</v>
      </c>
      <c r="H433" s="8">
        <f>ROUND(18,2)</f>
        <v>18</v>
      </c>
      <c r="I433" s="7">
        <f>ROUND(26154,2)</f>
        <v>26154</v>
      </c>
      <c r="J433" s="7">
        <f>ROUND(1361.25,2)</f>
        <v>1361.25</v>
      </c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>
        <f>ROUND(13,2)</f>
        <v>13</v>
      </c>
      <c r="CH433" s="7">
        <f>ROUND(14,2)</f>
        <v>14</v>
      </c>
      <c r="CI433" s="7">
        <f>ROUND(5,2)</f>
        <v>5</v>
      </c>
      <c r="CJ433" s="7">
        <f>ROUND(10.5,2)</f>
        <v>10.5</v>
      </c>
      <c r="CK433" s="6"/>
      <c r="CL433" s="6"/>
      <c r="CM433" s="6"/>
      <c r="CN433" s="7">
        <f>ROUND(16,2)</f>
        <v>16</v>
      </c>
      <c r="CO433" s="6"/>
      <c r="CP433" s="6"/>
      <c r="CQ433" s="7">
        <f>ROUND(1419.75,2)</f>
        <v>1419.75</v>
      </c>
      <c r="CR433" s="7">
        <f>ROUND(24502.5,2)</f>
        <v>24502.5</v>
      </c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7">
        <f>ROUND(504,2)</f>
        <v>504</v>
      </c>
      <c r="FK433" s="6"/>
      <c r="FL433" s="6"/>
      <c r="FM433" s="7">
        <f>ROUND(234,2)</f>
        <v>234</v>
      </c>
      <c r="FN433" s="7">
        <f>ROUND(252,2)</f>
        <v>252</v>
      </c>
      <c r="FO433" s="7">
        <f>ROUND(90,2)</f>
        <v>90</v>
      </c>
      <c r="FP433" s="7">
        <f>ROUND(283.5,2)</f>
        <v>283.5</v>
      </c>
      <c r="FQ433" s="6"/>
      <c r="FR433" s="6"/>
      <c r="FS433" s="6"/>
      <c r="FT433" s="6"/>
      <c r="FU433" s="6"/>
      <c r="FV433" s="7">
        <f>ROUND(288,2)</f>
        <v>288</v>
      </c>
      <c r="FW433" s="6"/>
      <c r="FX433" s="6"/>
      <c r="FY433" s="7">
        <f>ROUND(26154,2)</f>
        <v>26154</v>
      </c>
    </row>
    <row r="434" spans="1:181" ht="26.4" x14ac:dyDescent="0.3">
      <c r="A434" s="4" t="s">
        <v>359</v>
      </c>
      <c r="B434" s="5"/>
      <c r="C434" s="5" t="s">
        <v>360</v>
      </c>
      <c r="D434" s="5" t="s">
        <v>361</v>
      </c>
      <c r="E434" s="5" t="s">
        <v>0</v>
      </c>
      <c r="F434" s="5" t="s">
        <v>0</v>
      </c>
      <c r="G434" s="5" t="s">
        <v>362</v>
      </c>
      <c r="H434" s="8">
        <f>ROUND(1592.69,2)</f>
        <v>1592.69</v>
      </c>
      <c r="I434" s="7">
        <f>ROUND(90282.11,2)</f>
        <v>90282.11</v>
      </c>
      <c r="J434" s="7">
        <f>ROUND(1644,2)</f>
        <v>1644</v>
      </c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7">
        <f>ROUND(-14,2)</f>
        <v>-14</v>
      </c>
      <c r="AT434" s="6"/>
      <c r="AU434" s="6"/>
      <c r="AV434" s="6"/>
      <c r="AW434" s="6"/>
      <c r="AX434" s="6"/>
      <c r="AY434" s="6"/>
      <c r="AZ434" s="6"/>
      <c r="BA434" s="6"/>
      <c r="BB434" s="6"/>
      <c r="BC434" s="7">
        <f>ROUND(8,2)</f>
        <v>8</v>
      </c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7">
        <f>ROUND(8,2)</f>
        <v>8</v>
      </c>
      <c r="BX434" s="6"/>
      <c r="BY434" s="6"/>
      <c r="BZ434" s="6"/>
      <c r="CA434" s="6"/>
      <c r="CB434" s="6"/>
      <c r="CC434" s="6"/>
      <c r="CD434" s="6"/>
      <c r="CE434" s="6"/>
      <c r="CF434" s="6"/>
      <c r="CG434" s="7">
        <f>ROUND(4,2)</f>
        <v>4</v>
      </c>
      <c r="CH434" s="7">
        <f>ROUND(56,2)</f>
        <v>56</v>
      </c>
      <c r="CI434" s="7">
        <f>ROUND(32,2)</f>
        <v>32</v>
      </c>
      <c r="CJ434" s="6"/>
      <c r="CK434" s="6"/>
      <c r="CL434" s="6"/>
      <c r="CM434" s="6"/>
      <c r="CN434" s="7">
        <f>ROUND(120,2)</f>
        <v>120</v>
      </c>
      <c r="CO434" s="6"/>
      <c r="CP434" s="7">
        <f>ROUND(44,2)</f>
        <v>44</v>
      </c>
      <c r="CQ434" s="7">
        <f>ROUND(1902,2)</f>
        <v>1902</v>
      </c>
      <c r="CR434" s="7">
        <f>ROUND(79793.75,2)</f>
        <v>79793.75</v>
      </c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7">
        <f>ROUND(-557.44,2)</f>
        <v>-557.44000000000005</v>
      </c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7">
        <f>ROUND(295,2)</f>
        <v>295</v>
      </c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7">
        <f>ROUND(159.27,2)</f>
        <v>159.27000000000001</v>
      </c>
      <c r="FH434" s="6"/>
      <c r="FI434" s="6"/>
      <c r="FJ434" s="7">
        <f>ROUND(3822.46,2)</f>
        <v>3822.46</v>
      </c>
      <c r="FK434" s="6"/>
      <c r="FL434" s="6"/>
      <c r="FM434" s="6"/>
      <c r="FN434" s="7">
        <f>ROUND(955.62,2)</f>
        <v>955.62</v>
      </c>
      <c r="FO434" s="7">
        <f>ROUND(238.9,2)</f>
        <v>238.9</v>
      </c>
      <c r="FP434" s="6"/>
      <c r="FQ434" s="6"/>
      <c r="FR434" s="6"/>
      <c r="FS434" s="6"/>
      <c r="FT434" s="6"/>
      <c r="FU434" s="6"/>
      <c r="FV434" s="7">
        <f>ROUND(3822.47,2)</f>
        <v>3822.47</v>
      </c>
      <c r="FW434" s="6"/>
      <c r="FX434" s="7">
        <f>ROUND(1752.08,2)</f>
        <v>1752.08</v>
      </c>
      <c r="FY434" s="7">
        <f>ROUND(90282.11,2)</f>
        <v>90282.11</v>
      </c>
    </row>
    <row r="435" spans="1:181" x14ac:dyDescent="0.3">
      <c r="A435" s="4" t="s">
        <v>486</v>
      </c>
      <c r="B435" s="5"/>
      <c r="C435" s="5" t="s">
        <v>360</v>
      </c>
      <c r="D435" s="5" t="s">
        <v>278</v>
      </c>
      <c r="E435" s="5" t="s">
        <v>0</v>
      </c>
      <c r="F435" s="5" t="s">
        <v>0</v>
      </c>
      <c r="G435" s="5" t="s">
        <v>487</v>
      </c>
      <c r="H435" s="8">
        <f>ROUND(1057.88,2)</f>
        <v>1057.8800000000001</v>
      </c>
      <c r="I435" s="7">
        <f>ROUND(23286.87,2)</f>
        <v>23286.87</v>
      </c>
      <c r="J435" s="7">
        <f>ROUND(777.5,2)</f>
        <v>777.5</v>
      </c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7">
        <f>ROUND(-9,2)</f>
        <v>-9</v>
      </c>
      <c r="AT435" s="6"/>
      <c r="AU435" s="6"/>
      <c r="AV435" s="6"/>
      <c r="AW435" s="6"/>
      <c r="AX435" s="6"/>
      <c r="AY435" s="6"/>
      <c r="AZ435" s="6"/>
      <c r="BA435" s="6"/>
      <c r="BB435" s="6"/>
      <c r="BC435" s="7">
        <f>ROUND(14.5,2)</f>
        <v>14.5</v>
      </c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>
        <f>ROUND(1,2)</f>
        <v>1</v>
      </c>
      <c r="CH435" s="7">
        <f>ROUND(24,2)</f>
        <v>24</v>
      </c>
      <c r="CI435" s="6"/>
      <c r="CJ435" s="6"/>
      <c r="CK435" s="6"/>
      <c r="CL435" s="6"/>
      <c r="CM435" s="6"/>
      <c r="CN435" s="7">
        <f>ROUND(32,2)</f>
        <v>32</v>
      </c>
      <c r="CO435" s="6"/>
      <c r="CP435" s="6"/>
      <c r="CQ435" s="7">
        <f>ROUND(840,2)</f>
        <v>840</v>
      </c>
      <c r="CR435" s="7">
        <f>ROUND(21620.5,2)</f>
        <v>21620.5</v>
      </c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7">
        <f>ROUND(-238.03,2)</f>
        <v>-238.03</v>
      </c>
      <c r="EC435" s="6"/>
      <c r="ED435" s="6"/>
      <c r="EE435" s="6"/>
      <c r="EF435" s="6"/>
      <c r="EG435" s="6"/>
      <c r="EH435" s="6"/>
      <c r="EI435" s="6"/>
      <c r="EJ435" s="6"/>
      <c r="EK435" s="6"/>
      <c r="EL435" s="7">
        <f>ROUND(171.91,2)</f>
        <v>171.91</v>
      </c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7">
        <f>ROUND(225,2)</f>
        <v>225</v>
      </c>
      <c r="FK435" s="6"/>
      <c r="FL435" s="6"/>
      <c r="FM435" s="7">
        <f>ROUND(26.45,2)</f>
        <v>26.45</v>
      </c>
      <c r="FN435" s="7">
        <f>ROUND(634.74,2)</f>
        <v>634.74</v>
      </c>
      <c r="FO435" s="6"/>
      <c r="FP435" s="6"/>
      <c r="FQ435" s="6"/>
      <c r="FR435" s="6"/>
      <c r="FS435" s="6"/>
      <c r="FT435" s="6"/>
      <c r="FU435" s="6"/>
      <c r="FV435" s="7">
        <f>ROUND(846.3,2)</f>
        <v>846.3</v>
      </c>
      <c r="FW435" s="6"/>
      <c r="FX435" s="6"/>
      <c r="FY435" s="7">
        <f>ROUND(23286.87,2)</f>
        <v>23286.87</v>
      </c>
    </row>
    <row r="436" spans="1:181" ht="26.4" x14ac:dyDescent="0.3">
      <c r="A436" s="4" t="s">
        <v>558</v>
      </c>
      <c r="B436" s="5"/>
      <c r="C436" s="5" t="s">
        <v>360</v>
      </c>
      <c r="D436" s="5" t="s">
        <v>559</v>
      </c>
      <c r="E436" s="5" t="s">
        <v>0</v>
      </c>
      <c r="F436" s="5" t="s">
        <v>0</v>
      </c>
      <c r="G436" s="5" t="s">
        <v>560</v>
      </c>
      <c r="H436" s="8">
        <f>ROUND(2333.97,2)</f>
        <v>2333.9699999999998</v>
      </c>
      <c r="I436" s="7">
        <f>ROUND(129169.15,2)</f>
        <v>129169.15</v>
      </c>
      <c r="J436" s="7">
        <f>ROUND(1642,2)</f>
        <v>1642</v>
      </c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7">
        <f>ROUND(-16,2)</f>
        <v>-16</v>
      </c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7">
        <f>ROUND(8,2)</f>
        <v>8</v>
      </c>
      <c r="BX436" s="6"/>
      <c r="BY436" s="6"/>
      <c r="BZ436" s="6"/>
      <c r="CA436" s="6"/>
      <c r="CB436" s="6"/>
      <c r="CC436" s="6"/>
      <c r="CD436" s="6"/>
      <c r="CE436" s="6"/>
      <c r="CF436" s="6"/>
      <c r="CG436" s="7">
        <f>ROUND(12.5,2)</f>
        <v>12.5</v>
      </c>
      <c r="CH436" s="7">
        <f>ROUND(56,2)</f>
        <v>56</v>
      </c>
      <c r="CI436" s="7">
        <f>ROUND(32,2)</f>
        <v>32</v>
      </c>
      <c r="CJ436" s="6"/>
      <c r="CK436" s="6"/>
      <c r="CL436" s="6"/>
      <c r="CM436" s="6"/>
      <c r="CN436" s="7">
        <f>ROUND(144,2)</f>
        <v>144</v>
      </c>
      <c r="CO436" s="6"/>
      <c r="CP436" s="6"/>
      <c r="CQ436" s="7">
        <f>ROUND(1878.5,2)</f>
        <v>1878.5</v>
      </c>
      <c r="CR436" s="7">
        <f>ROUND(116815.21,2)</f>
        <v>116815.21</v>
      </c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7">
        <f>ROUND(-933.58,2)</f>
        <v>-933.58</v>
      </c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7">
        <f>ROUND(334,2)</f>
        <v>334</v>
      </c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7">
        <f>ROUND(466.79,2)</f>
        <v>466.79</v>
      </c>
      <c r="FH436" s="6"/>
      <c r="FI436" s="6"/>
      <c r="FJ436" s="7">
        <f>ROUND(5601.53,2)</f>
        <v>5601.53</v>
      </c>
      <c r="FK436" s="6"/>
      <c r="FL436" s="6"/>
      <c r="FM436" s="7">
        <f>ROUND(116.7,2)</f>
        <v>116.7</v>
      </c>
      <c r="FN436" s="7">
        <f>ROUND(1400.37,2)</f>
        <v>1400.37</v>
      </c>
      <c r="FO436" s="7">
        <f>ROUND(1400.38,2)</f>
        <v>1400.38</v>
      </c>
      <c r="FP436" s="6"/>
      <c r="FQ436" s="6"/>
      <c r="FR436" s="6"/>
      <c r="FS436" s="6"/>
      <c r="FT436" s="6"/>
      <c r="FU436" s="6"/>
      <c r="FV436" s="7">
        <f>ROUND(3967.75,2)</f>
        <v>3967.75</v>
      </c>
      <c r="FW436" s="6"/>
      <c r="FX436" s="6"/>
      <c r="FY436" s="7">
        <f>ROUND(129169.15,2)</f>
        <v>129169.15</v>
      </c>
    </row>
    <row r="437" spans="1:181" x14ac:dyDescent="0.3">
      <c r="A437" s="4" t="s">
        <v>802</v>
      </c>
      <c r="B437" s="5"/>
      <c r="C437" s="5" t="s">
        <v>360</v>
      </c>
      <c r="D437" s="5" t="s">
        <v>803</v>
      </c>
      <c r="E437" s="5" t="s">
        <v>804</v>
      </c>
      <c r="F437" s="5" t="s">
        <v>0</v>
      </c>
      <c r="G437" s="5" t="s">
        <v>805</v>
      </c>
      <c r="H437" s="8">
        <f>ROUND(1858.94,2)</f>
        <v>1858.94</v>
      </c>
      <c r="I437" s="7">
        <f>ROUND(67755.16,2)</f>
        <v>67755.16</v>
      </c>
      <c r="J437" s="7">
        <f>ROUND(680,2)</f>
        <v>680</v>
      </c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7">
        <f>ROUND(40,2)</f>
        <v>40</v>
      </c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7">
        <f>ROUND(24,2)</f>
        <v>24</v>
      </c>
      <c r="CG437" s="7">
        <f>ROUND(13,2)</f>
        <v>13</v>
      </c>
      <c r="CH437" s="7">
        <f>ROUND(24,2)</f>
        <v>24</v>
      </c>
      <c r="CI437" s="7">
        <f>ROUND(40,2)</f>
        <v>40</v>
      </c>
      <c r="CJ437" s="6"/>
      <c r="CK437" s="6"/>
      <c r="CL437" s="6"/>
      <c r="CM437" s="6"/>
      <c r="CN437" s="7">
        <f>ROUND(24,2)</f>
        <v>24</v>
      </c>
      <c r="CO437" s="6"/>
      <c r="CP437" s="7">
        <f>ROUND(280,2)</f>
        <v>280</v>
      </c>
      <c r="CQ437" s="7">
        <f>ROUND(1125,2)</f>
        <v>1125</v>
      </c>
      <c r="CR437" s="7">
        <f>ROUND(48332.44,2)</f>
        <v>48332.44</v>
      </c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7">
        <f>ROUND(1858.94,2)</f>
        <v>1858.94</v>
      </c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7">
        <f>ROUND(500,2)</f>
        <v>500</v>
      </c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7">
        <f>ROUND(2565.14,2)</f>
        <v>2565.14</v>
      </c>
      <c r="FK437" s="6"/>
      <c r="FL437" s="6"/>
      <c r="FM437" s="6"/>
      <c r="FN437" s="6"/>
      <c r="FO437" s="7">
        <f>ROUND(1487.04,2)</f>
        <v>1487.04</v>
      </c>
      <c r="FP437" s="6"/>
      <c r="FQ437" s="6"/>
      <c r="FR437" s="6"/>
      <c r="FS437" s="6"/>
      <c r="FT437" s="6"/>
      <c r="FU437" s="6"/>
      <c r="FV437" s="6"/>
      <c r="FW437" s="6"/>
      <c r="FX437" s="7">
        <f>ROUND(13011.6,2)</f>
        <v>13011.6</v>
      </c>
      <c r="FY437" s="7">
        <f>ROUND(67755.16,2)</f>
        <v>67755.16</v>
      </c>
    </row>
    <row r="438" spans="1:181" x14ac:dyDescent="0.3">
      <c r="A438" s="4" t="s">
        <v>269</v>
      </c>
      <c r="B438" s="5"/>
      <c r="C438" s="5" t="s">
        <v>270</v>
      </c>
      <c r="D438" s="5" t="s">
        <v>271</v>
      </c>
      <c r="E438" s="5" t="s">
        <v>0</v>
      </c>
      <c r="F438" s="5" t="s">
        <v>0</v>
      </c>
      <c r="G438" s="5" t="s">
        <v>272</v>
      </c>
      <c r="H438" s="8">
        <f>ROUND(1386.93,2)</f>
        <v>1386.93</v>
      </c>
      <c r="I438" s="7">
        <f>ROUND(76835.9299999999,2)</f>
        <v>76835.929999999993</v>
      </c>
      <c r="J438" s="7">
        <f>ROUND(1698,2)</f>
        <v>1698</v>
      </c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7">
        <f>ROUND(-8,2)</f>
        <v>-8</v>
      </c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7">
        <f>ROUND(8,2)</f>
        <v>8</v>
      </c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7">
        <f>ROUND(56,2)</f>
        <v>56</v>
      </c>
      <c r="CI438" s="7">
        <f>ROUND(32,2)</f>
        <v>32</v>
      </c>
      <c r="CJ438" s="6"/>
      <c r="CK438" s="6"/>
      <c r="CL438" s="6"/>
      <c r="CM438" s="6"/>
      <c r="CN438" s="7">
        <f>ROUND(122,2)</f>
        <v>122</v>
      </c>
      <c r="CO438" s="6"/>
      <c r="CP438" s="6"/>
      <c r="CQ438" s="7">
        <f>ROUND(1908,2)</f>
        <v>1908</v>
      </c>
      <c r="CR438" s="7">
        <f>ROUND(71357.5399999999,2)</f>
        <v>71357.539999999994</v>
      </c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7">
        <f>ROUND(-277.39,2)</f>
        <v>-277.39</v>
      </c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7">
        <f>ROUND(3328.64,2)</f>
        <v>3328.64</v>
      </c>
      <c r="FK438" s="6"/>
      <c r="FL438" s="6"/>
      <c r="FM438" s="6"/>
      <c r="FN438" s="7">
        <f>ROUND(832.17,2)</f>
        <v>832.17</v>
      </c>
      <c r="FO438" s="6"/>
      <c r="FP438" s="6"/>
      <c r="FQ438" s="6"/>
      <c r="FR438" s="6"/>
      <c r="FS438" s="6"/>
      <c r="FT438" s="6"/>
      <c r="FU438" s="6"/>
      <c r="FV438" s="7">
        <f>ROUND(1594.96999999999,2)</f>
        <v>1594.97</v>
      </c>
      <c r="FW438" s="6"/>
      <c r="FX438" s="6"/>
      <c r="FY438" s="7">
        <f>ROUND(76835.9299999999,2)</f>
        <v>76835.929999999993</v>
      </c>
    </row>
    <row r="439" spans="1:181" x14ac:dyDescent="0.3">
      <c r="A439" s="4" t="s">
        <v>483</v>
      </c>
      <c r="B439" s="5"/>
      <c r="C439" s="5" t="s">
        <v>270</v>
      </c>
      <c r="D439" s="5" t="s">
        <v>484</v>
      </c>
      <c r="E439" s="5" t="s">
        <v>0</v>
      </c>
      <c r="F439" s="5" t="s">
        <v>0</v>
      </c>
      <c r="G439" s="5" t="s">
        <v>485</v>
      </c>
      <c r="H439" s="8">
        <f>ROUND(1024.64,2)</f>
        <v>1024.6400000000001</v>
      </c>
      <c r="I439" s="7">
        <f>ROUND(55257.0599999999,2)</f>
        <v>55257.06</v>
      </c>
      <c r="J439" s="7">
        <f>ROUND(1648,2)</f>
        <v>1648</v>
      </c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7">
        <f>ROUND(-8,2)</f>
        <v>-8</v>
      </c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7">
        <f>ROUND(8,2)</f>
        <v>8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7">
        <f>ROUND(56,2)</f>
        <v>56</v>
      </c>
      <c r="CI439" s="7">
        <f>ROUND(32,2)</f>
        <v>32</v>
      </c>
      <c r="CJ439" s="6"/>
      <c r="CK439" s="6"/>
      <c r="CL439" s="6"/>
      <c r="CM439" s="6"/>
      <c r="CN439" s="7">
        <f>ROUND(124,2)</f>
        <v>124</v>
      </c>
      <c r="CO439" s="6"/>
      <c r="CP439" s="6"/>
      <c r="CQ439" s="7">
        <f>ROUND(1860,2)</f>
        <v>1860</v>
      </c>
      <c r="CR439" s="7">
        <f>ROUND(49928.9199999999,2)</f>
        <v>49928.92</v>
      </c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7">
        <f>ROUND(-204.93,2)</f>
        <v>-204.93</v>
      </c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7">
        <f>ROUND(2459.14,2)</f>
        <v>2459.14</v>
      </c>
      <c r="FK439" s="6"/>
      <c r="FL439" s="6"/>
      <c r="FM439" s="6"/>
      <c r="FN439" s="7">
        <f>ROUND(614.79,2)</f>
        <v>614.79</v>
      </c>
      <c r="FO439" s="7">
        <f>ROUND(204.93,2)</f>
        <v>204.93</v>
      </c>
      <c r="FP439" s="6"/>
      <c r="FQ439" s="6"/>
      <c r="FR439" s="6"/>
      <c r="FS439" s="6"/>
      <c r="FT439" s="6"/>
      <c r="FU439" s="6"/>
      <c r="FV439" s="7">
        <f>ROUND(2254.21,2)</f>
        <v>2254.21</v>
      </c>
      <c r="FW439" s="6"/>
      <c r="FX439" s="6"/>
      <c r="FY439" s="7">
        <f>ROUND(55257.0599999999,2)</f>
        <v>55257.06</v>
      </c>
    </row>
    <row r="440" spans="1:181" ht="26.4" x14ac:dyDescent="0.3">
      <c r="A440" s="4" t="s">
        <v>1005</v>
      </c>
      <c r="B440" s="5"/>
      <c r="C440" s="5" t="s">
        <v>270</v>
      </c>
      <c r="D440" s="5" t="s">
        <v>1006</v>
      </c>
      <c r="E440" s="5" t="s">
        <v>0</v>
      </c>
      <c r="F440" s="5" t="s">
        <v>1006</v>
      </c>
      <c r="G440" s="5" t="s">
        <v>1007</v>
      </c>
      <c r="H440" s="8">
        <f>ROUND(1774.84,2)</f>
        <v>1774.84</v>
      </c>
      <c r="I440" s="7">
        <f>ROUND(101875.739999999,2)</f>
        <v>101875.74</v>
      </c>
      <c r="J440" s="7">
        <f>ROUND(1648,2)</f>
        <v>1648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7">
        <f>ROUND(-8,2)</f>
        <v>-8</v>
      </c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7">
        <f>ROUND(8,2)</f>
        <v>8</v>
      </c>
      <c r="BX440" s="6"/>
      <c r="BY440" s="6"/>
      <c r="BZ440" s="6"/>
      <c r="CA440" s="6"/>
      <c r="CB440" s="6"/>
      <c r="CC440" s="6"/>
      <c r="CD440" s="6"/>
      <c r="CE440" s="6"/>
      <c r="CF440" s="6"/>
      <c r="CG440" s="7">
        <f>ROUND(8,2)</f>
        <v>8</v>
      </c>
      <c r="CH440" s="7">
        <f>ROUND(56,2)</f>
        <v>56</v>
      </c>
      <c r="CI440" s="7">
        <f>ROUND(32,2)</f>
        <v>32</v>
      </c>
      <c r="CJ440" s="6"/>
      <c r="CK440" s="6"/>
      <c r="CL440" s="6"/>
      <c r="CM440" s="6"/>
      <c r="CN440" s="7">
        <f>ROUND(184,2)</f>
        <v>184</v>
      </c>
      <c r="CO440" s="6"/>
      <c r="CP440" s="7">
        <f>ROUND(80,2)</f>
        <v>80</v>
      </c>
      <c r="CQ440" s="7">
        <f>ROUND(2008,2)</f>
        <v>2008</v>
      </c>
      <c r="CR440" s="7">
        <f>ROUND(89096.9499999998,2)</f>
        <v>89096.95</v>
      </c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7">
        <f>ROUND(-354.97,2)</f>
        <v>-354.97</v>
      </c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7">
        <f>ROUND(4259.62,2)</f>
        <v>4259.62</v>
      </c>
      <c r="FK440" s="6"/>
      <c r="FL440" s="6"/>
      <c r="FM440" s="7">
        <f>ROUND(354.97,2)</f>
        <v>354.97</v>
      </c>
      <c r="FN440" s="7">
        <f>ROUND(1064.91,2)</f>
        <v>1064.9100000000001</v>
      </c>
      <c r="FO440" s="6"/>
      <c r="FP440" s="6"/>
      <c r="FQ440" s="6"/>
      <c r="FR440" s="6"/>
      <c r="FS440" s="6"/>
      <c r="FT440" s="6"/>
      <c r="FU440" s="6"/>
      <c r="FV440" s="7">
        <f>ROUND(3904.66,2)</f>
        <v>3904.66</v>
      </c>
      <c r="FW440" s="6"/>
      <c r="FX440" s="7">
        <f>ROUND(3549.6,2)</f>
        <v>3549.6</v>
      </c>
      <c r="FY440" s="7">
        <f>ROUND(101875.739999999,2)</f>
        <v>101875.74</v>
      </c>
    </row>
    <row r="441" spans="1:181" x14ac:dyDescent="0.3">
      <c r="A441" s="4" t="s">
        <v>730</v>
      </c>
      <c r="B441" s="5"/>
      <c r="C441" s="5" t="s">
        <v>731</v>
      </c>
      <c r="D441" s="5" t="s">
        <v>461</v>
      </c>
      <c r="E441" s="5" t="s">
        <v>0</v>
      </c>
      <c r="F441" s="5" t="s">
        <v>0</v>
      </c>
      <c r="G441" s="5" t="s">
        <v>732</v>
      </c>
      <c r="H441" s="8">
        <f>ROUND(50,2)</f>
        <v>50</v>
      </c>
      <c r="I441" s="7">
        <f>ROUND(61862.5,2)</f>
        <v>61862.5</v>
      </c>
      <c r="J441" s="7">
        <f>ROUND(1199,2)</f>
        <v>1199</v>
      </c>
      <c r="K441" s="7">
        <f>ROUND(25.5,2)</f>
        <v>25.5</v>
      </c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7">
        <f>ROUND(1224.5,2)</f>
        <v>1224.5</v>
      </c>
      <c r="CR441" s="7">
        <f>ROUND(59950,2)</f>
        <v>59950</v>
      </c>
      <c r="CS441" s="7">
        <f>ROUND(1912.5,2)</f>
        <v>1912.5</v>
      </c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7">
        <f>ROUND(61862.5,2)</f>
        <v>61862.5</v>
      </c>
    </row>
  </sheetData>
  <sortState xmlns:xlrd2="http://schemas.microsoft.com/office/spreadsheetml/2017/richdata2" ref="A2:FY441">
    <sortCondition ref="C2:C441"/>
    <sortCondition ref="A2:A4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Payroll History</vt:lpstr>
      <vt:lpstr>Workfile</vt:lpstr>
      <vt:lpstr>Operations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2026-08-27T20:56:37Z</dcterms:created>
  <dcterms:modified xsi:type="dcterms:W3CDTF">2026-09-09T02:37:43Z</dcterms:modified>
</cp:coreProperties>
</file>