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1935" yWindow="1380" windowWidth="20730" windowHeight="11760"/>
  </bookViews>
  <sheets>
    <sheet name="Payroll History" sheetId="1" r:id="rId1"/>
    <sheet name="Report Runtime Settings" sheetId="2" r:id="rId2"/>
  </sheets>
  <definedNames>
    <definedName name="__bookmark_1">'Payroll History'!$A$1:$EV$468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V468" i="1"/>
  <c r="ES468"/>
  <c r="EN468"/>
  <c r="EH468"/>
  <c r="EG468"/>
  <c r="EE468"/>
  <c r="ED468"/>
  <c r="CD468"/>
  <c r="CC468"/>
  <c r="CB468"/>
  <c r="BY468"/>
  <c r="BX468"/>
  <c r="BU468"/>
  <c r="BT468"/>
  <c r="BH468"/>
  <c r="J468"/>
  <c r="I468"/>
  <c r="EV467"/>
  <c r="EU467"/>
  <c r="EQ467"/>
  <c r="EE467"/>
  <c r="DR467"/>
  <c r="DJ467"/>
  <c r="DI467"/>
  <c r="DC467"/>
  <c r="CJ467"/>
  <c r="CG467"/>
  <c r="CB467"/>
  <c r="CA467"/>
  <c r="BB467"/>
  <c r="AM467"/>
  <c r="AL467"/>
  <c r="AH467"/>
  <c r="P467"/>
  <c r="M467"/>
  <c r="EV466"/>
  <c r="DI466"/>
  <c r="CB466"/>
  <c r="AL466"/>
  <c r="EV465"/>
  <c r="EQ465"/>
  <c r="EE465"/>
  <c r="CC465"/>
  <c r="CB465"/>
  <c r="BY465"/>
  <c r="BT465"/>
  <c r="EV464"/>
  <c r="EU464"/>
  <c r="EQ464"/>
  <c r="DK464"/>
  <c r="DI464"/>
  <c r="DC464"/>
  <c r="DB464"/>
  <c r="DA464"/>
  <c r="CX464"/>
  <c r="CW464"/>
  <c r="CR464"/>
  <c r="CQ464"/>
  <c r="CO464"/>
  <c r="CJ464"/>
  <c r="CG464"/>
  <c r="CB464"/>
  <c r="CA464"/>
  <c r="BE464"/>
  <c r="AN464"/>
  <c r="AL464"/>
  <c r="AH464"/>
  <c r="AG464"/>
  <c r="AF464"/>
  <c r="AD464"/>
  <c r="AC464"/>
  <c r="X464"/>
  <c r="W464"/>
  <c r="U464"/>
  <c r="P464"/>
  <c r="M464"/>
  <c r="EV463"/>
  <c r="DA463"/>
  <c r="CB463"/>
  <c r="BL463"/>
  <c r="BH463"/>
  <c r="BD463"/>
  <c r="BB463"/>
  <c r="AF463"/>
  <c r="EV462"/>
  <c r="EU462"/>
  <c r="EQ462"/>
  <c r="EE462"/>
  <c r="DZ462"/>
  <c r="DI462"/>
  <c r="DC462"/>
  <c r="DB462"/>
  <c r="DA462"/>
  <c r="CX462"/>
  <c r="CW462"/>
  <c r="CR462"/>
  <c r="CQ462"/>
  <c r="CO462"/>
  <c r="CJ462"/>
  <c r="CG462"/>
  <c r="CB462"/>
  <c r="CA462"/>
  <c r="BM462"/>
  <c r="BE462"/>
  <c r="BC462"/>
  <c r="AY462"/>
  <c r="AL462"/>
  <c r="AH462"/>
  <c r="AG462"/>
  <c r="AF462"/>
  <c r="AD462"/>
  <c r="AC462"/>
  <c r="X462"/>
  <c r="W462"/>
  <c r="U462"/>
  <c r="P462"/>
  <c r="M462"/>
  <c r="EV461"/>
  <c r="EU461"/>
  <c r="EQ461"/>
  <c r="EE461"/>
  <c r="DJ461"/>
  <c r="DI461"/>
  <c r="DE461"/>
  <c r="DC461"/>
  <c r="CJ461"/>
  <c r="CG461"/>
  <c r="CB461"/>
  <c r="CA461"/>
  <c r="BM461"/>
  <c r="BH461"/>
  <c r="BE461"/>
  <c r="BC461"/>
  <c r="AM461"/>
  <c r="AL461"/>
  <c r="AJ461"/>
  <c r="AH461"/>
  <c r="P461"/>
  <c r="M461"/>
  <c r="EV460"/>
  <c r="EC460"/>
  <c r="DN460"/>
  <c r="DI460"/>
  <c r="DE460"/>
  <c r="DC460"/>
  <c r="CJ460"/>
  <c r="CG460"/>
  <c r="CB460"/>
  <c r="BM460"/>
  <c r="BG460"/>
  <c r="BF460"/>
  <c r="BB460"/>
  <c r="AL460"/>
  <c r="AJ460"/>
  <c r="AH460"/>
  <c r="P460"/>
  <c r="M460"/>
  <c r="EV459"/>
  <c r="EG459"/>
  <c r="EE459"/>
  <c r="CC459"/>
  <c r="CB459"/>
  <c r="BT459"/>
  <c r="I459"/>
  <c r="EV458"/>
  <c r="ES458"/>
  <c r="EN458"/>
  <c r="EG458"/>
  <c r="EE458"/>
  <c r="ED458"/>
  <c r="CD458"/>
  <c r="CC458"/>
  <c r="CB458"/>
  <c r="BY458"/>
  <c r="BX458"/>
  <c r="BT458"/>
  <c r="BH458"/>
  <c r="J458"/>
  <c r="I458"/>
  <c r="EV457"/>
  <c r="EU457"/>
  <c r="EQ457"/>
  <c r="EE457"/>
  <c r="DR457"/>
  <c r="DN457"/>
  <c r="DI457"/>
  <c r="DE457"/>
  <c r="DC457"/>
  <c r="DB457"/>
  <c r="DA457"/>
  <c r="CW457"/>
  <c r="CR457"/>
  <c r="CQ457"/>
  <c r="CP457"/>
  <c r="CO457"/>
  <c r="CJ457"/>
  <c r="CG457"/>
  <c r="CB457"/>
  <c r="CA457"/>
  <c r="BD457"/>
  <c r="AL457"/>
  <c r="AJ457"/>
  <c r="AH457"/>
  <c r="AG457"/>
  <c r="AF457"/>
  <c r="AC457"/>
  <c r="X457"/>
  <c r="W457"/>
  <c r="V457"/>
  <c r="U457"/>
  <c r="P457"/>
  <c r="M457"/>
  <c r="EV456"/>
  <c r="ES456"/>
  <c r="EH456"/>
  <c r="EG456"/>
  <c r="EE456"/>
  <c r="ED456"/>
  <c r="CC456"/>
  <c r="CB456"/>
  <c r="BY456"/>
  <c r="BU456"/>
  <c r="BT456"/>
  <c r="BH456"/>
  <c r="I456"/>
  <c r="EV455"/>
  <c r="EQ455"/>
  <c r="EE455"/>
  <c r="DE455"/>
  <c r="DC455"/>
  <c r="CL455"/>
  <c r="CK455"/>
  <c r="CB455"/>
  <c r="BC455"/>
  <c r="AJ455"/>
  <c r="AH455"/>
  <c r="R455"/>
  <c r="Q455"/>
  <c r="EV454"/>
  <c r="EQ454"/>
  <c r="EE454"/>
  <c r="DP454"/>
  <c r="DI454"/>
  <c r="DE454"/>
  <c r="DC454"/>
  <c r="DB454"/>
  <c r="DA454"/>
  <c r="CX454"/>
  <c r="CW454"/>
  <c r="CR454"/>
  <c r="CQ454"/>
  <c r="CP454"/>
  <c r="CO454"/>
  <c r="CN454"/>
  <c r="CJ454"/>
  <c r="CG454"/>
  <c r="CB454"/>
  <c r="BM454"/>
  <c r="BC454"/>
  <c r="BB454"/>
  <c r="AR454"/>
  <c r="AL454"/>
  <c r="AJ454"/>
  <c r="AH454"/>
  <c r="AG454"/>
  <c r="AF454"/>
  <c r="AD454"/>
  <c r="AC454"/>
  <c r="X454"/>
  <c r="W454"/>
  <c r="V454"/>
  <c r="U454"/>
  <c r="T454"/>
  <c r="P454"/>
  <c r="M454"/>
  <c r="EV453"/>
  <c r="EU453"/>
  <c r="EQ453"/>
  <c r="EE453"/>
  <c r="DI453"/>
  <c r="DE453"/>
  <c r="DC453"/>
  <c r="DB453"/>
  <c r="DA453"/>
  <c r="CX453"/>
  <c r="CW453"/>
  <c r="CR453"/>
  <c r="CQ453"/>
  <c r="CP453"/>
  <c r="CO453"/>
  <c r="CJ453"/>
  <c r="CG453"/>
  <c r="CB453"/>
  <c r="CA453"/>
  <c r="BE453"/>
  <c r="BD453"/>
  <c r="BB453"/>
  <c r="AL453"/>
  <c r="AJ453"/>
  <c r="AH453"/>
  <c r="AG453"/>
  <c r="AF453"/>
  <c r="AD453"/>
  <c r="AC453"/>
  <c r="X453"/>
  <c r="W453"/>
  <c r="V453"/>
  <c r="U453"/>
  <c r="P453"/>
  <c r="M453"/>
  <c r="EV452"/>
  <c r="DI452"/>
  <c r="DE452"/>
  <c r="DC452"/>
  <c r="DB452"/>
  <c r="DA452"/>
  <c r="CW452"/>
  <c r="CQ452"/>
  <c r="CO452"/>
  <c r="CJ452"/>
  <c r="CG452"/>
  <c r="CB452"/>
  <c r="BM452"/>
  <c r="BJ452"/>
  <c r="BD452"/>
  <c r="BC452"/>
  <c r="BB452"/>
  <c r="AL452"/>
  <c r="AJ452"/>
  <c r="AH452"/>
  <c r="AG452"/>
  <c r="AF452"/>
  <c r="AC452"/>
  <c r="W452"/>
  <c r="U452"/>
  <c r="P452"/>
  <c r="M452"/>
  <c r="EV451"/>
  <c r="EU451"/>
  <c r="EQ451"/>
  <c r="EE451"/>
  <c r="DZ451"/>
  <c r="DY451"/>
  <c r="DX451"/>
  <c r="DW451"/>
  <c r="DR451"/>
  <c r="DM451"/>
  <c r="DI451"/>
  <c r="DC451"/>
  <c r="DB451"/>
  <c r="DA451"/>
  <c r="CX451"/>
  <c r="CW451"/>
  <c r="CR451"/>
  <c r="CQ451"/>
  <c r="CP451"/>
  <c r="CO451"/>
  <c r="CJ451"/>
  <c r="CG451"/>
  <c r="CB451"/>
  <c r="CA451"/>
  <c r="BL451"/>
  <c r="BD451"/>
  <c r="AY451"/>
  <c r="AX451"/>
  <c r="AW451"/>
  <c r="AV451"/>
  <c r="AP451"/>
  <c r="AL451"/>
  <c r="AH451"/>
  <c r="AG451"/>
  <c r="AF451"/>
  <c r="AD451"/>
  <c r="AC451"/>
  <c r="X451"/>
  <c r="W451"/>
  <c r="V451"/>
  <c r="U451"/>
  <c r="P451"/>
  <c r="M451"/>
  <c r="EV450"/>
  <c r="ES450"/>
  <c r="EM450"/>
  <c r="EE450"/>
  <c r="CC450"/>
  <c r="CB450"/>
  <c r="BY450"/>
  <c r="BU450"/>
  <c r="BT450"/>
  <c r="BH450"/>
  <c r="EV449"/>
  <c r="DI449"/>
  <c r="CB449"/>
  <c r="BL449"/>
  <c r="AL449"/>
  <c r="EV448"/>
  <c r="DE448"/>
  <c r="DC448"/>
  <c r="CJ448"/>
  <c r="CG448"/>
  <c r="CB448"/>
  <c r="BM448"/>
  <c r="BJ448"/>
  <c r="BB448"/>
  <c r="AJ448"/>
  <c r="AH448"/>
  <c r="P448"/>
  <c r="M448"/>
  <c r="EV447"/>
  <c r="ES447"/>
  <c r="EN447"/>
  <c r="EI447"/>
  <c r="EH447"/>
  <c r="EG447"/>
  <c r="EE447"/>
  <c r="ED447"/>
  <c r="CD447"/>
  <c r="CC447"/>
  <c r="CB447"/>
  <c r="BY447"/>
  <c r="BX447"/>
  <c r="BV447"/>
  <c r="BU447"/>
  <c r="BT447"/>
  <c r="BH447"/>
  <c r="J447"/>
  <c r="I447"/>
  <c r="EV446"/>
  <c r="DI446"/>
  <c r="CB446"/>
  <c r="BM446"/>
  <c r="BE446"/>
  <c r="AL446"/>
  <c r="EV445"/>
  <c r="EU445"/>
  <c r="EQ445"/>
  <c r="EE445"/>
  <c r="DJ445"/>
  <c r="DE445"/>
  <c r="DC445"/>
  <c r="DB445"/>
  <c r="CR445"/>
  <c r="CP445"/>
  <c r="CO445"/>
  <c r="CJ445"/>
  <c r="CG445"/>
  <c r="CB445"/>
  <c r="CA445"/>
  <c r="BM445"/>
  <c r="BE445"/>
  <c r="BD445"/>
  <c r="BC445"/>
  <c r="BB445"/>
  <c r="AM445"/>
  <c r="AJ445"/>
  <c r="AH445"/>
  <c r="AG445"/>
  <c r="X445"/>
  <c r="V445"/>
  <c r="U445"/>
  <c r="P445"/>
  <c r="M445"/>
  <c r="EV444"/>
  <c r="DI444"/>
  <c r="DC444"/>
  <c r="CB444"/>
  <c r="BL444"/>
  <c r="BD444"/>
  <c r="AL444"/>
  <c r="AH444"/>
  <c r="EV443"/>
  <c r="DK443"/>
  <c r="DI443"/>
  <c r="DC443"/>
  <c r="CB443"/>
  <c r="AN443"/>
  <c r="AL443"/>
  <c r="AH443"/>
  <c r="EV442"/>
  <c r="EC442"/>
  <c r="DM442"/>
  <c r="DE442"/>
  <c r="DC442"/>
  <c r="DB442"/>
  <c r="DA442"/>
  <c r="CW442"/>
  <c r="CQ442"/>
  <c r="CO442"/>
  <c r="CJ442"/>
  <c r="CG442"/>
  <c r="CB442"/>
  <c r="BM442"/>
  <c r="BH442"/>
  <c r="BF442"/>
  <c r="BE442"/>
  <c r="BC442"/>
  <c r="BB442"/>
  <c r="AP442"/>
  <c r="AJ442"/>
  <c r="AH442"/>
  <c r="AG442"/>
  <c r="AF442"/>
  <c r="AC442"/>
  <c r="W442"/>
  <c r="U442"/>
  <c r="P442"/>
  <c r="M442"/>
  <c r="EV441"/>
  <c r="DI441"/>
  <c r="DC441"/>
  <c r="CB441"/>
  <c r="BM441"/>
  <c r="BD441"/>
  <c r="AL441"/>
  <c r="AH441"/>
  <c r="EV440"/>
  <c r="EU440"/>
  <c r="EQ440"/>
  <c r="EE440"/>
  <c r="DM440"/>
  <c r="DI440"/>
  <c r="DE440"/>
  <c r="DC440"/>
  <c r="DB440"/>
  <c r="DA440"/>
  <c r="CX440"/>
  <c r="CW440"/>
  <c r="CR440"/>
  <c r="CQ440"/>
  <c r="CO440"/>
  <c r="CJ440"/>
  <c r="CG440"/>
  <c r="CB440"/>
  <c r="CA440"/>
  <c r="BM440"/>
  <c r="BJ440"/>
  <c r="BD440"/>
  <c r="BC440"/>
  <c r="BB440"/>
  <c r="AP440"/>
  <c r="AL440"/>
  <c r="AJ440"/>
  <c r="AH440"/>
  <c r="AG440"/>
  <c r="AF440"/>
  <c r="AD440"/>
  <c r="AC440"/>
  <c r="X440"/>
  <c r="W440"/>
  <c r="U440"/>
  <c r="P440"/>
  <c r="M440"/>
  <c r="EV439"/>
  <c r="EU439"/>
  <c r="EQ439"/>
  <c r="EE439"/>
  <c r="DE439"/>
  <c r="DC439"/>
  <c r="CF439"/>
  <c r="CE439"/>
  <c r="CB439"/>
  <c r="CA439"/>
  <c r="BO439"/>
  <c r="BH439"/>
  <c r="BE439"/>
  <c r="BC439"/>
  <c r="AJ439"/>
  <c r="AH439"/>
  <c r="L439"/>
  <c r="K439"/>
  <c r="EV438"/>
  <c r="EU438"/>
  <c r="EQ438"/>
  <c r="EE438"/>
  <c r="DE438"/>
  <c r="DC438"/>
  <c r="CF438"/>
  <c r="CE438"/>
  <c r="CB438"/>
  <c r="CA438"/>
  <c r="BO438"/>
  <c r="BM438"/>
  <c r="AJ438"/>
  <c r="AH438"/>
  <c r="L438"/>
  <c r="K438"/>
  <c r="EV437"/>
  <c r="EU437"/>
  <c r="EQ437"/>
  <c r="EE437"/>
  <c r="ED437"/>
  <c r="DK437"/>
  <c r="DI437"/>
  <c r="DE437"/>
  <c r="DC437"/>
  <c r="DB437"/>
  <c r="DA437"/>
  <c r="CX437"/>
  <c r="CW437"/>
  <c r="CQ437"/>
  <c r="CP437"/>
  <c r="CO437"/>
  <c r="CJ437"/>
  <c r="CG437"/>
  <c r="CB437"/>
  <c r="CA437"/>
  <c r="BM437"/>
  <c r="BH437"/>
  <c r="BE437"/>
  <c r="BD437"/>
  <c r="AN437"/>
  <c r="AL437"/>
  <c r="AJ437"/>
  <c r="AH437"/>
  <c r="AG437"/>
  <c r="AF437"/>
  <c r="AD437"/>
  <c r="AC437"/>
  <c r="W437"/>
  <c r="V437"/>
  <c r="U437"/>
  <c r="P437"/>
  <c r="M437"/>
  <c r="EV436"/>
  <c r="EU436"/>
  <c r="EQ436"/>
  <c r="EE436"/>
  <c r="EC436"/>
  <c r="DX436"/>
  <c r="DW436"/>
  <c r="DR436"/>
  <c r="DI436"/>
  <c r="DE436"/>
  <c r="DC436"/>
  <c r="DB436"/>
  <c r="DA436"/>
  <c r="CX436"/>
  <c r="CW436"/>
  <c r="CR436"/>
  <c r="CQ436"/>
  <c r="CO436"/>
  <c r="CJ436"/>
  <c r="CG436"/>
  <c r="CB436"/>
  <c r="CA436"/>
  <c r="BP436"/>
  <c r="BM436"/>
  <c r="BL436"/>
  <c r="BH436"/>
  <c r="BG436"/>
  <c r="BF436"/>
  <c r="BE436"/>
  <c r="BD436"/>
  <c r="BC436"/>
  <c r="BB436"/>
  <c r="AW436"/>
  <c r="AV436"/>
  <c r="AL436"/>
  <c r="AJ436"/>
  <c r="AH436"/>
  <c r="AG436"/>
  <c r="AF436"/>
  <c r="AD436"/>
  <c r="AC436"/>
  <c r="X436"/>
  <c r="W436"/>
  <c r="U436"/>
  <c r="P436"/>
  <c r="M436"/>
  <c r="EV435"/>
  <c r="EQ435"/>
  <c r="EE435"/>
  <c r="DI435"/>
  <c r="DE435"/>
  <c r="DC435"/>
  <c r="DB435"/>
  <c r="CX435"/>
  <c r="CW435"/>
  <c r="CJ435"/>
  <c r="CG435"/>
  <c r="CB435"/>
  <c r="BM435"/>
  <c r="BG435"/>
  <c r="BE435"/>
  <c r="BD435"/>
  <c r="BB435"/>
  <c r="AL435"/>
  <c r="AJ435"/>
  <c r="AH435"/>
  <c r="AG435"/>
  <c r="AD435"/>
  <c r="AC435"/>
  <c r="P435"/>
  <c r="M435"/>
  <c r="EV434"/>
  <c r="DI434"/>
  <c r="DC434"/>
  <c r="CB434"/>
  <c r="BM434"/>
  <c r="BD434"/>
  <c r="AL434"/>
  <c r="AH434"/>
  <c r="EV433"/>
  <c r="EQ433"/>
  <c r="EE433"/>
  <c r="DZ433"/>
  <c r="DX433"/>
  <c r="DW433"/>
  <c r="DM433"/>
  <c r="DJ433"/>
  <c r="DI433"/>
  <c r="DE433"/>
  <c r="DC433"/>
  <c r="DB433"/>
  <c r="DA433"/>
  <c r="CX433"/>
  <c r="CW433"/>
  <c r="CR433"/>
  <c r="CQ433"/>
  <c r="CP433"/>
  <c r="CO433"/>
  <c r="CJ433"/>
  <c r="CG433"/>
  <c r="CB433"/>
  <c r="BM433"/>
  <c r="BG433"/>
  <c r="BF433"/>
  <c r="BD433"/>
  <c r="BB433"/>
  <c r="AY433"/>
  <c r="AW433"/>
  <c r="AV433"/>
  <c r="AP433"/>
  <c r="AM433"/>
  <c r="AL433"/>
  <c r="AJ433"/>
  <c r="AH433"/>
  <c r="AG433"/>
  <c r="AF433"/>
  <c r="AD433"/>
  <c r="AC433"/>
  <c r="X433"/>
  <c r="W433"/>
  <c r="V433"/>
  <c r="U433"/>
  <c r="P433"/>
  <c r="M433"/>
  <c r="EV432"/>
  <c r="EQ432"/>
  <c r="EE432"/>
  <c r="EC432"/>
  <c r="DR432"/>
  <c r="DI432"/>
  <c r="DE432"/>
  <c r="DC432"/>
  <c r="DA432"/>
  <c r="CW432"/>
  <c r="CJ432"/>
  <c r="CG432"/>
  <c r="CB432"/>
  <c r="BM432"/>
  <c r="BH432"/>
  <c r="BG432"/>
  <c r="BF432"/>
  <c r="BC432"/>
  <c r="BB432"/>
  <c r="AL432"/>
  <c r="AJ432"/>
  <c r="AH432"/>
  <c r="AF432"/>
  <c r="AC432"/>
  <c r="P432"/>
  <c r="M432"/>
  <c r="EV431"/>
  <c r="ES431"/>
  <c r="EN431"/>
  <c r="EI431"/>
  <c r="EG431"/>
  <c r="EE431"/>
  <c r="ED431"/>
  <c r="CD431"/>
  <c r="CC431"/>
  <c r="CB431"/>
  <c r="BY431"/>
  <c r="BX431"/>
  <c r="BV431"/>
  <c r="BT431"/>
  <c r="BH431"/>
  <c r="J431"/>
  <c r="I431"/>
  <c r="EV430"/>
  <c r="CC430"/>
  <c r="CB430"/>
  <c r="I430"/>
  <c r="EV429"/>
  <c r="EQ429"/>
  <c r="EE429"/>
  <c r="DN429"/>
  <c r="DE429"/>
  <c r="DC429"/>
  <c r="CM429"/>
  <c r="CL429"/>
  <c r="CK429"/>
  <c r="CB429"/>
  <c r="BD429"/>
  <c r="AJ429"/>
  <c r="AH429"/>
  <c r="S429"/>
  <c r="R429"/>
  <c r="Q429"/>
  <c r="EV428"/>
  <c r="DC428"/>
  <c r="CG428"/>
  <c r="CB428"/>
  <c r="BM428"/>
  <c r="BC428"/>
  <c r="BB428"/>
  <c r="AH428"/>
  <c r="M428"/>
  <c r="EV427"/>
  <c r="EE427"/>
  <c r="DC427"/>
  <c r="CG427"/>
  <c r="CB427"/>
  <c r="BM427"/>
  <c r="AH427"/>
  <c r="M427"/>
  <c r="EV426"/>
  <c r="EQ426"/>
  <c r="EE426"/>
  <c r="DE426"/>
  <c r="DC426"/>
  <c r="CF426"/>
  <c r="CE426"/>
  <c r="CB426"/>
  <c r="BI426"/>
  <c r="BB426"/>
  <c r="AJ426"/>
  <c r="AH426"/>
  <c r="L426"/>
  <c r="K426"/>
  <c r="EV425"/>
  <c r="EU425"/>
  <c r="EQ425"/>
  <c r="EE425"/>
  <c r="DI425"/>
  <c r="DC425"/>
  <c r="DB425"/>
  <c r="DA425"/>
  <c r="CX425"/>
  <c r="CW425"/>
  <c r="CS425"/>
  <c r="CR425"/>
  <c r="CQ425"/>
  <c r="CJ425"/>
  <c r="CG425"/>
  <c r="CB425"/>
  <c r="CA425"/>
  <c r="BM425"/>
  <c r="BE425"/>
  <c r="BC425"/>
  <c r="AL425"/>
  <c r="AH425"/>
  <c r="AG425"/>
  <c r="AF425"/>
  <c r="AD425"/>
  <c r="AC425"/>
  <c r="Y425"/>
  <c r="X425"/>
  <c r="W425"/>
  <c r="P425"/>
  <c r="M425"/>
  <c r="EV424"/>
  <c r="EU424"/>
  <c r="EQ424"/>
  <c r="EE424"/>
  <c r="ED424"/>
  <c r="DZ424"/>
  <c r="DY424"/>
  <c r="DX424"/>
  <c r="DR424"/>
  <c r="DM424"/>
  <c r="DI424"/>
  <c r="DE424"/>
  <c r="DC424"/>
  <c r="DB424"/>
  <c r="DA424"/>
  <c r="CX424"/>
  <c r="CW424"/>
  <c r="CR424"/>
  <c r="CQ424"/>
  <c r="CP424"/>
  <c r="CO424"/>
  <c r="CJ424"/>
  <c r="CG424"/>
  <c r="CB424"/>
  <c r="CA424"/>
  <c r="BM424"/>
  <c r="BH424"/>
  <c r="BF424"/>
  <c r="BE424"/>
  <c r="BD424"/>
  <c r="BC424"/>
  <c r="AY424"/>
  <c r="AX424"/>
  <c r="AW424"/>
  <c r="AP424"/>
  <c r="AL424"/>
  <c r="AJ424"/>
  <c r="AH424"/>
  <c r="AG424"/>
  <c r="AF424"/>
  <c r="AD424"/>
  <c r="AC424"/>
  <c r="X424"/>
  <c r="W424"/>
  <c r="V424"/>
  <c r="U424"/>
  <c r="P424"/>
  <c r="M424"/>
  <c r="EV423"/>
  <c r="ES423"/>
  <c r="EE423"/>
  <c r="CC423"/>
  <c r="CB423"/>
  <c r="BY423"/>
  <c r="BU423"/>
  <c r="BT423"/>
  <c r="BH423"/>
  <c r="AK423"/>
  <c r="EV422"/>
  <c r="EU422"/>
  <c r="EQ422"/>
  <c r="EE422"/>
  <c r="DI422"/>
  <c r="DE422"/>
  <c r="DC422"/>
  <c r="CN422"/>
  <c r="CG422"/>
  <c r="CB422"/>
  <c r="CA422"/>
  <c r="BB422"/>
  <c r="AL422"/>
  <c r="AJ422"/>
  <c r="AH422"/>
  <c r="T422"/>
  <c r="M422"/>
  <c r="EV421"/>
  <c r="EU421"/>
  <c r="ER421"/>
  <c r="EQ421"/>
  <c r="EE421"/>
  <c r="DR421"/>
  <c r="DM421"/>
  <c r="DK421"/>
  <c r="DI421"/>
  <c r="DE421"/>
  <c r="DC421"/>
  <c r="DB421"/>
  <c r="DA421"/>
  <c r="CX421"/>
  <c r="CW421"/>
  <c r="CQ421"/>
  <c r="CJ421"/>
  <c r="CG421"/>
  <c r="CB421"/>
  <c r="CA421"/>
  <c r="BM421"/>
  <c r="BH421"/>
  <c r="BC421"/>
  <c r="AP421"/>
  <c r="AN421"/>
  <c r="AL421"/>
  <c r="AJ421"/>
  <c r="AH421"/>
  <c r="AG421"/>
  <c r="AF421"/>
  <c r="AD421"/>
  <c r="AC421"/>
  <c r="W421"/>
  <c r="P421"/>
  <c r="M421"/>
  <c r="EV420"/>
  <c r="ES420"/>
  <c r="EH420"/>
  <c r="EG420"/>
  <c r="EE420"/>
  <c r="DN420"/>
  <c r="CC420"/>
  <c r="CB420"/>
  <c r="BY420"/>
  <c r="BU420"/>
  <c r="BT420"/>
  <c r="BH420"/>
  <c r="I420"/>
  <c r="EV419"/>
  <c r="CC419"/>
  <c r="CB419"/>
  <c r="I419"/>
  <c r="EV418"/>
  <c r="DC418"/>
  <c r="CL418"/>
  <c r="CK418"/>
  <c r="CB418"/>
  <c r="AH418"/>
  <c r="R418"/>
  <c r="Q418"/>
  <c r="EV417"/>
  <c r="EQ417"/>
  <c r="EE417"/>
  <c r="EC417"/>
  <c r="DZ417"/>
  <c r="DY417"/>
  <c r="DR417"/>
  <c r="DI417"/>
  <c r="DE417"/>
  <c r="DC417"/>
  <c r="DB417"/>
  <c r="DA417"/>
  <c r="CW417"/>
  <c r="CQ417"/>
  <c r="CO417"/>
  <c r="CJ417"/>
  <c r="CG417"/>
  <c r="CB417"/>
  <c r="BM417"/>
  <c r="BG417"/>
  <c r="BF417"/>
  <c r="BE417"/>
  <c r="BD417"/>
  <c r="BC417"/>
  <c r="BB417"/>
  <c r="AY417"/>
  <c r="AX417"/>
  <c r="AL417"/>
  <c r="AJ417"/>
  <c r="AH417"/>
  <c r="AG417"/>
  <c r="AF417"/>
  <c r="AC417"/>
  <c r="W417"/>
  <c r="U417"/>
  <c r="P417"/>
  <c r="M417"/>
  <c r="EV416"/>
  <c r="DK416"/>
  <c r="DI416"/>
  <c r="DC416"/>
  <c r="CQ416"/>
  <c r="CB416"/>
  <c r="AN416"/>
  <c r="AL416"/>
  <c r="AH416"/>
  <c r="W416"/>
  <c r="EV415"/>
  <c r="EQ415"/>
  <c r="EE415"/>
  <c r="EC415"/>
  <c r="DR415"/>
  <c r="DK415"/>
  <c r="DI415"/>
  <c r="DE415"/>
  <c r="DC415"/>
  <c r="CJ415"/>
  <c r="CG415"/>
  <c r="CB415"/>
  <c r="BM415"/>
  <c r="BH415"/>
  <c r="BG415"/>
  <c r="BF415"/>
  <c r="BE415"/>
  <c r="BD415"/>
  <c r="BC415"/>
  <c r="BB415"/>
  <c r="AN415"/>
  <c r="AL415"/>
  <c r="AJ415"/>
  <c r="AH415"/>
  <c r="P415"/>
  <c r="M415"/>
  <c r="CB414"/>
  <c r="BM414"/>
  <c r="BH414"/>
  <c r="BC414"/>
  <c r="EV413"/>
  <c r="DI413"/>
  <c r="DC413"/>
  <c r="CB413"/>
  <c r="BM413"/>
  <c r="BE413"/>
  <c r="BC413"/>
  <c r="AL413"/>
  <c r="AH413"/>
  <c r="EV412"/>
  <c r="EG412"/>
  <c r="CC412"/>
  <c r="CB412"/>
  <c r="BT412"/>
  <c r="I412"/>
  <c r="EV411"/>
  <c r="EU411"/>
  <c r="EE411"/>
  <c r="DE411"/>
  <c r="DC411"/>
  <c r="CL411"/>
  <c r="CK411"/>
  <c r="CC411"/>
  <c r="CB411"/>
  <c r="CA411"/>
  <c r="BY411"/>
  <c r="BU411"/>
  <c r="BT411"/>
  <c r="AJ411"/>
  <c r="AH411"/>
  <c r="R411"/>
  <c r="Q411"/>
  <c r="EV410"/>
  <c r="EU410"/>
  <c r="EQ410"/>
  <c r="EE410"/>
  <c r="ED410"/>
  <c r="EC410"/>
  <c r="DI410"/>
  <c r="DE410"/>
  <c r="DC410"/>
  <c r="CX410"/>
  <c r="CW410"/>
  <c r="CJ410"/>
  <c r="CG410"/>
  <c r="CB410"/>
  <c r="CA410"/>
  <c r="BM410"/>
  <c r="BH410"/>
  <c r="BG410"/>
  <c r="BF410"/>
  <c r="BE410"/>
  <c r="BD410"/>
  <c r="BB410"/>
  <c r="AL410"/>
  <c r="AJ410"/>
  <c r="AH410"/>
  <c r="AD410"/>
  <c r="AC410"/>
  <c r="P410"/>
  <c r="M410"/>
  <c r="EV409"/>
  <c r="EQ409"/>
  <c r="DI409"/>
  <c r="DE409"/>
  <c r="DC409"/>
  <c r="DB409"/>
  <c r="DA409"/>
  <c r="CX409"/>
  <c r="CW409"/>
  <c r="CQ409"/>
  <c r="CO409"/>
  <c r="CJ409"/>
  <c r="CG409"/>
  <c r="CB409"/>
  <c r="BM409"/>
  <c r="BL409"/>
  <c r="BJ409"/>
  <c r="BH409"/>
  <c r="BD409"/>
  <c r="BC409"/>
  <c r="BB409"/>
  <c r="AL409"/>
  <c r="AJ409"/>
  <c r="AH409"/>
  <c r="AG409"/>
  <c r="AF409"/>
  <c r="AD409"/>
  <c r="AC409"/>
  <c r="W409"/>
  <c r="U409"/>
  <c r="P409"/>
  <c r="M409"/>
  <c r="EV408"/>
  <c r="EU408"/>
  <c r="EQ408"/>
  <c r="EE408"/>
  <c r="DJ408"/>
  <c r="DI408"/>
  <c r="DE408"/>
  <c r="DC408"/>
  <c r="DB408"/>
  <c r="DA408"/>
  <c r="CX408"/>
  <c r="CW408"/>
  <c r="CR408"/>
  <c r="CQ408"/>
  <c r="CO408"/>
  <c r="CJ408"/>
  <c r="CG408"/>
  <c r="CB408"/>
  <c r="CA408"/>
  <c r="BM408"/>
  <c r="BE408"/>
  <c r="BD408"/>
  <c r="BC408"/>
  <c r="BB408"/>
  <c r="AM408"/>
  <c r="AL408"/>
  <c r="AJ408"/>
  <c r="AH408"/>
  <c r="AG408"/>
  <c r="AF408"/>
  <c r="AD408"/>
  <c r="AC408"/>
  <c r="X408"/>
  <c r="W408"/>
  <c r="U408"/>
  <c r="P408"/>
  <c r="M408"/>
  <c r="EV407"/>
  <c r="EQ407"/>
  <c r="EE407"/>
  <c r="DI407"/>
  <c r="DE407"/>
  <c r="DC407"/>
  <c r="DB407"/>
  <c r="DA407"/>
  <c r="CX407"/>
  <c r="CW407"/>
  <c r="CR407"/>
  <c r="CQ407"/>
  <c r="CJ407"/>
  <c r="CG407"/>
  <c r="CB407"/>
  <c r="BH407"/>
  <c r="BE407"/>
  <c r="BC407"/>
  <c r="BB407"/>
  <c r="AL407"/>
  <c r="AJ407"/>
  <c r="AH407"/>
  <c r="AG407"/>
  <c r="AF407"/>
  <c r="AD407"/>
  <c r="AC407"/>
  <c r="X407"/>
  <c r="W407"/>
  <c r="P407"/>
  <c r="M407"/>
  <c r="EV406"/>
  <c r="EQ406"/>
  <c r="EE406"/>
  <c r="EB406"/>
  <c r="DP406"/>
  <c r="DI406"/>
  <c r="DE406"/>
  <c r="DC406"/>
  <c r="DB406"/>
  <c r="DA406"/>
  <c r="CX406"/>
  <c r="CW406"/>
  <c r="CR406"/>
  <c r="CQ406"/>
  <c r="CP406"/>
  <c r="CO406"/>
  <c r="CJ406"/>
  <c r="CG406"/>
  <c r="CB406"/>
  <c r="BE406"/>
  <c r="BD406"/>
  <c r="BA406"/>
  <c r="AR406"/>
  <c r="AL406"/>
  <c r="AJ406"/>
  <c r="AH406"/>
  <c r="AG406"/>
  <c r="AF406"/>
  <c r="AD406"/>
  <c r="AC406"/>
  <c r="X406"/>
  <c r="W406"/>
  <c r="V406"/>
  <c r="U406"/>
  <c r="P406"/>
  <c r="M406"/>
  <c r="EV405"/>
  <c r="EQ405"/>
  <c r="EE405"/>
  <c r="DO405"/>
  <c r="DN405"/>
  <c r="DI405"/>
  <c r="DE405"/>
  <c r="DC405"/>
  <c r="DB405"/>
  <c r="DA405"/>
  <c r="CW405"/>
  <c r="CR405"/>
  <c r="CQ405"/>
  <c r="CP405"/>
  <c r="CO405"/>
  <c r="CJ405"/>
  <c r="CG405"/>
  <c r="CB405"/>
  <c r="BM405"/>
  <c r="BH405"/>
  <c r="BD405"/>
  <c r="AQ405"/>
  <c r="AL405"/>
  <c r="AJ405"/>
  <c r="AH405"/>
  <c r="AG405"/>
  <c r="AF405"/>
  <c r="AC405"/>
  <c r="X405"/>
  <c r="W405"/>
  <c r="V405"/>
  <c r="U405"/>
  <c r="P405"/>
  <c r="M405"/>
  <c r="EV404"/>
  <c r="ES404"/>
  <c r="EN404"/>
  <c r="EI404"/>
  <c r="EH404"/>
  <c r="EG404"/>
  <c r="EE404"/>
  <c r="ED404"/>
  <c r="CD404"/>
  <c r="CC404"/>
  <c r="CB404"/>
  <c r="BY404"/>
  <c r="BX404"/>
  <c r="BV404"/>
  <c r="BU404"/>
  <c r="BT404"/>
  <c r="BH404"/>
  <c r="J404"/>
  <c r="I404"/>
  <c r="EV403"/>
  <c r="EQ403"/>
  <c r="EE403"/>
  <c r="DP403"/>
  <c r="DI403"/>
  <c r="DE403"/>
  <c r="DC403"/>
  <c r="DB403"/>
  <c r="DA403"/>
  <c r="CX403"/>
  <c r="CW403"/>
  <c r="CR403"/>
  <c r="CQ403"/>
  <c r="CP403"/>
  <c r="CO403"/>
  <c r="CJ403"/>
  <c r="CG403"/>
  <c r="CB403"/>
  <c r="BM403"/>
  <c r="BH403"/>
  <c r="BC403"/>
  <c r="AR403"/>
  <c r="AL403"/>
  <c r="AJ403"/>
  <c r="AH403"/>
  <c r="AG403"/>
  <c r="AF403"/>
  <c r="AD403"/>
  <c r="AC403"/>
  <c r="X403"/>
  <c r="W403"/>
  <c r="V403"/>
  <c r="U403"/>
  <c r="P403"/>
  <c r="M403"/>
  <c r="EV402"/>
  <c r="EU402"/>
  <c r="EQ402"/>
  <c r="EE402"/>
  <c r="DX402"/>
  <c r="DW402"/>
  <c r="DR402"/>
  <c r="DI402"/>
  <c r="DE402"/>
  <c r="DC402"/>
  <c r="DB402"/>
  <c r="DA402"/>
  <c r="CX402"/>
  <c r="CW402"/>
  <c r="CR402"/>
  <c r="CQ402"/>
  <c r="CP402"/>
  <c r="CO402"/>
  <c r="CJ402"/>
  <c r="CG402"/>
  <c r="CB402"/>
  <c r="CA402"/>
  <c r="BM402"/>
  <c r="BD402"/>
  <c r="AW402"/>
  <c r="AV402"/>
  <c r="AL402"/>
  <c r="AJ402"/>
  <c r="AH402"/>
  <c r="AG402"/>
  <c r="AF402"/>
  <c r="AD402"/>
  <c r="AC402"/>
  <c r="X402"/>
  <c r="W402"/>
  <c r="V402"/>
  <c r="U402"/>
  <c r="P402"/>
  <c r="M402"/>
  <c r="EV401"/>
  <c r="EU401"/>
  <c r="DR401"/>
  <c r="CB401"/>
  <c r="CA401"/>
  <c r="BH401"/>
  <c r="BC401"/>
  <c r="EV400"/>
  <c r="EU400"/>
  <c r="EH400"/>
  <c r="CB400"/>
  <c r="CA400"/>
  <c r="BU400"/>
  <c r="EV399"/>
  <c r="EE399"/>
  <c r="CV399"/>
  <c r="CC399"/>
  <c r="CB399"/>
  <c r="BY399"/>
  <c r="BT399"/>
  <c r="BH399"/>
  <c r="AB399"/>
  <c r="EV398"/>
  <c r="EQ398"/>
  <c r="EE398"/>
  <c r="DJ398"/>
  <c r="DI398"/>
  <c r="DE398"/>
  <c r="DC398"/>
  <c r="DA398"/>
  <c r="CW398"/>
  <c r="CN398"/>
  <c r="CJ398"/>
  <c r="CG398"/>
  <c r="CB398"/>
  <c r="BM398"/>
  <c r="BK398"/>
  <c r="BH398"/>
  <c r="BC398"/>
  <c r="BB398"/>
  <c r="AM398"/>
  <c r="AL398"/>
  <c r="AJ398"/>
  <c r="AH398"/>
  <c r="AF398"/>
  <c r="AC398"/>
  <c r="T398"/>
  <c r="P398"/>
  <c r="M398"/>
  <c r="EV397"/>
  <c r="EU397"/>
  <c r="EQ397"/>
  <c r="EE397"/>
  <c r="DI397"/>
  <c r="DE397"/>
  <c r="DC397"/>
  <c r="CX397"/>
  <c r="CW397"/>
  <c r="CJ397"/>
  <c r="CG397"/>
  <c r="CB397"/>
  <c r="CA397"/>
  <c r="BM397"/>
  <c r="BE397"/>
  <c r="BD397"/>
  <c r="BC397"/>
  <c r="BB397"/>
  <c r="AL397"/>
  <c r="AJ397"/>
  <c r="AH397"/>
  <c r="AD397"/>
  <c r="AC397"/>
  <c r="P397"/>
  <c r="M397"/>
  <c r="EV396"/>
  <c r="EU396"/>
  <c r="EQ396"/>
  <c r="EE396"/>
  <c r="DE396"/>
  <c r="DC396"/>
  <c r="CI396"/>
  <c r="CH396"/>
  <c r="CB396"/>
  <c r="CA396"/>
  <c r="BO396"/>
  <c r="AJ396"/>
  <c r="AH396"/>
  <c r="O396"/>
  <c r="N396"/>
  <c r="EV395"/>
  <c r="EQ395"/>
  <c r="EE395"/>
  <c r="EC395"/>
  <c r="DJ395"/>
  <c r="DI395"/>
  <c r="DE395"/>
  <c r="DC395"/>
  <c r="DB395"/>
  <c r="DA395"/>
  <c r="CX395"/>
  <c r="CW395"/>
  <c r="CR395"/>
  <c r="CQ395"/>
  <c r="CP395"/>
  <c r="CO395"/>
  <c r="CJ395"/>
  <c r="CG395"/>
  <c r="CB395"/>
  <c r="BM395"/>
  <c r="BG395"/>
  <c r="BF395"/>
  <c r="BE395"/>
  <c r="BB395"/>
  <c r="AM395"/>
  <c r="AL395"/>
  <c r="AJ395"/>
  <c r="AH395"/>
  <c r="AG395"/>
  <c r="AF395"/>
  <c r="AD395"/>
  <c r="AC395"/>
  <c r="X395"/>
  <c r="W395"/>
  <c r="V395"/>
  <c r="U395"/>
  <c r="P395"/>
  <c r="M395"/>
  <c r="EV394"/>
  <c r="EU394"/>
  <c r="EQ394"/>
  <c r="EE394"/>
  <c r="DZ394"/>
  <c r="DX394"/>
  <c r="DR394"/>
  <c r="DM394"/>
  <c r="DI394"/>
  <c r="DE394"/>
  <c r="DC394"/>
  <c r="DB394"/>
  <c r="DA394"/>
  <c r="CX394"/>
  <c r="CW394"/>
  <c r="CR394"/>
  <c r="CQ394"/>
  <c r="CP394"/>
  <c r="CO394"/>
  <c r="CJ394"/>
  <c r="CG394"/>
  <c r="CB394"/>
  <c r="CA394"/>
  <c r="BM394"/>
  <c r="BG394"/>
  <c r="BE394"/>
  <c r="AY394"/>
  <c r="AW394"/>
  <c r="AP394"/>
  <c r="AL394"/>
  <c r="AJ394"/>
  <c r="AH394"/>
  <c r="AG394"/>
  <c r="AF394"/>
  <c r="AD394"/>
  <c r="AC394"/>
  <c r="X394"/>
  <c r="W394"/>
  <c r="V394"/>
  <c r="U394"/>
  <c r="P394"/>
  <c r="M394"/>
  <c r="EV393"/>
  <c r="EQ393"/>
  <c r="EE393"/>
  <c r="DI393"/>
  <c r="DE393"/>
  <c r="DC393"/>
  <c r="CX393"/>
  <c r="CW393"/>
  <c r="CJ393"/>
  <c r="CG393"/>
  <c r="CB393"/>
  <c r="BM393"/>
  <c r="BE393"/>
  <c r="BD393"/>
  <c r="BC393"/>
  <c r="BB393"/>
  <c r="AL393"/>
  <c r="AJ393"/>
  <c r="AH393"/>
  <c r="AD393"/>
  <c r="AC393"/>
  <c r="P393"/>
  <c r="M393"/>
  <c r="EV392"/>
  <c r="EE392"/>
  <c r="DT392"/>
  <c r="CC392"/>
  <c r="CB392"/>
  <c r="BY392"/>
  <c r="BU392"/>
  <c r="BT392"/>
  <c r="BH392"/>
  <c r="EV391"/>
  <c r="EQ391"/>
  <c r="EE391"/>
  <c r="DU391"/>
  <c r="DO391"/>
  <c r="DK391"/>
  <c r="DJ391"/>
  <c r="DI391"/>
  <c r="DE391"/>
  <c r="DC391"/>
  <c r="DB391"/>
  <c r="CX391"/>
  <c r="CW391"/>
  <c r="CQ391"/>
  <c r="CJ391"/>
  <c r="CG391"/>
  <c r="CB391"/>
  <c r="BE391"/>
  <c r="BC391"/>
  <c r="BB391"/>
  <c r="AT391"/>
  <c r="AQ391"/>
  <c r="AN391"/>
  <c r="AM391"/>
  <c r="AL391"/>
  <c r="AJ391"/>
  <c r="AH391"/>
  <c r="AG391"/>
  <c r="AD391"/>
  <c r="AC391"/>
  <c r="W391"/>
  <c r="P391"/>
  <c r="M391"/>
  <c r="EV390"/>
  <c r="EQ390"/>
  <c r="EE390"/>
  <c r="EC390"/>
  <c r="DK390"/>
  <c r="DJ390"/>
  <c r="DI390"/>
  <c r="DE390"/>
  <c r="DC390"/>
  <c r="DB390"/>
  <c r="CJ390"/>
  <c r="CG390"/>
  <c r="CB390"/>
  <c r="BM390"/>
  <c r="BG390"/>
  <c r="BF390"/>
  <c r="BE390"/>
  <c r="BD390"/>
  <c r="BB390"/>
  <c r="AN390"/>
  <c r="AM390"/>
  <c r="AL390"/>
  <c r="AJ390"/>
  <c r="AH390"/>
  <c r="AG390"/>
  <c r="P390"/>
  <c r="M390"/>
  <c r="EV389"/>
  <c r="EU389"/>
  <c r="EQ389"/>
  <c r="EE389"/>
  <c r="DZ389"/>
  <c r="DY389"/>
  <c r="DJ389"/>
  <c r="DI389"/>
  <c r="DE389"/>
  <c r="DC389"/>
  <c r="DB389"/>
  <c r="DA389"/>
  <c r="CW389"/>
  <c r="CR389"/>
  <c r="CQ389"/>
  <c r="CP389"/>
  <c r="CO389"/>
  <c r="CJ389"/>
  <c r="CG389"/>
  <c r="CB389"/>
  <c r="CA389"/>
  <c r="BL389"/>
  <c r="BC389"/>
  <c r="BB389"/>
  <c r="AY389"/>
  <c r="AX389"/>
  <c r="AM389"/>
  <c r="AL389"/>
  <c r="AJ389"/>
  <c r="AH389"/>
  <c r="AG389"/>
  <c r="AF389"/>
  <c r="AC389"/>
  <c r="X389"/>
  <c r="W389"/>
  <c r="V389"/>
  <c r="U389"/>
  <c r="P389"/>
  <c r="M389"/>
  <c r="EV388"/>
  <c r="DI388"/>
  <c r="CB388"/>
  <c r="BM388"/>
  <c r="AL388"/>
  <c r="EV387"/>
  <c r="EU387"/>
  <c r="EQ387"/>
  <c r="EE387"/>
  <c r="DJ387"/>
  <c r="DI387"/>
  <c r="DE387"/>
  <c r="DC387"/>
  <c r="DB387"/>
  <c r="CJ387"/>
  <c r="CG387"/>
  <c r="CB387"/>
  <c r="CA387"/>
  <c r="BM387"/>
  <c r="BH387"/>
  <c r="BB387"/>
  <c r="AM387"/>
  <c r="AL387"/>
  <c r="AJ387"/>
  <c r="AH387"/>
  <c r="AG387"/>
  <c r="P387"/>
  <c r="M387"/>
  <c r="EV386"/>
  <c r="EQ386"/>
  <c r="EE386"/>
  <c r="DM386"/>
  <c r="DI386"/>
  <c r="DE386"/>
  <c r="DC386"/>
  <c r="DB386"/>
  <c r="DA386"/>
  <c r="CX386"/>
  <c r="CW386"/>
  <c r="CS386"/>
  <c r="CR386"/>
  <c r="CQ386"/>
  <c r="CP386"/>
  <c r="CO386"/>
  <c r="CJ386"/>
  <c r="CG386"/>
  <c r="CB386"/>
  <c r="BB386"/>
  <c r="AP386"/>
  <c r="AL386"/>
  <c r="AJ386"/>
  <c r="AH386"/>
  <c r="AG386"/>
  <c r="AF386"/>
  <c r="AD386"/>
  <c r="AC386"/>
  <c r="Y386"/>
  <c r="X386"/>
  <c r="W386"/>
  <c r="V386"/>
  <c r="U386"/>
  <c r="P386"/>
  <c r="M386"/>
  <c r="EV385"/>
  <c r="EE385"/>
  <c r="CC385"/>
  <c r="CB385"/>
  <c r="BY385"/>
  <c r="BT385"/>
  <c r="EV384"/>
  <c r="EU384"/>
  <c r="EQ384"/>
  <c r="EE384"/>
  <c r="DK384"/>
  <c r="DJ384"/>
  <c r="DI384"/>
  <c r="DE384"/>
  <c r="DC384"/>
  <c r="DB384"/>
  <c r="CX384"/>
  <c r="CP384"/>
  <c r="CJ384"/>
  <c r="CG384"/>
  <c r="CB384"/>
  <c r="CA384"/>
  <c r="BM384"/>
  <c r="BD384"/>
  <c r="AN384"/>
  <c r="AM384"/>
  <c r="AL384"/>
  <c r="AJ384"/>
  <c r="AH384"/>
  <c r="AG384"/>
  <c r="AD384"/>
  <c r="V384"/>
  <c r="P384"/>
  <c r="M384"/>
  <c r="EV383"/>
  <c r="EU383"/>
  <c r="CB383"/>
  <c r="CA383"/>
  <c r="BP383"/>
  <c r="BH383"/>
  <c r="EV382"/>
  <c r="EQ382"/>
  <c r="EC382"/>
  <c r="DI382"/>
  <c r="DE382"/>
  <c r="DC382"/>
  <c r="DB382"/>
  <c r="DA382"/>
  <c r="CW382"/>
  <c r="CR382"/>
  <c r="CQ382"/>
  <c r="CJ382"/>
  <c r="CG382"/>
  <c r="CB382"/>
  <c r="BM382"/>
  <c r="BH382"/>
  <c r="BG382"/>
  <c r="BF382"/>
  <c r="BD382"/>
  <c r="BC382"/>
  <c r="BB382"/>
  <c r="AL382"/>
  <c r="AJ382"/>
  <c r="AH382"/>
  <c r="AG382"/>
  <c r="AF382"/>
  <c r="AC382"/>
  <c r="X382"/>
  <c r="W382"/>
  <c r="P382"/>
  <c r="M382"/>
  <c r="EV381"/>
  <c r="EU381"/>
  <c r="EQ381"/>
  <c r="EE381"/>
  <c r="DV381"/>
  <c r="DU381"/>
  <c r="DI381"/>
  <c r="DE381"/>
  <c r="DC381"/>
  <c r="DB381"/>
  <c r="DA381"/>
  <c r="CO381"/>
  <c r="CJ381"/>
  <c r="CG381"/>
  <c r="CB381"/>
  <c r="CA381"/>
  <c r="BN381"/>
  <c r="BM381"/>
  <c r="BH381"/>
  <c r="BE381"/>
  <c r="BC381"/>
  <c r="BB381"/>
  <c r="AU381"/>
  <c r="AT381"/>
  <c r="AL381"/>
  <c r="AJ381"/>
  <c r="AH381"/>
  <c r="AG381"/>
  <c r="AF381"/>
  <c r="U381"/>
  <c r="P381"/>
  <c r="M381"/>
  <c r="EV380"/>
  <c r="EE380"/>
  <c r="CC380"/>
  <c r="CB380"/>
  <c r="BY380"/>
  <c r="BU380"/>
  <c r="BT380"/>
  <c r="BH380"/>
  <c r="EV379"/>
  <c r="ES379"/>
  <c r="EI379"/>
  <c r="EG379"/>
  <c r="EE379"/>
  <c r="ED379"/>
  <c r="CC379"/>
  <c r="CB379"/>
  <c r="BY379"/>
  <c r="BV379"/>
  <c r="BT379"/>
  <c r="BH379"/>
  <c r="I379"/>
  <c r="EV378"/>
  <c r="EQ378"/>
  <c r="EE378"/>
  <c r="DI378"/>
  <c r="DE378"/>
  <c r="DC378"/>
  <c r="DB378"/>
  <c r="DA378"/>
  <c r="CW378"/>
  <c r="CR378"/>
  <c r="CQ378"/>
  <c r="CP378"/>
  <c r="CO378"/>
  <c r="CJ378"/>
  <c r="CG378"/>
  <c r="CB378"/>
  <c r="BM378"/>
  <c r="BH378"/>
  <c r="BG378"/>
  <c r="BF378"/>
  <c r="BE378"/>
  <c r="BD378"/>
  <c r="BB378"/>
  <c r="AL378"/>
  <c r="AJ378"/>
  <c r="AH378"/>
  <c r="AG378"/>
  <c r="AF378"/>
  <c r="AC378"/>
  <c r="X378"/>
  <c r="W378"/>
  <c r="V378"/>
  <c r="U378"/>
  <c r="P378"/>
  <c r="M378"/>
  <c r="EV377"/>
  <c r="EI377"/>
  <c r="CC377"/>
  <c r="CB377"/>
  <c r="BV377"/>
  <c r="I377"/>
  <c r="EV376"/>
  <c r="EQ376"/>
  <c r="EE376"/>
  <c r="DP376"/>
  <c r="DJ376"/>
  <c r="DI376"/>
  <c r="DC376"/>
  <c r="DA376"/>
  <c r="CW376"/>
  <c r="CQ376"/>
  <c r="CG376"/>
  <c r="CB376"/>
  <c r="BM376"/>
  <c r="BE376"/>
  <c r="BD376"/>
  <c r="AR376"/>
  <c r="AM376"/>
  <c r="AL376"/>
  <c r="AH376"/>
  <c r="AF376"/>
  <c r="AC376"/>
  <c r="W376"/>
  <c r="M376"/>
  <c r="EV375"/>
  <c r="EU375"/>
  <c r="EQ375"/>
  <c r="EE375"/>
  <c r="DW375"/>
  <c r="DM375"/>
  <c r="DK375"/>
  <c r="DI375"/>
  <c r="DC375"/>
  <c r="DB375"/>
  <c r="DA375"/>
  <c r="CW375"/>
  <c r="CR375"/>
  <c r="CQ375"/>
  <c r="CO375"/>
  <c r="CJ375"/>
  <c r="CG375"/>
  <c r="CB375"/>
  <c r="CA375"/>
  <c r="BM375"/>
  <c r="BH375"/>
  <c r="BE375"/>
  <c r="BD375"/>
  <c r="AV375"/>
  <c r="AP375"/>
  <c r="AN375"/>
  <c r="AL375"/>
  <c r="AH375"/>
  <c r="AG375"/>
  <c r="AF375"/>
  <c r="AC375"/>
  <c r="X375"/>
  <c r="W375"/>
  <c r="U375"/>
  <c r="P375"/>
  <c r="M375"/>
  <c r="EV374"/>
  <c r="DI374"/>
  <c r="CB374"/>
  <c r="AL374"/>
  <c r="EV373"/>
  <c r="EU373"/>
  <c r="EQ373"/>
  <c r="DK373"/>
  <c r="DI373"/>
  <c r="DC373"/>
  <c r="DA373"/>
  <c r="CW373"/>
  <c r="CQ373"/>
  <c r="CJ373"/>
  <c r="CG373"/>
  <c r="CB373"/>
  <c r="CA373"/>
  <c r="AN373"/>
  <c r="AL373"/>
  <c r="AH373"/>
  <c r="AF373"/>
  <c r="AC373"/>
  <c r="W373"/>
  <c r="P373"/>
  <c r="M373"/>
  <c r="EV372"/>
  <c r="EU372"/>
  <c r="EQ372"/>
  <c r="DK372"/>
  <c r="DJ372"/>
  <c r="DI372"/>
  <c r="DC372"/>
  <c r="CW372"/>
  <c r="CG372"/>
  <c r="CB372"/>
  <c r="CA372"/>
  <c r="BM372"/>
  <c r="BH372"/>
  <c r="BE372"/>
  <c r="AN372"/>
  <c r="AM372"/>
  <c r="AL372"/>
  <c r="AH372"/>
  <c r="AC372"/>
  <c r="M372"/>
  <c r="EV371"/>
  <c r="EG371"/>
  <c r="EE371"/>
  <c r="CC371"/>
  <c r="CB371"/>
  <c r="BT371"/>
  <c r="I371"/>
  <c r="EV370"/>
  <c r="EU370"/>
  <c r="EQ370"/>
  <c r="EE370"/>
  <c r="DM370"/>
  <c r="DI370"/>
  <c r="DE370"/>
  <c r="DC370"/>
  <c r="DB370"/>
  <c r="DA370"/>
  <c r="CX370"/>
  <c r="CW370"/>
  <c r="CQ370"/>
  <c r="CP370"/>
  <c r="CO370"/>
  <c r="CJ370"/>
  <c r="CG370"/>
  <c r="CB370"/>
  <c r="CA370"/>
  <c r="BM370"/>
  <c r="BJ370"/>
  <c r="BE370"/>
  <c r="BB370"/>
  <c r="AP370"/>
  <c r="AL370"/>
  <c r="AJ370"/>
  <c r="AH370"/>
  <c r="AG370"/>
  <c r="AF370"/>
  <c r="AD370"/>
  <c r="AC370"/>
  <c r="W370"/>
  <c r="V370"/>
  <c r="U370"/>
  <c r="P370"/>
  <c r="M370"/>
  <c r="EV369"/>
  <c r="EQ369"/>
  <c r="EE369"/>
  <c r="DR369"/>
  <c r="DK369"/>
  <c r="DI369"/>
  <c r="DE369"/>
  <c r="DC369"/>
  <c r="DB369"/>
  <c r="DA369"/>
  <c r="CX369"/>
  <c r="CW369"/>
  <c r="CR369"/>
  <c r="CQ369"/>
  <c r="CP369"/>
  <c r="CO369"/>
  <c r="CJ369"/>
  <c r="CG369"/>
  <c r="CB369"/>
  <c r="AN369"/>
  <c r="AL369"/>
  <c r="AJ369"/>
  <c r="AH369"/>
  <c r="AG369"/>
  <c r="AF369"/>
  <c r="AD369"/>
  <c r="AC369"/>
  <c r="X369"/>
  <c r="W369"/>
  <c r="V369"/>
  <c r="U369"/>
  <c r="P369"/>
  <c r="M369"/>
  <c r="EV368"/>
  <c r="EQ368"/>
  <c r="EE368"/>
  <c r="DO368"/>
  <c r="DI368"/>
  <c r="DE368"/>
  <c r="DC368"/>
  <c r="DB368"/>
  <c r="DA368"/>
  <c r="CX368"/>
  <c r="CW368"/>
  <c r="CR368"/>
  <c r="CQ368"/>
  <c r="CP368"/>
  <c r="CO368"/>
  <c r="CJ368"/>
  <c r="CG368"/>
  <c r="CB368"/>
  <c r="BM368"/>
  <c r="BH368"/>
  <c r="BD368"/>
  <c r="BC368"/>
  <c r="BB368"/>
  <c r="AQ368"/>
  <c r="AL368"/>
  <c r="AJ368"/>
  <c r="AH368"/>
  <c r="AG368"/>
  <c r="AF368"/>
  <c r="AD368"/>
  <c r="AC368"/>
  <c r="X368"/>
  <c r="W368"/>
  <c r="V368"/>
  <c r="U368"/>
  <c r="P368"/>
  <c r="M368"/>
  <c r="EV367"/>
  <c r="EC367"/>
  <c r="DM367"/>
  <c r="DI367"/>
  <c r="DE367"/>
  <c r="DC367"/>
  <c r="CW367"/>
  <c r="CJ367"/>
  <c r="CG367"/>
  <c r="CB367"/>
  <c r="BM367"/>
  <c r="BL367"/>
  <c r="BG367"/>
  <c r="BF367"/>
  <c r="BB367"/>
  <c r="AP367"/>
  <c r="AL367"/>
  <c r="AJ367"/>
  <c r="AH367"/>
  <c r="AC367"/>
  <c r="P367"/>
  <c r="M367"/>
  <c r="EV366"/>
  <c r="EU366"/>
  <c r="EQ366"/>
  <c r="EE366"/>
  <c r="EA366"/>
  <c r="DM366"/>
  <c r="DI366"/>
  <c r="DE366"/>
  <c r="DC366"/>
  <c r="DB366"/>
  <c r="DA366"/>
  <c r="CX366"/>
  <c r="CW366"/>
  <c r="CR366"/>
  <c r="CQ366"/>
  <c r="CP366"/>
  <c r="CO366"/>
  <c r="CJ366"/>
  <c r="CG366"/>
  <c r="CB366"/>
  <c r="CA366"/>
  <c r="AZ366"/>
  <c r="AP366"/>
  <c r="AL366"/>
  <c r="AJ366"/>
  <c r="AH366"/>
  <c r="AG366"/>
  <c r="AF366"/>
  <c r="AD366"/>
  <c r="AC366"/>
  <c r="X366"/>
  <c r="W366"/>
  <c r="V366"/>
  <c r="U366"/>
  <c r="P366"/>
  <c r="M366"/>
  <c r="EV365"/>
  <c r="EU365"/>
  <c r="EQ365"/>
  <c r="EE365"/>
  <c r="DM365"/>
  <c r="DI365"/>
  <c r="DC365"/>
  <c r="DB365"/>
  <c r="CX365"/>
  <c r="CW365"/>
  <c r="CP365"/>
  <c r="CJ365"/>
  <c r="CG365"/>
  <c r="CB365"/>
  <c r="CA365"/>
  <c r="AP365"/>
  <c r="AL365"/>
  <c r="AH365"/>
  <c r="AG365"/>
  <c r="AD365"/>
  <c r="AC365"/>
  <c r="V365"/>
  <c r="P365"/>
  <c r="M365"/>
  <c r="EV364"/>
  <c r="EU364"/>
  <c r="EQ364"/>
  <c r="EE364"/>
  <c r="DR364"/>
  <c r="DI364"/>
  <c r="DE364"/>
  <c r="DC364"/>
  <c r="DB364"/>
  <c r="CX364"/>
  <c r="CW364"/>
  <c r="CP364"/>
  <c r="CJ364"/>
  <c r="CG364"/>
  <c r="CB364"/>
  <c r="CA364"/>
  <c r="BM364"/>
  <c r="BB364"/>
  <c r="AL364"/>
  <c r="AJ364"/>
  <c r="AH364"/>
  <c r="AG364"/>
  <c r="AD364"/>
  <c r="AC364"/>
  <c r="V364"/>
  <c r="P364"/>
  <c r="M364"/>
  <c r="EV363"/>
  <c r="EU363"/>
  <c r="EQ363"/>
  <c r="EE363"/>
  <c r="DR363"/>
  <c r="DI363"/>
  <c r="DE363"/>
  <c r="DC363"/>
  <c r="CW363"/>
  <c r="CJ363"/>
  <c r="CG363"/>
  <c r="CB363"/>
  <c r="CA363"/>
  <c r="BM363"/>
  <c r="BH363"/>
  <c r="BG363"/>
  <c r="BE363"/>
  <c r="BD363"/>
  <c r="BB363"/>
  <c r="AL363"/>
  <c r="AJ363"/>
  <c r="AH363"/>
  <c r="AC363"/>
  <c r="P363"/>
  <c r="M363"/>
  <c r="EV362"/>
  <c r="EU362"/>
  <c r="EQ362"/>
  <c r="EE362"/>
  <c r="DR362"/>
  <c r="DI362"/>
  <c r="DE362"/>
  <c r="DC362"/>
  <c r="DB362"/>
  <c r="DA362"/>
  <c r="CW362"/>
  <c r="CR362"/>
  <c r="CQ362"/>
  <c r="CP362"/>
  <c r="CO362"/>
  <c r="CJ362"/>
  <c r="CG362"/>
  <c r="CB362"/>
  <c r="CA362"/>
  <c r="BJ362"/>
  <c r="BD362"/>
  <c r="AL362"/>
  <c r="AJ362"/>
  <c r="AH362"/>
  <c r="AG362"/>
  <c r="AF362"/>
  <c r="AC362"/>
  <c r="X362"/>
  <c r="W362"/>
  <c r="V362"/>
  <c r="U362"/>
  <c r="P362"/>
  <c r="M362"/>
  <c r="EV361"/>
  <c r="EU361"/>
  <c r="EL361"/>
  <c r="EH361"/>
  <c r="CC361"/>
  <c r="CB361"/>
  <c r="BY361"/>
  <c r="BU361"/>
  <c r="BT361"/>
  <c r="BH361"/>
  <c r="AK361"/>
  <c r="EV360"/>
  <c r="EQ360"/>
  <c r="DK360"/>
  <c r="DJ360"/>
  <c r="DI360"/>
  <c r="DC360"/>
  <c r="CW360"/>
  <c r="CG360"/>
  <c r="CB360"/>
  <c r="BM360"/>
  <c r="BD360"/>
  <c r="AN360"/>
  <c r="AM360"/>
  <c r="AL360"/>
  <c r="AH360"/>
  <c r="AC360"/>
  <c r="M360"/>
  <c r="EV359"/>
  <c r="EU359"/>
  <c r="EQ359"/>
  <c r="EJ359"/>
  <c r="EE359"/>
  <c r="DW359"/>
  <c r="DP359"/>
  <c r="DL359"/>
  <c r="DK359"/>
  <c r="DI359"/>
  <c r="DE359"/>
  <c r="DC359"/>
  <c r="DB359"/>
  <c r="DA359"/>
  <c r="CX359"/>
  <c r="CW359"/>
  <c r="CR359"/>
  <c r="CQ359"/>
  <c r="CO359"/>
  <c r="CJ359"/>
  <c r="CG359"/>
  <c r="CB359"/>
  <c r="CA359"/>
  <c r="BH359"/>
  <c r="BE359"/>
  <c r="BD359"/>
  <c r="BC359"/>
  <c r="BB359"/>
  <c r="AV359"/>
  <c r="AR359"/>
  <c r="AO359"/>
  <c r="AN359"/>
  <c r="AL359"/>
  <c r="AJ359"/>
  <c r="AH359"/>
  <c r="AG359"/>
  <c r="AF359"/>
  <c r="AD359"/>
  <c r="AC359"/>
  <c r="X359"/>
  <c r="W359"/>
  <c r="U359"/>
  <c r="P359"/>
  <c r="M359"/>
  <c r="EV358"/>
  <c r="ES358"/>
  <c r="EN358"/>
  <c r="EI358"/>
  <c r="EH358"/>
  <c r="EG358"/>
  <c r="EE358"/>
  <c r="ED358"/>
  <c r="CD358"/>
  <c r="CC358"/>
  <c r="CB358"/>
  <c r="BY358"/>
  <c r="BX358"/>
  <c r="BV358"/>
  <c r="BU358"/>
  <c r="BT358"/>
  <c r="BH358"/>
  <c r="J358"/>
  <c r="I358"/>
  <c r="EV357"/>
  <c r="EQ357"/>
  <c r="EE357"/>
  <c r="DE357"/>
  <c r="DC357"/>
  <c r="CF357"/>
  <c r="CE357"/>
  <c r="CB357"/>
  <c r="BM357"/>
  <c r="BC357"/>
  <c r="BB357"/>
  <c r="AJ357"/>
  <c r="AH357"/>
  <c r="L357"/>
  <c r="K357"/>
  <c r="EV356"/>
  <c r="EQ356"/>
  <c r="EE356"/>
  <c r="DI356"/>
  <c r="DE356"/>
  <c r="DC356"/>
  <c r="CX356"/>
  <c r="CW356"/>
  <c r="CJ356"/>
  <c r="CG356"/>
  <c r="CB356"/>
  <c r="BM356"/>
  <c r="BH356"/>
  <c r="BE356"/>
  <c r="BD356"/>
  <c r="BB356"/>
  <c r="AL356"/>
  <c r="AJ356"/>
  <c r="AH356"/>
  <c r="AD356"/>
  <c r="AC356"/>
  <c r="P356"/>
  <c r="M356"/>
  <c r="EV355"/>
  <c r="EU355"/>
  <c r="EQ355"/>
  <c r="EE355"/>
  <c r="DJ355"/>
  <c r="DI355"/>
  <c r="DE355"/>
  <c r="DC355"/>
  <c r="DA355"/>
  <c r="CG355"/>
  <c r="CB355"/>
  <c r="CA355"/>
  <c r="BM355"/>
  <c r="BD355"/>
  <c r="BB355"/>
  <c r="AM355"/>
  <c r="AL355"/>
  <c r="AJ355"/>
  <c r="AH355"/>
  <c r="AF355"/>
  <c r="M355"/>
  <c r="EV354"/>
  <c r="DC354"/>
  <c r="DA354"/>
  <c r="CG354"/>
  <c r="CB354"/>
  <c r="BE354"/>
  <c r="AH354"/>
  <c r="AF354"/>
  <c r="M354"/>
  <c r="EV353"/>
  <c r="EU353"/>
  <c r="EQ353"/>
  <c r="DY353"/>
  <c r="DK353"/>
  <c r="DI353"/>
  <c r="DC353"/>
  <c r="CQ353"/>
  <c r="CG353"/>
  <c r="CB353"/>
  <c r="CA353"/>
  <c r="BE353"/>
  <c r="BD353"/>
  <c r="AX353"/>
  <c r="AN353"/>
  <c r="AL353"/>
  <c r="AH353"/>
  <c r="W353"/>
  <c r="M353"/>
  <c r="EV352"/>
  <c r="EQ352"/>
  <c r="DK352"/>
  <c r="DI352"/>
  <c r="DC352"/>
  <c r="DB352"/>
  <c r="DA352"/>
  <c r="CX352"/>
  <c r="CW352"/>
  <c r="CR352"/>
  <c r="CQ352"/>
  <c r="CJ352"/>
  <c r="CG352"/>
  <c r="CB352"/>
  <c r="BM352"/>
  <c r="BE352"/>
  <c r="BD352"/>
  <c r="AN352"/>
  <c r="AL352"/>
  <c r="AH352"/>
  <c r="AG352"/>
  <c r="AF352"/>
  <c r="AD352"/>
  <c r="AC352"/>
  <c r="X352"/>
  <c r="W352"/>
  <c r="P352"/>
  <c r="M352"/>
  <c r="EV351"/>
  <c r="EQ351"/>
  <c r="EE351"/>
  <c r="DZ351"/>
  <c r="DY351"/>
  <c r="DX351"/>
  <c r="DW351"/>
  <c r="DP351"/>
  <c r="DI351"/>
  <c r="DE351"/>
  <c r="DC351"/>
  <c r="DB351"/>
  <c r="DA351"/>
  <c r="CW351"/>
  <c r="CT351"/>
  <c r="CR351"/>
  <c r="CQ351"/>
  <c r="CP351"/>
  <c r="CO351"/>
  <c r="CJ351"/>
  <c r="CG351"/>
  <c r="CB351"/>
  <c r="BM351"/>
  <c r="BJ351"/>
  <c r="BE351"/>
  <c r="BD351"/>
  <c r="BC351"/>
  <c r="BB351"/>
  <c r="AY351"/>
  <c r="AX351"/>
  <c r="AW351"/>
  <c r="AV351"/>
  <c r="AR351"/>
  <c r="AL351"/>
  <c r="AJ351"/>
  <c r="AH351"/>
  <c r="AG351"/>
  <c r="AF351"/>
  <c r="AC351"/>
  <c r="Z351"/>
  <c r="X351"/>
  <c r="W351"/>
  <c r="V351"/>
  <c r="U351"/>
  <c r="P351"/>
  <c r="M351"/>
  <c r="EV350"/>
  <c r="EU350"/>
  <c r="EQ350"/>
  <c r="EE350"/>
  <c r="EC350"/>
  <c r="DI350"/>
  <c r="DE350"/>
  <c r="DC350"/>
  <c r="CX350"/>
  <c r="CW350"/>
  <c r="CJ350"/>
  <c r="CG350"/>
  <c r="CB350"/>
  <c r="CA350"/>
  <c r="BM350"/>
  <c r="BJ350"/>
  <c r="BH350"/>
  <c r="BG350"/>
  <c r="BF350"/>
  <c r="BE350"/>
  <c r="BD350"/>
  <c r="BC350"/>
  <c r="BB350"/>
  <c r="AL350"/>
  <c r="AJ350"/>
  <c r="AH350"/>
  <c r="AD350"/>
  <c r="AC350"/>
  <c r="P350"/>
  <c r="M350"/>
  <c r="EV349"/>
  <c r="DI349"/>
  <c r="CB349"/>
  <c r="AL349"/>
  <c r="CB348"/>
  <c r="BK348"/>
  <c r="BH348"/>
  <c r="EV347"/>
  <c r="EU347"/>
  <c r="EQ347"/>
  <c r="EE347"/>
  <c r="DM347"/>
  <c r="DI347"/>
  <c r="DE347"/>
  <c r="DC347"/>
  <c r="CJ347"/>
  <c r="CG347"/>
  <c r="CB347"/>
  <c r="CA347"/>
  <c r="BB347"/>
  <c r="AP347"/>
  <c r="AL347"/>
  <c r="AJ347"/>
  <c r="AH347"/>
  <c r="P347"/>
  <c r="M347"/>
  <c r="EV346"/>
  <c r="CC346"/>
  <c r="CB346"/>
  <c r="I346"/>
  <c r="EV345"/>
  <c r="ES345"/>
  <c r="EN345"/>
  <c r="EH345"/>
  <c r="EG345"/>
  <c r="EE345"/>
  <c r="ED345"/>
  <c r="CD345"/>
  <c r="CC345"/>
  <c r="CB345"/>
  <c r="BY345"/>
  <c r="BX345"/>
  <c r="BU345"/>
  <c r="BT345"/>
  <c r="BH345"/>
  <c r="J345"/>
  <c r="I345"/>
  <c r="EV344"/>
  <c r="EQ344"/>
  <c r="EE344"/>
  <c r="DE344"/>
  <c r="DC344"/>
  <c r="CF344"/>
  <c r="CE344"/>
  <c r="CB344"/>
  <c r="AJ344"/>
  <c r="AH344"/>
  <c r="L344"/>
  <c r="K344"/>
  <c r="EV343"/>
  <c r="DC343"/>
  <c r="CW343"/>
  <c r="CJ343"/>
  <c r="CG343"/>
  <c r="CB343"/>
  <c r="BM343"/>
  <c r="BC343"/>
  <c r="BB343"/>
  <c r="AH343"/>
  <c r="AC343"/>
  <c r="P343"/>
  <c r="M343"/>
  <c r="EV342"/>
  <c r="EG342"/>
  <c r="CD342"/>
  <c r="CC342"/>
  <c r="CB342"/>
  <c r="BT342"/>
  <c r="J342"/>
  <c r="I342"/>
  <c r="EV341"/>
  <c r="EQ341"/>
  <c r="EE341"/>
  <c r="DI341"/>
  <c r="DE341"/>
  <c r="DC341"/>
  <c r="CW341"/>
  <c r="CG341"/>
  <c r="CB341"/>
  <c r="BM341"/>
  <c r="BJ341"/>
  <c r="AL341"/>
  <c r="AJ341"/>
  <c r="AH341"/>
  <c r="AC341"/>
  <c r="M341"/>
  <c r="EV340"/>
  <c r="ES340"/>
  <c r="EE340"/>
  <c r="CC340"/>
  <c r="CB340"/>
  <c r="BY340"/>
  <c r="BU340"/>
  <c r="BT340"/>
  <c r="BR340"/>
  <c r="BH340"/>
  <c r="EV339"/>
  <c r="CC339"/>
  <c r="CB339"/>
  <c r="I339"/>
  <c r="EV338"/>
  <c r="EQ338"/>
  <c r="EE338"/>
  <c r="DN338"/>
  <c r="DM338"/>
  <c r="DE338"/>
  <c r="DC338"/>
  <c r="CL338"/>
  <c r="CK338"/>
  <c r="CB338"/>
  <c r="BJ338"/>
  <c r="BI338"/>
  <c r="BE338"/>
  <c r="BD338"/>
  <c r="BB338"/>
  <c r="AP338"/>
  <c r="AJ338"/>
  <c r="AH338"/>
  <c r="R338"/>
  <c r="Q338"/>
  <c r="EV337"/>
  <c r="EQ337"/>
  <c r="EE337"/>
  <c r="EA337"/>
  <c r="DI337"/>
  <c r="DE337"/>
  <c r="DC337"/>
  <c r="CW337"/>
  <c r="CG337"/>
  <c r="CB337"/>
  <c r="BM337"/>
  <c r="BH337"/>
  <c r="BE337"/>
  <c r="BC337"/>
  <c r="BB337"/>
  <c r="AZ337"/>
  <c r="AL337"/>
  <c r="AJ337"/>
  <c r="AH337"/>
  <c r="AC337"/>
  <c r="M337"/>
  <c r="EV336"/>
  <c r="EU336"/>
  <c r="EQ336"/>
  <c r="EE336"/>
  <c r="DI336"/>
  <c r="DE336"/>
  <c r="DC336"/>
  <c r="DB336"/>
  <c r="DA336"/>
  <c r="CX336"/>
  <c r="CW336"/>
  <c r="CR336"/>
  <c r="CQ336"/>
  <c r="CP336"/>
  <c r="CO336"/>
  <c r="CJ336"/>
  <c r="CG336"/>
  <c r="CB336"/>
  <c r="CA336"/>
  <c r="BD336"/>
  <c r="BB336"/>
  <c r="AL336"/>
  <c r="AJ336"/>
  <c r="AH336"/>
  <c r="AG336"/>
  <c r="AF336"/>
  <c r="AD336"/>
  <c r="AC336"/>
  <c r="X336"/>
  <c r="W336"/>
  <c r="V336"/>
  <c r="U336"/>
  <c r="P336"/>
  <c r="M336"/>
  <c r="EV335"/>
  <c r="EU335"/>
  <c r="EQ335"/>
  <c r="EE335"/>
  <c r="DM335"/>
  <c r="DI335"/>
  <c r="DE335"/>
  <c r="DC335"/>
  <c r="DB335"/>
  <c r="DA335"/>
  <c r="CX335"/>
  <c r="CW335"/>
  <c r="CR335"/>
  <c r="CQ335"/>
  <c r="CO335"/>
  <c r="CJ335"/>
  <c r="CG335"/>
  <c r="CB335"/>
  <c r="CA335"/>
  <c r="BE335"/>
  <c r="AP335"/>
  <c r="AL335"/>
  <c r="AJ335"/>
  <c r="AH335"/>
  <c r="AG335"/>
  <c r="AF335"/>
  <c r="AD335"/>
  <c r="AC335"/>
  <c r="X335"/>
  <c r="W335"/>
  <c r="U335"/>
  <c r="P335"/>
  <c r="M335"/>
  <c r="EV334"/>
  <c r="EE334"/>
  <c r="CC334"/>
  <c r="CB334"/>
  <c r="I334"/>
  <c r="EV333"/>
  <c r="EQ333"/>
  <c r="EE333"/>
  <c r="DJ333"/>
  <c r="DI333"/>
  <c r="DE333"/>
  <c r="DC333"/>
  <c r="CX333"/>
  <c r="CW333"/>
  <c r="CJ333"/>
  <c r="CG333"/>
  <c r="CB333"/>
  <c r="AM333"/>
  <c r="AL333"/>
  <c r="AJ333"/>
  <c r="AH333"/>
  <c r="AD333"/>
  <c r="AC333"/>
  <c r="P333"/>
  <c r="M333"/>
  <c r="EV332"/>
  <c r="DL332"/>
  <c r="DK332"/>
  <c r="DI332"/>
  <c r="DC332"/>
  <c r="DA332"/>
  <c r="CQ332"/>
  <c r="CG332"/>
  <c r="CB332"/>
  <c r="BM332"/>
  <c r="BE332"/>
  <c r="AO332"/>
  <c r="AN332"/>
  <c r="AL332"/>
  <c r="AH332"/>
  <c r="AF332"/>
  <c r="W332"/>
  <c r="M332"/>
  <c r="EV331"/>
  <c r="EQ331"/>
  <c r="EE331"/>
  <c r="DM331"/>
  <c r="DJ331"/>
  <c r="DI331"/>
  <c r="DE331"/>
  <c r="DC331"/>
  <c r="CG331"/>
  <c r="CB331"/>
  <c r="BH331"/>
  <c r="BE331"/>
  <c r="AP331"/>
  <c r="AM331"/>
  <c r="AL331"/>
  <c r="AJ331"/>
  <c r="AH331"/>
  <c r="M331"/>
  <c r="EV330"/>
  <c r="EQ330"/>
  <c r="EE330"/>
  <c r="DM330"/>
  <c r="DI330"/>
  <c r="DE330"/>
  <c r="DC330"/>
  <c r="CX330"/>
  <c r="CW330"/>
  <c r="CG330"/>
  <c r="CB330"/>
  <c r="BO330"/>
  <c r="BE330"/>
  <c r="BD330"/>
  <c r="BC330"/>
  <c r="BB330"/>
  <c r="AP330"/>
  <c r="AL330"/>
  <c r="AJ330"/>
  <c r="AH330"/>
  <c r="AD330"/>
  <c r="AC330"/>
  <c r="M330"/>
  <c r="EV329"/>
  <c r="EQ329"/>
  <c r="EE329"/>
  <c r="DC329"/>
  <c r="CL329"/>
  <c r="CK329"/>
  <c r="CB329"/>
  <c r="BE329"/>
  <c r="AH329"/>
  <c r="R329"/>
  <c r="Q329"/>
  <c r="EV328"/>
  <c r="EE328"/>
  <c r="DM328"/>
  <c r="DJ328"/>
  <c r="DE328"/>
  <c r="DC328"/>
  <c r="DB328"/>
  <c r="CP328"/>
  <c r="CJ328"/>
  <c r="CG328"/>
  <c r="CB328"/>
  <c r="BM328"/>
  <c r="BH328"/>
  <c r="BE328"/>
  <c r="BB328"/>
  <c r="AP328"/>
  <c r="AM328"/>
  <c r="AJ328"/>
  <c r="AH328"/>
  <c r="AG328"/>
  <c r="V328"/>
  <c r="P328"/>
  <c r="M328"/>
  <c r="EV327"/>
  <c r="EU327"/>
  <c r="EQ327"/>
  <c r="EE327"/>
  <c r="DK327"/>
  <c r="DI327"/>
  <c r="DC327"/>
  <c r="DB327"/>
  <c r="DA327"/>
  <c r="CW327"/>
  <c r="CR327"/>
  <c r="CQ327"/>
  <c r="CJ327"/>
  <c r="CG327"/>
  <c r="CB327"/>
  <c r="CA327"/>
  <c r="BM327"/>
  <c r="BE327"/>
  <c r="AN327"/>
  <c r="AL327"/>
  <c r="AH327"/>
  <c r="AG327"/>
  <c r="AF327"/>
  <c r="AC327"/>
  <c r="X327"/>
  <c r="W327"/>
  <c r="P327"/>
  <c r="M327"/>
  <c r="EV326"/>
  <c r="EE326"/>
  <c r="CV326"/>
  <c r="CC326"/>
  <c r="CB326"/>
  <c r="BY326"/>
  <c r="BT326"/>
  <c r="BH326"/>
  <c r="AK326"/>
  <c r="AB326"/>
  <c r="I326"/>
  <c r="EV325"/>
  <c r="EU325"/>
  <c r="EQ325"/>
  <c r="EE325"/>
  <c r="DX325"/>
  <c r="DW325"/>
  <c r="DI325"/>
  <c r="DE325"/>
  <c r="DC325"/>
  <c r="DB325"/>
  <c r="DA325"/>
  <c r="CX325"/>
  <c r="CW325"/>
  <c r="CV325"/>
  <c r="CR325"/>
  <c r="CQ325"/>
  <c r="CP325"/>
  <c r="CO325"/>
  <c r="CJ325"/>
  <c r="CG325"/>
  <c r="CC325"/>
  <c r="CB325"/>
  <c r="BT325"/>
  <c r="BH325"/>
  <c r="BB325"/>
  <c r="AW325"/>
  <c r="AV325"/>
  <c r="AL325"/>
  <c r="AJ325"/>
  <c r="AH325"/>
  <c r="AG325"/>
  <c r="AF325"/>
  <c r="AD325"/>
  <c r="AC325"/>
  <c r="AB325"/>
  <c r="X325"/>
  <c r="W325"/>
  <c r="V325"/>
  <c r="U325"/>
  <c r="P325"/>
  <c r="M325"/>
  <c r="EV324"/>
  <c r="EQ324"/>
  <c r="EE324"/>
  <c r="DI324"/>
  <c r="DE324"/>
  <c r="DC324"/>
  <c r="CX324"/>
  <c r="CW324"/>
  <c r="CJ324"/>
  <c r="CG324"/>
  <c r="CB324"/>
  <c r="AL324"/>
  <c r="AJ324"/>
  <c r="AH324"/>
  <c r="AD324"/>
  <c r="AC324"/>
  <c r="P324"/>
  <c r="M324"/>
  <c r="EV323"/>
  <c r="EU323"/>
  <c r="EQ323"/>
  <c r="EE323"/>
  <c r="DI323"/>
  <c r="DE323"/>
  <c r="DC323"/>
  <c r="DB323"/>
  <c r="DA323"/>
  <c r="CX323"/>
  <c r="CW323"/>
  <c r="CR323"/>
  <c r="CQ323"/>
  <c r="CP323"/>
  <c r="CO323"/>
  <c r="CJ323"/>
  <c r="CG323"/>
  <c r="CB323"/>
  <c r="CA323"/>
  <c r="BM323"/>
  <c r="BJ323"/>
  <c r="BF323"/>
  <c r="BD323"/>
  <c r="BC323"/>
  <c r="AL323"/>
  <c r="AJ323"/>
  <c r="AH323"/>
  <c r="AG323"/>
  <c r="AF323"/>
  <c r="AD323"/>
  <c r="AC323"/>
  <c r="X323"/>
  <c r="W323"/>
  <c r="V323"/>
  <c r="U323"/>
  <c r="P323"/>
  <c r="M323"/>
  <c r="EV322"/>
  <c r="DI322"/>
  <c r="CB322"/>
  <c r="BM322"/>
  <c r="BH322"/>
  <c r="AL322"/>
  <c r="EV321"/>
  <c r="ES321"/>
  <c r="EH321"/>
  <c r="EG321"/>
  <c r="EE321"/>
  <c r="ED321"/>
  <c r="CD321"/>
  <c r="CC321"/>
  <c r="CB321"/>
  <c r="BY321"/>
  <c r="BU321"/>
  <c r="BT321"/>
  <c r="BH321"/>
  <c r="J321"/>
  <c r="I321"/>
  <c r="EV320"/>
  <c r="EU320"/>
  <c r="EQ320"/>
  <c r="EE320"/>
  <c r="DM320"/>
  <c r="DI320"/>
  <c r="DE320"/>
  <c r="DC320"/>
  <c r="CG320"/>
  <c r="CB320"/>
  <c r="CA320"/>
  <c r="BE320"/>
  <c r="AP320"/>
  <c r="AL320"/>
  <c r="AJ320"/>
  <c r="AH320"/>
  <c r="M320"/>
  <c r="EV319"/>
  <c r="EU319"/>
  <c r="EQ319"/>
  <c r="EE319"/>
  <c r="DR319"/>
  <c r="DJ319"/>
  <c r="DI319"/>
  <c r="DE319"/>
  <c r="DC319"/>
  <c r="DB319"/>
  <c r="DA319"/>
  <c r="CX319"/>
  <c r="CW319"/>
  <c r="CQ319"/>
  <c r="CO319"/>
  <c r="CJ319"/>
  <c r="CG319"/>
  <c r="CB319"/>
  <c r="CA319"/>
  <c r="BM319"/>
  <c r="BH319"/>
  <c r="BD319"/>
  <c r="BC319"/>
  <c r="BB319"/>
  <c r="AM319"/>
  <c r="AL319"/>
  <c r="AJ319"/>
  <c r="AH319"/>
  <c r="AG319"/>
  <c r="AF319"/>
  <c r="AD319"/>
  <c r="AC319"/>
  <c r="W319"/>
  <c r="U319"/>
  <c r="P319"/>
  <c r="M319"/>
  <c r="EV318"/>
  <c r="EQ318"/>
  <c r="EE318"/>
  <c r="DJ318"/>
  <c r="DI318"/>
  <c r="DE318"/>
  <c r="DC318"/>
  <c r="DB318"/>
  <c r="DA318"/>
  <c r="CX318"/>
  <c r="CW318"/>
  <c r="CR318"/>
  <c r="CQ318"/>
  <c r="CP318"/>
  <c r="CO318"/>
  <c r="CN318"/>
  <c r="CJ318"/>
  <c r="CG318"/>
  <c r="CB318"/>
  <c r="BM318"/>
  <c r="BH318"/>
  <c r="BE318"/>
  <c r="BD318"/>
  <c r="AM318"/>
  <c r="AL318"/>
  <c r="AJ318"/>
  <c r="AH318"/>
  <c r="AG318"/>
  <c r="AF318"/>
  <c r="AD318"/>
  <c r="AC318"/>
  <c r="X318"/>
  <c r="W318"/>
  <c r="V318"/>
  <c r="U318"/>
  <c r="T318"/>
  <c r="P318"/>
  <c r="M318"/>
  <c r="EV317"/>
  <c r="ES317"/>
  <c r="EG317"/>
  <c r="EE317"/>
  <c r="ED317"/>
  <c r="CD317"/>
  <c r="CC317"/>
  <c r="CB317"/>
  <c r="BY317"/>
  <c r="BT317"/>
  <c r="BH317"/>
  <c r="J317"/>
  <c r="I317"/>
  <c r="EV316"/>
  <c r="EG316"/>
  <c r="EE316"/>
  <c r="CC316"/>
  <c r="CB316"/>
  <c r="BT316"/>
  <c r="I316"/>
  <c r="EV315"/>
  <c r="EE315"/>
  <c r="DC315"/>
  <c r="CC315"/>
  <c r="CB315"/>
  <c r="AH315"/>
  <c r="I315"/>
  <c r="EV314"/>
  <c r="EQ314"/>
  <c r="EE314"/>
  <c r="DR314"/>
  <c r="DE314"/>
  <c r="DC314"/>
  <c r="CF314"/>
  <c r="CE314"/>
  <c r="CB314"/>
  <c r="BC314"/>
  <c r="BB314"/>
  <c r="AJ314"/>
  <c r="AH314"/>
  <c r="L314"/>
  <c r="K314"/>
  <c r="EV313"/>
  <c r="CC313"/>
  <c r="CB313"/>
  <c r="I313"/>
  <c r="EV312"/>
  <c r="EU312"/>
  <c r="EQ312"/>
  <c r="EE312"/>
  <c r="DJ312"/>
  <c r="DI312"/>
  <c r="DE312"/>
  <c r="DC312"/>
  <c r="CJ312"/>
  <c r="CG312"/>
  <c r="CB312"/>
  <c r="CA312"/>
  <c r="BE312"/>
  <c r="AM312"/>
  <c r="AL312"/>
  <c r="AJ312"/>
  <c r="AH312"/>
  <c r="P312"/>
  <c r="M312"/>
  <c r="EV311"/>
  <c r="EE311"/>
  <c r="DN311"/>
  <c r="CV311"/>
  <c r="CU311"/>
  <c r="CC311"/>
  <c r="CB311"/>
  <c r="BY311"/>
  <c r="BU311"/>
  <c r="BT311"/>
  <c r="BH311"/>
  <c r="AK311"/>
  <c r="AB311"/>
  <c r="AA311"/>
  <c r="EV310"/>
  <c r="DK310"/>
  <c r="DI310"/>
  <c r="DC310"/>
  <c r="CB310"/>
  <c r="BM310"/>
  <c r="AN310"/>
  <c r="AL310"/>
  <c r="AH310"/>
  <c r="EV309"/>
  <c r="ES309"/>
  <c r="EN309"/>
  <c r="EG309"/>
  <c r="EE309"/>
  <c r="ED309"/>
  <c r="CC309"/>
  <c r="CB309"/>
  <c r="BY309"/>
  <c r="BX309"/>
  <c r="BT309"/>
  <c r="BH309"/>
  <c r="I309"/>
  <c r="EV308"/>
  <c r="EU308"/>
  <c r="EQ308"/>
  <c r="EE308"/>
  <c r="EC308"/>
  <c r="DM308"/>
  <c r="DK308"/>
  <c r="DJ308"/>
  <c r="DI308"/>
  <c r="DE308"/>
  <c r="DC308"/>
  <c r="CJ308"/>
  <c r="CG308"/>
  <c r="CB308"/>
  <c r="CA308"/>
  <c r="BM308"/>
  <c r="BJ308"/>
  <c r="BG308"/>
  <c r="BF308"/>
  <c r="BE308"/>
  <c r="BD308"/>
  <c r="BC308"/>
  <c r="AP308"/>
  <c r="AN308"/>
  <c r="AM308"/>
  <c r="AL308"/>
  <c r="AJ308"/>
  <c r="AH308"/>
  <c r="P308"/>
  <c r="M308"/>
  <c r="EV307"/>
  <c r="EU307"/>
  <c r="EQ307"/>
  <c r="CB307"/>
  <c r="CA307"/>
  <c r="BH307"/>
  <c r="BC307"/>
  <c r="AH307"/>
  <c r="EV306"/>
  <c r="ES306"/>
  <c r="EN306"/>
  <c r="EG306"/>
  <c r="EE306"/>
  <c r="ED306"/>
  <c r="CD306"/>
  <c r="CC306"/>
  <c r="CB306"/>
  <c r="BY306"/>
  <c r="BX306"/>
  <c r="BT306"/>
  <c r="BH306"/>
  <c r="J306"/>
  <c r="I306"/>
  <c r="EV305"/>
  <c r="EQ305"/>
  <c r="DI305"/>
  <c r="DE305"/>
  <c r="DC305"/>
  <c r="CX305"/>
  <c r="CW305"/>
  <c r="CG305"/>
  <c r="CB305"/>
  <c r="BO305"/>
  <c r="BM305"/>
  <c r="BJ305"/>
  <c r="BE305"/>
  <c r="BD305"/>
  <c r="BC305"/>
  <c r="BB305"/>
  <c r="AL305"/>
  <c r="AJ305"/>
  <c r="AH305"/>
  <c r="AD305"/>
  <c r="AC305"/>
  <c r="M305"/>
  <c r="EV304"/>
  <c r="EQ304"/>
  <c r="CC304"/>
  <c r="CB304"/>
  <c r="BY304"/>
  <c r="BT304"/>
  <c r="BR304"/>
  <c r="BH304"/>
  <c r="AK304"/>
  <c r="I304"/>
  <c r="EV303"/>
  <c r="EU303"/>
  <c r="EQ303"/>
  <c r="EE303"/>
  <c r="DJ303"/>
  <c r="DI303"/>
  <c r="DE303"/>
  <c r="DC303"/>
  <c r="DA303"/>
  <c r="CW303"/>
  <c r="CP303"/>
  <c r="CO303"/>
  <c r="CN303"/>
  <c r="CG303"/>
  <c r="CB303"/>
  <c r="CA303"/>
  <c r="BM303"/>
  <c r="AM303"/>
  <c r="AL303"/>
  <c r="AJ303"/>
  <c r="AH303"/>
  <c r="AF303"/>
  <c r="AC303"/>
  <c r="V303"/>
  <c r="U303"/>
  <c r="T303"/>
  <c r="M303"/>
  <c r="EV302"/>
  <c r="EU302"/>
  <c r="EQ302"/>
  <c r="EE302"/>
  <c r="DE302"/>
  <c r="DC302"/>
  <c r="CJ302"/>
  <c r="CG302"/>
  <c r="CB302"/>
  <c r="CA302"/>
  <c r="BM302"/>
  <c r="BH302"/>
  <c r="BE302"/>
  <c r="BC302"/>
  <c r="BB302"/>
  <c r="AJ302"/>
  <c r="AH302"/>
  <c r="P302"/>
  <c r="M302"/>
  <c r="EV301"/>
  <c r="ES301"/>
  <c r="EE301"/>
  <c r="DS301"/>
  <c r="CC301"/>
  <c r="CB301"/>
  <c r="BY301"/>
  <c r="BU301"/>
  <c r="BT301"/>
  <c r="BH301"/>
  <c r="EV300"/>
  <c r="EQ300"/>
  <c r="EJ300"/>
  <c r="DQ300"/>
  <c r="DP300"/>
  <c r="DK300"/>
  <c r="DI300"/>
  <c r="DC300"/>
  <c r="DB300"/>
  <c r="DA300"/>
  <c r="CW300"/>
  <c r="CR300"/>
  <c r="CQ300"/>
  <c r="CJ300"/>
  <c r="CG300"/>
  <c r="CB300"/>
  <c r="BM300"/>
  <c r="BE300"/>
  <c r="BD300"/>
  <c r="AS300"/>
  <c r="AR300"/>
  <c r="AN300"/>
  <c r="AL300"/>
  <c r="AH300"/>
  <c r="AG300"/>
  <c r="AF300"/>
  <c r="AC300"/>
  <c r="X300"/>
  <c r="W300"/>
  <c r="P300"/>
  <c r="M300"/>
  <c r="EV299"/>
  <c r="DI299"/>
  <c r="DC299"/>
  <c r="CB299"/>
  <c r="BM299"/>
  <c r="BJ299"/>
  <c r="AL299"/>
  <c r="AH299"/>
  <c r="EV298"/>
  <c r="EE298"/>
  <c r="DN298"/>
  <c r="CC298"/>
  <c r="CB298"/>
  <c r="BY298"/>
  <c r="BU298"/>
  <c r="BT298"/>
  <c r="BH298"/>
  <c r="EV297"/>
  <c r="EQ297"/>
  <c r="EE297"/>
  <c r="DE297"/>
  <c r="DC297"/>
  <c r="CL297"/>
  <c r="CK297"/>
  <c r="CB297"/>
  <c r="BN297"/>
  <c r="BJ297"/>
  <c r="BH297"/>
  <c r="BD297"/>
  <c r="BC297"/>
  <c r="BB297"/>
  <c r="AJ297"/>
  <c r="AH297"/>
  <c r="R297"/>
  <c r="Q297"/>
  <c r="EV296"/>
  <c r="EQ296"/>
  <c r="EE296"/>
  <c r="DE296"/>
  <c r="DC296"/>
  <c r="CL296"/>
  <c r="CK296"/>
  <c r="CB296"/>
  <c r="BE296"/>
  <c r="AJ296"/>
  <c r="AH296"/>
  <c r="R296"/>
  <c r="Q296"/>
  <c r="EV295"/>
  <c r="EU295"/>
  <c r="EQ295"/>
  <c r="EE295"/>
  <c r="DR295"/>
  <c r="DI295"/>
  <c r="DE295"/>
  <c r="DC295"/>
  <c r="DB295"/>
  <c r="DA295"/>
  <c r="CX295"/>
  <c r="CW295"/>
  <c r="CQ295"/>
  <c r="CP295"/>
  <c r="CO295"/>
  <c r="CJ295"/>
  <c r="CG295"/>
  <c r="CB295"/>
  <c r="CA295"/>
  <c r="AL295"/>
  <c r="AJ295"/>
  <c r="AH295"/>
  <c r="AG295"/>
  <c r="AF295"/>
  <c r="AD295"/>
  <c r="AC295"/>
  <c r="W295"/>
  <c r="V295"/>
  <c r="U295"/>
  <c r="P295"/>
  <c r="M295"/>
  <c r="EV294"/>
  <c r="EU294"/>
  <c r="EQ294"/>
  <c r="EE294"/>
  <c r="EC294"/>
  <c r="DI294"/>
  <c r="DE294"/>
  <c r="DC294"/>
  <c r="CW294"/>
  <c r="CG294"/>
  <c r="CB294"/>
  <c r="CA294"/>
  <c r="BM294"/>
  <c r="BJ294"/>
  <c r="BF294"/>
  <c r="AL294"/>
  <c r="AJ294"/>
  <c r="AH294"/>
  <c r="AC294"/>
  <c r="M294"/>
  <c r="EV293"/>
  <c r="EQ293"/>
  <c r="EE293"/>
  <c r="EA293"/>
  <c r="DI293"/>
  <c r="DE293"/>
  <c r="DC293"/>
  <c r="CG293"/>
  <c r="CB293"/>
  <c r="AZ293"/>
  <c r="AL293"/>
  <c r="AJ293"/>
  <c r="AH293"/>
  <c r="M293"/>
  <c r="EV292"/>
  <c r="EU292"/>
  <c r="EQ292"/>
  <c r="EE292"/>
  <c r="DR292"/>
  <c r="DI292"/>
  <c r="DE292"/>
  <c r="DC292"/>
  <c r="DB292"/>
  <c r="DA292"/>
  <c r="CX292"/>
  <c r="CW292"/>
  <c r="CR292"/>
  <c r="CQ292"/>
  <c r="CP292"/>
  <c r="CO292"/>
  <c r="CN292"/>
  <c r="CJ292"/>
  <c r="CG292"/>
  <c r="CB292"/>
  <c r="CA292"/>
  <c r="BH292"/>
  <c r="BC292"/>
  <c r="AL292"/>
  <c r="AJ292"/>
  <c r="AH292"/>
  <c r="AG292"/>
  <c r="AF292"/>
  <c r="AD292"/>
  <c r="AC292"/>
  <c r="X292"/>
  <c r="W292"/>
  <c r="V292"/>
  <c r="U292"/>
  <c r="T292"/>
  <c r="P292"/>
  <c r="M292"/>
  <c r="EV291"/>
  <c r="ES291"/>
  <c r="EE291"/>
  <c r="CY291"/>
  <c r="CC291"/>
  <c r="CB291"/>
  <c r="BZ291"/>
  <c r="BY291"/>
  <c r="BU291"/>
  <c r="BT291"/>
  <c r="BH291"/>
  <c r="AK291"/>
  <c r="AE291"/>
  <c r="EV290"/>
  <c r="EU290"/>
  <c r="EQ290"/>
  <c r="EE290"/>
  <c r="DI290"/>
  <c r="DE290"/>
  <c r="DC290"/>
  <c r="DB290"/>
  <c r="DA290"/>
  <c r="CX290"/>
  <c r="CW290"/>
  <c r="CR290"/>
  <c r="CQ290"/>
  <c r="CP290"/>
  <c r="CO290"/>
  <c r="CJ290"/>
  <c r="CG290"/>
  <c r="CB290"/>
  <c r="CA290"/>
  <c r="BM290"/>
  <c r="BE290"/>
  <c r="AL290"/>
  <c r="AJ290"/>
  <c r="AH290"/>
  <c r="AG290"/>
  <c r="AF290"/>
  <c r="AD290"/>
  <c r="AC290"/>
  <c r="X290"/>
  <c r="W290"/>
  <c r="V290"/>
  <c r="U290"/>
  <c r="P290"/>
  <c r="M290"/>
  <c r="EV289"/>
  <c r="EE289"/>
  <c r="DC289"/>
  <c r="CY289"/>
  <c r="CC289"/>
  <c r="CB289"/>
  <c r="BR289"/>
  <c r="AH289"/>
  <c r="AE289"/>
  <c r="I289"/>
  <c r="EV288"/>
  <c r="EQ288"/>
  <c r="EE288"/>
  <c r="DI288"/>
  <c r="DE288"/>
  <c r="DC288"/>
  <c r="CW288"/>
  <c r="CS288"/>
  <c r="CG288"/>
  <c r="CB288"/>
  <c r="BM288"/>
  <c r="BE288"/>
  <c r="BC288"/>
  <c r="BB288"/>
  <c r="AL288"/>
  <c r="AJ288"/>
  <c r="AH288"/>
  <c r="AC288"/>
  <c r="Y288"/>
  <c r="M288"/>
  <c r="EV287"/>
  <c r="DI287"/>
  <c r="DC287"/>
  <c r="CB287"/>
  <c r="BM287"/>
  <c r="AL287"/>
  <c r="AH287"/>
  <c r="EV286"/>
  <c r="EU286"/>
  <c r="EQ286"/>
  <c r="EE286"/>
  <c r="DR286"/>
  <c r="DI286"/>
  <c r="DE286"/>
  <c r="DC286"/>
  <c r="DB286"/>
  <c r="DA286"/>
  <c r="CW286"/>
  <c r="CQ286"/>
  <c r="CP286"/>
  <c r="CO286"/>
  <c r="CN286"/>
  <c r="CJ286"/>
  <c r="CG286"/>
  <c r="CB286"/>
  <c r="CA286"/>
  <c r="BM286"/>
  <c r="BJ286"/>
  <c r="BE286"/>
  <c r="BC286"/>
  <c r="BB286"/>
  <c r="AL286"/>
  <c r="AJ286"/>
  <c r="AH286"/>
  <c r="AG286"/>
  <c r="AF286"/>
  <c r="AC286"/>
  <c r="W286"/>
  <c r="V286"/>
  <c r="U286"/>
  <c r="T286"/>
  <c r="P286"/>
  <c r="M286"/>
  <c r="EV285"/>
  <c r="EQ285"/>
  <c r="EE285"/>
  <c r="DX285"/>
  <c r="DK285"/>
  <c r="DI285"/>
  <c r="DE285"/>
  <c r="DC285"/>
  <c r="DB285"/>
  <c r="CX285"/>
  <c r="CR285"/>
  <c r="CP285"/>
  <c r="CO285"/>
  <c r="CJ285"/>
  <c r="CG285"/>
  <c r="CB285"/>
  <c r="BE285"/>
  <c r="BD285"/>
  <c r="AW285"/>
  <c r="AN285"/>
  <c r="AL285"/>
  <c r="AJ285"/>
  <c r="AH285"/>
  <c r="AG285"/>
  <c r="AD285"/>
  <c r="X285"/>
  <c r="V285"/>
  <c r="U285"/>
  <c r="P285"/>
  <c r="M285"/>
  <c r="EV284"/>
  <c r="EE284"/>
  <c r="CV284"/>
  <c r="CU284"/>
  <c r="CC284"/>
  <c r="CB284"/>
  <c r="BT284"/>
  <c r="BH284"/>
  <c r="AI284"/>
  <c r="AB284"/>
  <c r="AA284"/>
  <c r="EV283"/>
  <c r="EJ283"/>
  <c r="EE283"/>
  <c r="DP283"/>
  <c r="DI283"/>
  <c r="DE283"/>
  <c r="DC283"/>
  <c r="DB283"/>
  <c r="DA283"/>
  <c r="CZ283"/>
  <c r="CX283"/>
  <c r="CW283"/>
  <c r="CR283"/>
  <c r="CQ283"/>
  <c r="CP283"/>
  <c r="CO283"/>
  <c r="CJ283"/>
  <c r="CG283"/>
  <c r="CB283"/>
  <c r="BM283"/>
  <c r="BE283"/>
  <c r="BD283"/>
  <c r="BC283"/>
  <c r="BB283"/>
  <c r="AR283"/>
  <c r="AL283"/>
  <c r="AJ283"/>
  <c r="AH283"/>
  <c r="AG283"/>
  <c r="AF283"/>
  <c r="AD283"/>
  <c r="AC283"/>
  <c r="X283"/>
  <c r="W283"/>
  <c r="V283"/>
  <c r="U283"/>
  <c r="P283"/>
  <c r="M283"/>
  <c r="EV282"/>
  <c r="ET282"/>
  <c r="ES282"/>
  <c r="EN282"/>
  <c r="EH282"/>
  <c r="EG282"/>
  <c r="EE282"/>
  <c r="ED282"/>
  <c r="DS282"/>
  <c r="CC282"/>
  <c r="CB282"/>
  <c r="BZ282"/>
  <c r="BY282"/>
  <c r="BX282"/>
  <c r="BU282"/>
  <c r="BT282"/>
  <c r="BH282"/>
  <c r="I282"/>
  <c r="EV281"/>
  <c r="EG281"/>
  <c r="EE281"/>
  <c r="CD281"/>
  <c r="CC281"/>
  <c r="CB281"/>
  <c r="BT281"/>
  <c r="J281"/>
  <c r="I281"/>
  <c r="EV280"/>
  <c r="EQ280"/>
  <c r="EE280"/>
  <c r="EC280"/>
  <c r="DN280"/>
  <c r="DI280"/>
  <c r="DE280"/>
  <c r="DC280"/>
  <c r="DB280"/>
  <c r="DA280"/>
  <c r="CX280"/>
  <c r="CW280"/>
  <c r="CP280"/>
  <c r="CJ280"/>
  <c r="CG280"/>
  <c r="CB280"/>
  <c r="BM280"/>
  <c r="BG280"/>
  <c r="BF280"/>
  <c r="BD280"/>
  <c r="BC280"/>
  <c r="BB280"/>
  <c r="AL280"/>
  <c r="AJ280"/>
  <c r="AH280"/>
  <c r="AG280"/>
  <c r="AF280"/>
  <c r="AD280"/>
  <c r="AC280"/>
  <c r="V280"/>
  <c r="P280"/>
  <c r="M280"/>
  <c r="EV279"/>
  <c r="EU279"/>
  <c r="EQ279"/>
  <c r="EE279"/>
  <c r="DE279"/>
  <c r="DC279"/>
  <c r="CF279"/>
  <c r="CE279"/>
  <c r="CB279"/>
  <c r="CA279"/>
  <c r="BO279"/>
  <c r="BM279"/>
  <c r="BB279"/>
  <c r="AJ279"/>
  <c r="AH279"/>
  <c r="L279"/>
  <c r="K279"/>
  <c r="EV278"/>
  <c r="EQ278"/>
  <c r="EE278"/>
  <c r="DU278"/>
  <c r="DP278"/>
  <c r="DI278"/>
  <c r="DE278"/>
  <c r="DC278"/>
  <c r="DB278"/>
  <c r="DA278"/>
  <c r="CX278"/>
  <c r="CW278"/>
  <c r="CR278"/>
  <c r="CQ278"/>
  <c r="CP278"/>
  <c r="CO278"/>
  <c r="CJ278"/>
  <c r="CG278"/>
  <c r="CB278"/>
  <c r="BM278"/>
  <c r="BJ278"/>
  <c r="BH278"/>
  <c r="BE278"/>
  <c r="BD278"/>
  <c r="BC278"/>
  <c r="BB278"/>
  <c r="AT278"/>
  <c r="AR278"/>
  <c r="AL278"/>
  <c r="AJ278"/>
  <c r="AH278"/>
  <c r="AG278"/>
  <c r="AF278"/>
  <c r="AD278"/>
  <c r="AC278"/>
  <c r="X278"/>
  <c r="W278"/>
  <c r="V278"/>
  <c r="U278"/>
  <c r="P278"/>
  <c r="M278"/>
  <c r="EV277"/>
  <c r="EU277"/>
  <c r="EQ277"/>
  <c r="EE277"/>
  <c r="DI277"/>
  <c r="DE277"/>
  <c r="DC277"/>
  <c r="CW277"/>
  <c r="CJ277"/>
  <c r="CG277"/>
  <c r="CB277"/>
  <c r="CA277"/>
  <c r="BM277"/>
  <c r="BB277"/>
  <c r="AL277"/>
  <c r="AJ277"/>
  <c r="AH277"/>
  <c r="AC277"/>
  <c r="P277"/>
  <c r="M277"/>
  <c r="EV276"/>
  <c r="ES276"/>
  <c r="EN276"/>
  <c r="EH276"/>
  <c r="EG276"/>
  <c r="EE276"/>
  <c r="ED276"/>
  <c r="DS276"/>
  <c r="CD276"/>
  <c r="CC276"/>
  <c r="CB276"/>
  <c r="BY276"/>
  <c r="BX276"/>
  <c r="BU276"/>
  <c r="BT276"/>
  <c r="BH276"/>
  <c r="J276"/>
  <c r="I276"/>
  <c r="EV275"/>
  <c r="EU275"/>
  <c r="EQ275"/>
  <c r="EE275"/>
  <c r="DJ275"/>
  <c r="DI275"/>
  <c r="DE275"/>
  <c r="DC275"/>
  <c r="CW275"/>
  <c r="CJ275"/>
  <c r="CG275"/>
  <c r="CB275"/>
  <c r="CA275"/>
  <c r="BM275"/>
  <c r="BJ275"/>
  <c r="BC275"/>
  <c r="BB275"/>
  <c r="AM275"/>
  <c r="AL275"/>
  <c r="AJ275"/>
  <c r="AH275"/>
  <c r="AC275"/>
  <c r="P275"/>
  <c r="M275"/>
  <c r="EV274"/>
  <c r="ES274"/>
  <c r="ER274"/>
  <c r="EN274"/>
  <c r="EH274"/>
  <c r="EE274"/>
  <c r="EV273"/>
  <c r="EU273"/>
  <c r="EQ273"/>
  <c r="EE273"/>
  <c r="DI273"/>
  <c r="DE273"/>
  <c r="DC273"/>
  <c r="CN273"/>
  <c r="CG273"/>
  <c r="CB273"/>
  <c r="CA273"/>
  <c r="BE273"/>
  <c r="AL273"/>
  <c r="AJ273"/>
  <c r="AH273"/>
  <c r="T273"/>
  <c r="M273"/>
  <c r="EV272"/>
  <c r="ES272"/>
  <c r="EH272"/>
  <c r="CC272"/>
  <c r="CB272"/>
  <c r="BY272"/>
  <c r="EV271"/>
  <c r="EE271"/>
  <c r="DC271"/>
  <c r="DA271"/>
  <c r="CW271"/>
  <c r="CG271"/>
  <c r="CB271"/>
  <c r="BM271"/>
  <c r="BC271"/>
  <c r="AH271"/>
  <c r="AF271"/>
  <c r="AC271"/>
  <c r="M271"/>
  <c r="EV270"/>
  <c r="EU270"/>
  <c r="EQ270"/>
  <c r="EE270"/>
  <c r="DX270"/>
  <c r="DW270"/>
  <c r="DJ270"/>
  <c r="DI270"/>
  <c r="DE270"/>
  <c r="DC270"/>
  <c r="DB270"/>
  <c r="DA270"/>
  <c r="CX270"/>
  <c r="CW270"/>
  <c r="CR270"/>
  <c r="CQ270"/>
  <c r="CP270"/>
  <c r="CO270"/>
  <c r="CJ270"/>
  <c r="CG270"/>
  <c r="CB270"/>
  <c r="CA270"/>
  <c r="BM270"/>
  <c r="BJ270"/>
  <c r="BE270"/>
  <c r="BD270"/>
  <c r="BC270"/>
  <c r="BB270"/>
  <c r="AW270"/>
  <c r="AV270"/>
  <c r="AM270"/>
  <c r="AL270"/>
  <c r="AJ270"/>
  <c r="AH270"/>
  <c r="AG270"/>
  <c r="AF270"/>
  <c r="AD270"/>
  <c r="AC270"/>
  <c r="X270"/>
  <c r="W270"/>
  <c r="V270"/>
  <c r="U270"/>
  <c r="P270"/>
  <c r="M270"/>
  <c r="EV269"/>
  <c r="ES269"/>
  <c r="EN269"/>
  <c r="EI269"/>
  <c r="EH269"/>
  <c r="EG269"/>
  <c r="EE269"/>
  <c r="ED269"/>
  <c r="DD269"/>
  <c r="CD269"/>
  <c r="CC269"/>
  <c r="CB269"/>
  <c r="BY269"/>
  <c r="BX269"/>
  <c r="BV269"/>
  <c r="BU269"/>
  <c r="BT269"/>
  <c r="BH269"/>
  <c r="AI269"/>
  <c r="J269"/>
  <c r="I269"/>
  <c r="EV268"/>
  <c r="EN268"/>
  <c r="EI268"/>
  <c r="EH268"/>
  <c r="EG268"/>
  <c r="EE268"/>
  <c r="ED268"/>
  <c r="CD268"/>
  <c r="CC268"/>
  <c r="CB268"/>
  <c r="BX268"/>
  <c r="BV268"/>
  <c r="BU268"/>
  <c r="BT268"/>
  <c r="BH268"/>
  <c r="J268"/>
  <c r="I268"/>
  <c r="EV267"/>
  <c r="EQ267"/>
  <c r="EE267"/>
  <c r="DX267"/>
  <c r="DW267"/>
  <c r="DI267"/>
  <c r="DE267"/>
  <c r="DC267"/>
  <c r="DB267"/>
  <c r="DA267"/>
  <c r="CX267"/>
  <c r="CW267"/>
  <c r="CR267"/>
  <c r="CQ267"/>
  <c r="CP267"/>
  <c r="CO267"/>
  <c r="CJ267"/>
  <c r="CG267"/>
  <c r="CB267"/>
  <c r="BM267"/>
  <c r="BJ267"/>
  <c r="BH267"/>
  <c r="BE267"/>
  <c r="BD267"/>
  <c r="BC267"/>
  <c r="BB267"/>
  <c r="AW267"/>
  <c r="AV267"/>
  <c r="AL267"/>
  <c r="AJ267"/>
  <c r="AH267"/>
  <c r="AG267"/>
  <c r="AF267"/>
  <c r="AD267"/>
  <c r="AC267"/>
  <c r="X267"/>
  <c r="W267"/>
  <c r="V267"/>
  <c r="U267"/>
  <c r="P267"/>
  <c r="M267"/>
  <c r="EV266"/>
  <c r="ES266"/>
  <c r="EI266"/>
  <c r="EG266"/>
  <c r="EE266"/>
  <c r="ED266"/>
  <c r="CD266"/>
  <c r="CC266"/>
  <c r="CB266"/>
  <c r="BY266"/>
  <c r="BV266"/>
  <c r="BT266"/>
  <c r="BH266"/>
  <c r="J266"/>
  <c r="I266"/>
  <c r="EV265"/>
  <c r="EQ265"/>
  <c r="EE265"/>
  <c r="DI265"/>
  <c r="DE265"/>
  <c r="DC265"/>
  <c r="CJ265"/>
  <c r="CG265"/>
  <c r="CB265"/>
  <c r="BM265"/>
  <c r="BC265"/>
  <c r="BB265"/>
  <c r="AL265"/>
  <c r="AJ265"/>
  <c r="AH265"/>
  <c r="P265"/>
  <c r="M265"/>
  <c r="EV264"/>
  <c r="EE264"/>
  <c r="DE264"/>
  <c r="DC264"/>
  <c r="CB264"/>
  <c r="AJ264"/>
  <c r="AH264"/>
  <c r="EV263"/>
  <c r="EG263"/>
  <c r="EE263"/>
  <c r="DS263"/>
  <c r="CC263"/>
  <c r="CB263"/>
  <c r="BY263"/>
  <c r="BU263"/>
  <c r="BT263"/>
  <c r="BH263"/>
  <c r="I263"/>
  <c r="EV262"/>
  <c r="EU262"/>
  <c r="EQ262"/>
  <c r="EE262"/>
  <c r="DZ262"/>
  <c r="DY262"/>
  <c r="DP262"/>
  <c r="DJ262"/>
  <c r="DI262"/>
  <c r="DE262"/>
  <c r="DC262"/>
  <c r="DB262"/>
  <c r="DA262"/>
  <c r="CX262"/>
  <c r="CW262"/>
  <c r="CR262"/>
  <c r="CQ262"/>
  <c r="CP262"/>
  <c r="CO262"/>
  <c r="CJ262"/>
  <c r="CG262"/>
  <c r="CB262"/>
  <c r="CA262"/>
  <c r="BM262"/>
  <c r="BL262"/>
  <c r="BJ262"/>
  <c r="BC262"/>
  <c r="AY262"/>
  <c r="AX262"/>
  <c r="AR262"/>
  <c r="AM262"/>
  <c r="AL262"/>
  <c r="AJ262"/>
  <c r="AH262"/>
  <c r="AG262"/>
  <c r="AF262"/>
  <c r="AD262"/>
  <c r="AC262"/>
  <c r="X262"/>
  <c r="W262"/>
  <c r="V262"/>
  <c r="U262"/>
  <c r="P262"/>
  <c r="M262"/>
  <c r="EV261"/>
  <c r="EU261"/>
  <c r="EQ261"/>
  <c r="EE261"/>
  <c r="DI261"/>
  <c r="DE261"/>
  <c r="DC261"/>
  <c r="CX261"/>
  <c r="CW261"/>
  <c r="CJ261"/>
  <c r="CG261"/>
  <c r="CB261"/>
  <c r="CA261"/>
  <c r="BM261"/>
  <c r="BH261"/>
  <c r="BB261"/>
  <c r="AL261"/>
  <c r="AJ261"/>
  <c r="AH261"/>
  <c r="AD261"/>
  <c r="AC261"/>
  <c r="P261"/>
  <c r="M261"/>
  <c r="EV260"/>
  <c r="DI260"/>
  <c r="CB260"/>
  <c r="AL260"/>
  <c r="EV259"/>
  <c r="EU259"/>
  <c r="EQ259"/>
  <c r="EE259"/>
  <c r="DU259"/>
  <c r="DR259"/>
  <c r="DI259"/>
  <c r="DE259"/>
  <c r="DC259"/>
  <c r="CJ259"/>
  <c r="CG259"/>
  <c r="CB259"/>
  <c r="CA259"/>
  <c r="BN259"/>
  <c r="BM259"/>
  <c r="BE259"/>
  <c r="BB259"/>
  <c r="AT259"/>
  <c r="AL259"/>
  <c r="AJ259"/>
  <c r="AH259"/>
  <c r="P259"/>
  <c r="M259"/>
  <c r="EV258"/>
  <c r="EU258"/>
  <c r="EQ258"/>
  <c r="EE258"/>
  <c r="DR258"/>
  <c r="DJ258"/>
  <c r="DI258"/>
  <c r="DE258"/>
  <c r="DC258"/>
  <c r="CX258"/>
  <c r="CW258"/>
  <c r="CJ258"/>
  <c r="CG258"/>
  <c r="CB258"/>
  <c r="CA258"/>
  <c r="BM258"/>
  <c r="BE258"/>
  <c r="BD258"/>
  <c r="BC258"/>
  <c r="AM258"/>
  <c r="AL258"/>
  <c r="AJ258"/>
  <c r="AH258"/>
  <c r="AD258"/>
  <c r="AC258"/>
  <c r="P258"/>
  <c r="M258"/>
  <c r="EV257"/>
  <c r="EQ257"/>
  <c r="EE257"/>
  <c r="DR257"/>
  <c r="DI257"/>
  <c r="DE257"/>
  <c r="DC257"/>
  <c r="DB257"/>
  <c r="DA257"/>
  <c r="CW257"/>
  <c r="CR257"/>
  <c r="CQ257"/>
  <c r="CP257"/>
  <c r="CO257"/>
  <c r="CJ257"/>
  <c r="CG257"/>
  <c r="CB257"/>
  <c r="BM257"/>
  <c r="BC257"/>
  <c r="BB257"/>
  <c r="AL257"/>
  <c r="AJ257"/>
  <c r="AH257"/>
  <c r="AG257"/>
  <c r="AF257"/>
  <c r="AC257"/>
  <c r="X257"/>
  <c r="W257"/>
  <c r="V257"/>
  <c r="U257"/>
  <c r="P257"/>
  <c r="M257"/>
  <c r="EV256"/>
  <c r="EU256"/>
  <c r="DE256"/>
  <c r="DC256"/>
  <c r="CX256"/>
  <c r="CW256"/>
  <c r="CJ256"/>
  <c r="CG256"/>
  <c r="CB256"/>
  <c r="CA256"/>
  <c r="BH256"/>
  <c r="BE256"/>
  <c r="BC256"/>
  <c r="AJ256"/>
  <c r="AH256"/>
  <c r="AD256"/>
  <c r="AC256"/>
  <c r="P256"/>
  <c r="M256"/>
  <c r="EV255"/>
  <c r="EQ255"/>
  <c r="EC255"/>
  <c r="DY255"/>
  <c r="DI255"/>
  <c r="DE255"/>
  <c r="DC255"/>
  <c r="DB255"/>
  <c r="DA255"/>
  <c r="CW255"/>
  <c r="CQ255"/>
  <c r="CO255"/>
  <c r="CJ255"/>
  <c r="CG255"/>
  <c r="CB255"/>
  <c r="BM255"/>
  <c r="BJ255"/>
  <c r="BH255"/>
  <c r="BG255"/>
  <c r="BF255"/>
  <c r="BE255"/>
  <c r="BD255"/>
  <c r="BC255"/>
  <c r="BB255"/>
  <c r="AX255"/>
  <c r="AL255"/>
  <c r="AJ255"/>
  <c r="AH255"/>
  <c r="AG255"/>
  <c r="AF255"/>
  <c r="AC255"/>
  <c r="W255"/>
  <c r="U255"/>
  <c r="P255"/>
  <c r="M255"/>
  <c r="EV254"/>
  <c r="EQ254"/>
  <c r="EE254"/>
  <c r="DC254"/>
  <c r="CL254"/>
  <c r="CK254"/>
  <c r="CB254"/>
  <c r="BE254"/>
  <c r="BD254"/>
  <c r="BC254"/>
  <c r="BB254"/>
  <c r="AH254"/>
  <c r="R254"/>
  <c r="Q254"/>
  <c r="EV253"/>
  <c r="EU253"/>
  <c r="EQ253"/>
  <c r="EE253"/>
  <c r="DK253"/>
  <c r="DI253"/>
  <c r="DC253"/>
  <c r="DB253"/>
  <c r="DA253"/>
  <c r="CX253"/>
  <c r="CW253"/>
  <c r="CR253"/>
  <c r="CQ253"/>
  <c r="CP253"/>
  <c r="CO253"/>
  <c r="CJ253"/>
  <c r="CG253"/>
  <c r="CB253"/>
  <c r="CA253"/>
  <c r="BM253"/>
  <c r="BD253"/>
  <c r="AN253"/>
  <c r="AL253"/>
  <c r="AH253"/>
  <c r="AG253"/>
  <c r="AF253"/>
  <c r="AD253"/>
  <c r="AC253"/>
  <c r="X253"/>
  <c r="W253"/>
  <c r="V253"/>
  <c r="U253"/>
  <c r="P253"/>
  <c r="M253"/>
  <c r="EV252"/>
  <c r="EU252"/>
  <c r="EQ252"/>
  <c r="EE252"/>
  <c r="EA252"/>
  <c r="DI252"/>
  <c r="DE252"/>
  <c r="DC252"/>
  <c r="CG252"/>
  <c r="CB252"/>
  <c r="CA252"/>
  <c r="BB252"/>
  <c r="AZ252"/>
  <c r="AL252"/>
  <c r="AJ252"/>
  <c r="AH252"/>
  <c r="M252"/>
  <c r="EV251"/>
  <c r="EU251"/>
  <c r="EQ251"/>
  <c r="EE251"/>
  <c r="DR251"/>
  <c r="DI251"/>
  <c r="DE251"/>
  <c r="DC251"/>
  <c r="DB251"/>
  <c r="DA251"/>
  <c r="CX251"/>
  <c r="CW251"/>
  <c r="CQ251"/>
  <c r="CJ251"/>
  <c r="CG251"/>
  <c r="CB251"/>
  <c r="CA251"/>
  <c r="BP251"/>
  <c r="BM251"/>
  <c r="BH251"/>
  <c r="BE251"/>
  <c r="BC251"/>
  <c r="BB251"/>
  <c r="AL251"/>
  <c r="AJ251"/>
  <c r="AH251"/>
  <c r="AG251"/>
  <c r="AF251"/>
  <c r="AD251"/>
  <c r="AC251"/>
  <c r="W251"/>
  <c r="P251"/>
  <c r="M251"/>
  <c r="EV250"/>
  <c r="EU250"/>
  <c r="EQ250"/>
  <c r="EE250"/>
  <c r="DI250"/>
  <c r="DE250"/>
  <c r="DC250"/>
  <c r="DB250"/>
  <c r="DA250"/>
  <c r="CW250"/>
  <c r="CR250"/>
  <c r="CQ250"/>
  <c r="CJ250"/>
  <c r="CG250"/>
  <c r="CB250"/>
  <c r="CA250"/>
  <c r="AL250"/>
  <c r="AJ250"/>
  <c r="AH250"/>
  <c r="AG250"/>
  <c r="AF250"/>
  <c r="AC250"/>
  <c r="X250"/>
  <c r="W250"/>
  <c r="P250"/>
  <c r="M250"/>
  <c r="EV249"/>
  <c r="EU249"/>
  <c r="EQ249"/>
  <c r="EE249"/>
  <c r="DI249"/>
  <c r="DE249"/>
  <c r="DC249"/>
  <c r="CX249"/>
  <c r="CW249"/>
  <c r="CJ249"/>
  <c r="CG249"/>
  <c r="CB249"/>
  <c r="CA249"/>
  <c r="BD249"/>
  <c r="AL249"/>
  <c r="AJ249"/>
  <c r="AH249"/>
  <c r="AD249"/>
  <c r="AC249"/>
  <c r="P249"/>
  <c r="M249"/>
  <c r="EV248"/>
  <c r="EQ248"/>
  <c r="EE248"/>
  <c r="DI248"/>
  <c r="DE248"/>
  <c r="DC248"/>
  <c r="CW248"/>
  <c r="CJ248"/>
  <c r="CG248"/>
  <c r="CB248"/>
  <c r="BM248"/>
  <c r="BJ248"/>
  <c r="BE248"/>
  <c r="BD248"/>
  <c r="AL248"/>
  <c r="AJ248"/>
  <c r="AH248"/>
  <c r="AC248"/>
  <c r="P248"/>
  <c r="M248"/>
  <c r="EV247"/>
  <c r="EQ247"/>
  <c r="EE247"/>
  <c r="DX247"/>
  <c r="DW247"/>
  <c r="DP247"/>
  <c r="DN247"/>
  <c r="DJ247"/>
  <c r="DE247"/>
  <c r="DC247"/>
  <c r="DB247"/>
  <c r="DA247"/>
  <c r="CX247"/>
  <c r="CW247"/>
  <c r="CR247"/>
  <c r="CQ247"/>
  <c r="CP247"/>
  <c r="CO247"/>
  <c r="CJ247"/>
  <c r="CG247"/>
  <c r="CB247"/>
  <c r="BM247"/>
  <c r="BJ247"/>
  <c r="BH247"/>
  <c r="BE247"/>
  <c r="BD247"/>
  <c r="BB247"/>
  <c r="AW247"/>
  <c r="AV247"/>
  <c r="AR247"/>
  <c r="AM247"/>
  <c r="AJ247"/>
  <c r="AH247"/>
  <c r="AG247"/>
  <c r="AF247"/>
  <c r="AD247"/>
  <c r="AC247"/>
  <c r="X247"/>
  <c r="W247"/>
  <c r="V247"/>
  <c r="U247"/>
  <c r="P247"/>
  <c r="M247"/>
  <c r="EV246"/>
  <c r="EU246"/>
  <c r="EQ246"/>
  <c r="EE246"/>
  <c r="DJ246"/>
  <c r="DI246"/>
  <c r="DG246"/>
  <c r="DE246"/>
  <c r="DC246"/>
  <c r="DB246"/>
  <c r="CX246"/>
  <c r="CW246"/>
  <c r="CP246"/>
  <c r="CJ246"/>
  <c r="CG246"/>
  <c r="CB246"/>
  <c r="CA246"/>
  <c r="BM246"/>
  <c r="BE246"/>
  <c r="AM246"/>
  <c r="AL246"/>
  <c r="AJ246"/>
  <c r="AH246"/>
  <c r="AG246"/>
  <c r="AD246"/>
  <c r="AC246"/>
  <c r="V246"/>
  <c r="P246"/>
  <c r="M246"/>
  <c r="EV244"/>
  <c r="EQ244"/>
  <c r="EE244"/>
  <c r="DZ244"/>
  <c r="DR244"/>
  <c r="DI244"/>
  <c r="DE244"/>
  <c r="DC244"/>
  <c r="DB244"/>
  <c r="DA244"/>
  <c r="CX244"/>
  <c r="CW244"/>
  <c r="CR244"/>
  <c r="CQ244"/>
  <c r="CO244"/>
  <c r="CJ244"/>
  <c r="CG244"/>
  <c r="CB244"/>
  <c r="BM244"/>
  <c r="BE244"/>
  <c r="BD244"/>
  <c r="BB244"/>
  <c r="AY244"/>
  <c r="AL244"/>
  <c r="AJ244"/>
  <c r="AH244"/>
  <c r="AG244"/>
  <c r="AF244"/>
  <c r="AD244"/>
  <c r="AC244"/>
  <c r="X244"/>
  <c r="W244"/>
  <c r="U244"/>
  <c r="P244"/>
  <c r="M244"/>
  <c r="EV243"/>
  <c r="EC243"/>
  <c r="DE243"/>
  <c r="DC243"/>
  <c r="DB243"/>
  <c r="DA243"/>
  <c r="CW243"/>
  <c r="CQ243"/>
  <c r="CO243"/>
  <c r="CG243"/>
  <c r="CB243"/>
  <c r="BM243"/>
  <c r="BL243"/>
  <c r="BJ243"/>
  <c r="BH243"/>
  <c r="BG243"/>
  <c r="BF243"/>
  <c r="BD243"/>
  <c r="BC243"/>
  <c r="AJ243"/>
  <c r="AH243"/>
  <c r="AG243"/>
  <c r="AF243"/>
  <c r="AC243"/>
  <c r="W243"/>
  <c r="U243"/>
  <c r="M243"/>
  <c r="EV242"/>
  <c r="EQ242"/>
  <c r="EE242"/>
  <c r="DI242"/>
  <c r="DE242"/>
  <c r="DC242"/>
  <c r="CX242"/>
  <c r="CW242"/>
  <c r="CJ242"/>
  <c r="CG242"/>
  <c r="CB242"/>
  <c r="BM242"/>
  <c r="BJ242"/>
  <c r="BH242"/>
  <c r="BD242"/>
  <c r="BC242"/>
  <c r="BB242"/>
  <c r="AL242"/>
  <c r="AJ242"/>
  <c r="AH242"/>
  <c r="AD242"/>
  <c r="AC242"/>
  <c r="P242"/>
  <c r="M242"/>
  <c r="EV241"/>
  <c r="ES241"/>
  <c r="EN241"/>
  <c r="EG241"/>
  <c r="EE241"/>
  <c r="ED241"/>
  <c r="CC241"/>
  <c r="CB241"/>
  <c r="BY241"/>
  <c r="BX241"/>
  <c r="BT241"/>
  <c r="BH241"/>
  <c r="I241"/>
  <c r="EV240"/>
  <c r="EU240"/>
  <c r="EQ240"/>
  <c r="EC240"/>
  <c r="DM240"/>
  <c r="DI240"/>
  <c r="DC240"/>
  <c r="CW240"/>
  <c r="CJ240"/>
  <c r="CG240"/>
  <c r="CB240"/>
  <c r="CA240"/>
  <c r="BM240"/>
  <c r="BH240"/>
  <c r="BG240"/>
  <c r="BF240"/>
  <c r="BD240"/>
  <c r="BC240"/>
  <c r="BB240"/>
  <c r="AP240"/>
  <c r="AL240"/>
  <c r="AH240"/>
  <c r="AC240"/>
  <c r="P240"/>
  <c r="M240"/>
  <c r="EV239"/>
  <c r="EU239"/>
  <c r="CB239"/>
  <c r="CA239"/>
  <c r="BH239"/>
  <c r="BC239"/>
  <c r="EV238"/>
  <c r="ES238"/>
  <c r="EE238"/>
  <c r="CV238"/>
  <c r="CU238"/>
  <c r="CC238"/>
  <c r="CB238"/>
  <c r="BY238"/>
  <c r="BU238"/>
  <c r="BT238"/>
  <c r="BH238"/>
  <c r="AK238"/>
  <c r="AB238"/>
  <c r="AA238"/>
  <c r="EV237"/>
  <c r="DK237"/>
  <c r="DI237"/>
  <c r="DC237"/>
  <c r="CB237"/>
  <c r="BD237"/>
  <c r="BC237"/>
  <c r="AN237"/>
  <c r="AL237"/>
  <c r="AH237"/>
  <c r="EV236"/>
  <c r="EN236"/>
  <c r="EH236"/>
  <c r="EG236"/>
  <c r="EE236"/>
  <c r="CD236"/>
  <c r="CC236"/>
  <c r="CB236"/>
  <c r="BX236"/>
  <c r="BU236"/>
  <c r="BT236"/>
  <c r="J236"/>
  <c r="I236"/>
  <c r="EV235"/>
  <c r="ES235"/>
  <c r="EH235"/>
  <c r="CY235"/>
  <c r="CC235"/>
  <c r="CB235"/>
  <c r="BY235"/>
  <c r="BH235"/>
  <c r="AE235"/>
  <c r="EV234"/>
  <c r="EQ234"/>
  <c r="EE234"/>
  <c r="ED234"/>
  <c r="EC234"/>
  <c r="DI234"/>
  <c r="DE234"/>
  <c r="DC234"/>
  <c r="CX234"/>
  <c r="CW234"/>
  <c r="CJ234"/>
  <c r="CG234"/>
  <c r="CB234"/>
  <c r="BM234"/>
  <c r="BJ234"/>
  <c r="BH234"/>
  <c r="BG234"/>
  <c r="BF234"/>
  <c r="BE234"/>
  <c r="BD234"/>
  <c r="BC234"/>
  <c r="BB234"/>
  <c r="AL234"/>
  <c r="AJ234"/>
  <c r="AH234"/>
  <c r="AD234"/>
  <c r="AC234"/>
  <c r="P234"/>
  <c r="M234"/>
  <c r="EV233"/>
  <c r="EQ233"/>
  <c r="EE233"/>
  <c r="DP233"/>
  <c r="DI233"/>
  <c r="DE233"/>
  <c r="DC233"/>
  <c r="DA233"/>
  <c r="CQ233"/>
  <c r="CO233"/>
  <c r="CN233"/>
  <c r="CJ233"/>
  <c r="CG233"/>
  <c r="CB233"/>
  <c r="BM233"/>
  <c r="BJ233"/>
  <c r="BH233"/>
  <c r="BE233"/>
  <c r="BD233"/>
  <c r="BC233"/>
  <c r="BB233"/>
  <c r="AR233"/>
  <c r="AL233"/>
  <c r="AJ233"/>
  <c r="AH233"/>
  <c r="AF233"/>
  <c r="W233"/>
  <c r="U233"/>
  <c r="T233"/>
  <c r="P233"/>
  <c r="M233"/>
  <c r="EV232"/>
  <c r="EU232"/>
  <c r="EQ232"/>
  <c r="EE232"/>
  <c r="DK232"/>
  <c r="DI232"/>
  <c r="DC232"/>
  <c r="DB232"/>
  <c r="DA232"/>
  <c r="CX232"/>
  <c r="CW232"/>
  <c r="CR232"/>
  <c r="CQ232"/>
  <c r="CJ232"/>
  <c r="CG232"/>
  <c r="CB232"/>
  <c r="CA232"/>
  <c r="BM232"/>
  <c r="BJ232"/>
  <c r="BE232"/>
  <c r="BD232"/>
  <c r="AN232"/>
  <c r="AL232"/>
  <c r="AH232"/>
  <c r="AG232"/>
  <c r="AF232"/>
  <c r="AD232"/>
  <c r="AC232"/>
  <c r="X232"/>
  <c r="W232"/>
  <c r="P232"/>
  <c r="M232"/>
  <c r="EV231"/>
  <c r="EU231"/>
  <c r="EQ231"/>
  <c r="EE231"/>
  <c r="DX231"/>
  <c r="DW231"/>
  <c r="DR231"/>
  <c r="DP231"/>
  <c r="DI231"/>
  <c r="DE231"/>
  <c r="DC231"/>
  <c r="DB231"/>
  <c r="DA231"/>
  <c r="CX231"/>
  <c r="CW231"/>
  <c r="CR231"/>
  <c r="CQ231"/>
  <c r="CP231"/>
  <c r="CO231"/>
  <c r="CJ231"/>
  <c r="CG231"/>
  <c r="CB231"/>
  <c r="CA231"/>
  <c r="AW231"/>
  <c r="AV231"/>
  <c r="AR231"/>
  <c r="AL231"/>
  <c r="AJ231"/>
  <c r="AH231"/>
  <c r="AG231"/>
  <c r="AF231"/>
  <c r="AD231"/>
  <c r="AC231"/>
  <c r="X231"/>
  <c r="W231"/>
  <c r="V231"/>
  <c r="U231"/>
  <c r="P231"/>
  <c r="M231"/>
  <c r="EV230"/>
  <c r="ES230"/>
  <c r="EH230"/>
  <c r="EG230"/>
  <c r="EE230"/>
  <c r="CC230"/>
  <c r="CB230"/>
  <c r="BY230"/>
  <c r="BU230"/>
  <c r="BT230"/>
  <c r="I230"/>
  <c r="EV229"/>
  <c r="EE229"/>
  <c r="CC229"/>
  <c r="CB229"/>
  <c r="BY229"/>
  <c r="BU229"/>
  <c r="BT229"/>
  <c r="BH229"/>
  <c r="EV228"/>
  <c r="EQ228"/>
  <c r="EE228"/>
  <c r="DK228"/>
  <c r="DI228"/>
  <c r="DC228"/>
  <c r="DB228"/>
  <c r="DA228"/>
  <c r="CW228"/>
  <c r="CQ228"/>
  <c r="CO228"/>
  <c r="CJ228"/>
  <c r="CG228"/>
  <c r="CB228"/>
  <c r="BE228"/>
  <c r="BC228"/>
  <c r="AN228"/>
  <c r="AL228"/>
  <c r="AH228"/>
  <c r="AG228"/>
  <c r="AF228"/>
  <c r="AC228"/>
  <c r="W228"/>
  <c r="U228"/>
  <c r="P228"/>
  <c r="M228"/>
  <c r="EV227"/>
  <c r="EQ227"/>
  <c r="EE227"/>
  <c r="DI227"/>
  <c r="DE227"/>
  <c r="DC227"/>
  <c r="CJ227"/>
  <c r="CG227"/>
  <c r="CB227"/>
  <c r="BM227"/>
  <c r="BJ227"/>
  <c r="BH227"/>
  <c r="BE227"/>
  <c r="BC227"/>
  <c r="BB227"/>
  <c r="AL227"/>
  <c r="AJ227"/>
  <c r="AH227"/>
  <c r="P227"/>
  <c r="M227"/>
  <c r="EV226"/>
  <c r="EU226"/>
  <c r="EQ226"/>
  <c r="EE226"/>
  <c r="DE226"/>
  <c r="DC226"/>
  <c r="DB226"/>
  <c r="DA226"/>
  <c r="CX226"/>
  <c r="CW226"/>
  <c r="CR226"/>
  <c r="CQ226"/>
  <c r="CP226"/>
  <c r="CO226"/>
  <c r="CJ226"/>
  <c r="CG226"/>
  <c r="CB226"/>
  <c r="CA226"/>
  <c r="BD226"/>
  <c r="BC226"/>
  <c r="AJ226"/>
  <c r="AH226"/>
  <c r="AG226"/>
  <c r="AF226"/>
  <c r="AD226"/>
  <c r="AC226"/>
  <c r="X226"/>
  <c r="W226"/>
  <c r="V226"/>
  <c r="U226"/>
  <c r="P226"/>
  <c r="M226"/>
  <c r="EV225"/>
  <c r="EU225"/>
  <c r="EQ225"/>
  <c r="EE225"/>
  <c r="EC225"/>
  <c r="DI225"/>
  <c r="DE225"/>
  <c r="DC225"/>
  <c r="CX225"/>
  <c r="CW225"/>
  <c r="CJ225"/>
  <c r="CG225"/>
  <c r="CB225"/>
  <c r="CA225"/>
  <c r="BM225"/>
  <c r="BG225"/>
  <c r="BF225"/>
  <c r="BE225"/>
  <c r="BD225"/>
  <c r="BB225"/>
  <c r="AL225"/>
  <c r="AJ225"/>
  <c r="AH225"/>
  <c r="AD225"/>
  <c r="AC225"/>
  <c r="P225"/>
  <c r="M225"/>
  <c r="EV224"/>
  <c r="EG224"/>
  <c r="CC224"/>
  <c r="CB224"/>
  <c r="BT224"/>
  <c r="I224"/>
  <c r="EV223"/>
  <c r="EG223"/>
  <c r="EE223"/>
  <c r="CD223"/>
  <c r="CC223"/>
  <c r="CB223"/>
  <c r="BT223"/>
  <c r="J223"/>
  <c r="I223"/>
  <c r="EV222"/>
  <c r="CD222"/>
  <c r="CC222"/>
  <c r="CB222"/>
  <c r="J222"/>
  <c r="I222"/>
  <c r="EV221"/>
  <c r="ES221"/>
  <c r="EN221"/>
  <c r="EH221"/>
  <c r="EG221"/>
  <c r="EE221"/>
  <c r="ED221"/>
  <c r="CD221"/>
  <c r="CC221"/>
  <c r="CB221"/>
  <c r="BY221"/>
  <c r="BX221"/>
  <c r="BU221"/>
  <c r="BT221"/>
  <c r="BH221"/>
  <c r="J221"/>
  <c r="I221"/>
  <c r="EV220"/>
  <c r="CD220"/>
  <c r="CC220"/>
  <c r="CB220"/>
  <c r="J220"/>
  <c r="I220"/>
  <c r="EV219"/>
  <c r="DP219"/>
  <c r="DK219"/>
  <c r="DI219"/>
  <c r="CG219"/>
  <c r="CB219"/>
  <c r="AR219"/>
  <c r="AN219"/>
  <c r="AL219"/>
  <c r="M219"/>
  <c r="EV218"/>
  <c r="ES218"/>
  <c r="EN218"/>
  <c r="EG218"/>
  <c r="EE218"/>
  <c r="ED218"/>
  <c r="CD218"/>
  <c r="CC218"/>
  <c r="CB218"/>
  <c r="BY218"/>
  <c r="BX218"/>
  <c r="BT218"/>
  <c r="BH218"/>
  <c r="J218"/>
  <c r="I218"/>
  <c r="EV217"/>
  <c r="EL217"/>
  <c r="DI217"/>
  <c r="DE217"/>
  <c r="DC217"/>
  <c r="CX217"/>
  <c r="CW217"/>
  <c r="CG217"/>
  <c r="CB217"/>
  <c r="BM217"/>
  <c r="BH217"/>
  <c r="BD217"/>
  <c r="BC217"/>
  <c r="BB217"/>
  <c r="AL217"/>
  <c r="AJ217"/>
  <c r="AH217"/>
  <c r="AD217"/>
  <c r="AC217"/>
  <c r="M217"/>
  <c r="EV216"/>
  <c r="DE216"/>
  <c r="DC216"/>
  <c r="CF216"/>
  <c r="CE216"/>
  <c r="CB216"/>
  <c r="BB216"/>
  <c r="AJ216"/>
  <c r="AH216"/>
  <c r="L216"/>
  <c r="K216"/>
  <c r="EV215"/>
  <c r="DK215"/>
  <c r="DI215"/>
  <c r="CB215"/>
  <c r="BM215"/>
  <c r="AN215"/>
  <c r="AL215"/>
  <c r="EV214"/>
  <c r="EU214"/>
  <c r="EQ214"/>
  <c r="EE214"/>
  <c r="ED214"/>
  <c r="DM214"/>
  <c r="DC214"/>
  <c r="CL214"/>
  <c r="CK214"/>
  <c r="CB214"/>
  <c r="CA214"/>
  <c r="BM214"/>
  <c r="BH214"/>
  <c r="BD214"/>
  <c r="AP214"/>
  <c r="AH214"/>
  <c r="R214"/>
  <c r="Q214"/>
  <c r="EV213"/>
  <c r="EQ213"/>
  <c r="EE213"/>
  <c r="DM213"/>
  <c r="DE213"/>
  <c r="DC213"/>
  <c r="CF213"/>
  <c r="CE213"/>
  <c r="CB213"/>
  <c r="BI213"/>
  <c r="BE213"/>
  <c r="BC213"/>
  <c r="BB213"/>
  <c r="AP213"/>
  <c r="AJ213"/>
  <c r="AH213"/>
  <c r="L213"/>
  <c r="K213"/>
  <c r="EV212"/>
  <c r="EQ212"/>
  <c r="EE212"/>
  <c r="EC212"/>
  <c r="DM212"/>
  <c r="DI212"/>
  <c r="DE212"/>
  <c r="DC212"/>
  <c r="DB212"/>
  <c r="DA212"/>
  <c r="CX212"/>
  <c r="CW212"/>
  <c r="CR212"/>
  <c r="CQ212"/>
  <c r="CP212"/>
  <c r="CO212"/>
  <c r="CJ212"/>
  <c r="CG212"/>
  <c r="CB212"/>
  <c r="BM212"/>
  <c r="BG212"/>
  <c r="BF212"/>
  <c r="BE212"/>
  <c r="BD212"/>
  <c r="BB212"/>
  <c r="AP212"/>
  <c r="AL212"/>
  <c r="AJ212"/>
  <c r="AH212"/>
  <c r="AG212"/>
  <c r="AF212"/>
  <c r="AD212"/>
  <c r="AC212"/>
  <c r="X212"/>
  <c r="W212"/>
  <c r="V212"/>
  <c r="U212"/>
  <c r="P212"/>
  <c r="M212"/>
  <c r="EV211"/>
  <c r="DI211"/>
  <c r="CB211"/>
  <c r="AL211"/>
  <c r="EV210"/>
  <c r="EE210"/>
  <c r="CV210"/>
  <c r="CU210"/>
  <c r="CC210"/>
  <c r="CB210"/>
  <c r="BY210"/>
  <c r="BU210"/>
  <c r="BT210"/>
  <c r="BS210"/>
  <c r="BH210"/>
  <c r="AB210"/>
  <c r="AA210"/>
  <c r="I210"/>
  <c r="EV209"/>
  <c r="EQ209"/>
  <c r="EE209"/>
  <c r="DM209"/>
  <c r="DI209"/>
  <c r="DE209"/>
  <c r="DC209"/>
  <c r="DB209"/>
  <c r="DA209"/>
  <c r="CX209"/>
  <c r="CW209"/>
  <c r="CQ209"/>
  <c r="CO209"/>
  <c r="CJ209"/>
  <c r="CG209"/>
  <c r="CB209"/>
  <c r="BM209"/>
  <c r="BJ209"/>
  <c r="BH209"/>
  <c r="BG209"/>
  <c r="BE209"/>
  <c r="BD209"/>
  <c r="BC209"/>
  <c r="BB209"/>
  <c r="AP209"/>
  <c r="AL209"/>
  <c r="AJ209"/>
  <c r="AH209"/>
  <c r="AG209"/>
  <c r="AF209"/>
  <c r="AD209"/>
  <c r="AC209"/>
  <c r="W209"/>
  <c r="U209"/>
  <c r="P209"/>
  <c r="M209"/>
  <c r="EV208"/>
  <c r="EU208"/>
  <c r="EL208"/>
  <c r="DR208"/>
  <c r="DI208"/>
  <c r="DE208"/>
  <c r="DC208"/>
  <c r="CJ208"/>
  <c r="CG208"/>
  <c r="CB208"/>
  <c r="BM208"/>
  <c r="BL208"/>
  <c r="BJ208"/>
  <c r="BD208"/>
  <c r="BC208"/>
  <c r="BB208"/>
  <c r="AL208"/>
  <c r="AJ208"/>
  <c r="AH208"/>
  <c r="P208"/>
  <c r="M208"/>
  <c r="EV207"/>
  <c r="EQ207"/>
  <c r="EE207"/>
  <c r="DZ207"/>
  <c r="DY207"/>
  <c r="DI207"/>
  <c r="DE207"/>
  <c r="DC207"/>
  <c r="DB207"/>
  <c r="DA207"/>
  <c r="CX207"/>
  <c r="CW207"/>
  <c r="CR207"/>
  <c r="CQ207"/>
  <c r="CP207"/>
  <c r="CO207"/>
  <c r="CJ207"/>
  <c r="CG207"/>
  <c r="CB207"/>
  <c r="BM207"/>
  <c r="BJ207"/>
  <c r="BE207"/>
  <c r="BD207"/>
  <c r="BC207"/>
  <c r="BB207"/>
  <c r="AY207"/>
  <c r="AX207"/>
  <c r="AL207"/>
  <c r="AJ207"/>
  <c r="AH207"/>
  <c r="AG207"/>
  <c r="AF207"/>
  <c r="AD207"/>
  <c r="AC207"/>
  <c r="X207"/>
  <c r="W207"/>
  <c r="V207"/>
  <c r="U207"/>
  <c r="P207"/>
  <c r="M207"/>
  <c r="EV206"/>
  <c r="ES206"/>
  <c r="EE206"/>
  <c r="CV206"/>
  <c r="CU206"/>
  <c r="CC206"/>
  <c r="CB206"/>
  <c r="BY206"/>
  <c r="BU206"/>
  <c r="BT206"/>
  <c r="AK206"/>
  <c r="AB206"/>
  <c r="AA206"/>
  <c r="EV205"/>
  <c r="EU205"/>
  <c r="EQ205"/>
  <c r="EE205"/>
  <c r="DI205"/>
  <c r="DE205"/>
  <c r="DC205"/>
  <c r="CJ205"/>
  <c r="CG205"/>
  <c r="CB205"/>
  <c r="CA205"/>
  <c r="BM205"/>
  <c r="BE205"/>
  <c r="BB205"/>
  <c r="AL205"/>
  <c r="AJ205"/>
  <c r="AH205"/>
  <c r="P205"/>
  <c r="M205"/>
  <c r="EV204"/>
  <c r="EQ204"/>
  <c r="EE204"/>
  <c r="DR204"/>
  <c r="DM204"/>
  <c r="DI204"/>
  <c r="DE204"/>
  <c r="DC204"/>
  <c r="CX204"/>
  <c r="CW204"/>
  <c r="CJ204"/>
  <c r="CG204"/>
  <c r="CB204"/>
  <c r="BM204"/>
  <c r="BJ204"/>
  <c r="BH204"/>
  <c r="BG204"/>
  <c r="BE204"/>
  <c r="BD204"/>
  <c r="BC204"/>
  <c r="BB204"/>
  <c r="AP204"/>
  <c r="AL204"/>
  <c r="AJ204"/>
  <c r="AH204"/>
  <c r="AD204"/>
  <c r="AC204"/>
  <c r="P204"/>
  <c r="M204"/>
  <c r="EV203"/>
  <c r="EN203"/>
  <c r="EE203"/>
  <c r="CC203"/>
  <c r="CB203"/>
  <c r="BY203"/>
  <c r="BX203"/>
  <c r="BU203"/>
  <c r="BT203"/>
  <c r="BH203"/>
  <c r="EV202"/>
  <c r="EQ202"/>
  <c r="EE202"/>
  <c r="CC202"/>
  <c r="CB202"/>
  <c r="BY202"/>
  <c r="BT202"/>
  <c r="EV201"/>
  <c r="EQ201"/>
  <c r="EE201"/>
  <c r="DK201"/>
  <c r="DI201"/>
  <c r="DE201"/>
  <c r="DC201"/>
  <c r="DB201"/>
  <c r="DA201"/>
  <c r="CX201"/>
  <c r="CW201"/>
  <c r="CR201"/>
  <c r="CQ201"/>
  <c r="CP201"/>
  <c r="CO201"/>
  <c r="CJ201"/>
  <c r="CG201"/>
  <c r="CB201"/>
  <c r="AN201"/>
  <c r="AL201"/>
  <c r="AJ201"/>
  <c r="AH201"/>
  <c r="AG201"/>
  <c r="AF201"/>
  <c r="AD201"/>
  <c r="AC201"/>
  <c r="X201"/>
  <c r="W201"/>
  <c r="V201"/>
  <c r="U201"/>
  <c r="P201"/>
  <c r="M201"/>
  <c r="EV200"/>
  <c r="CC200"/>
  <c r="CB200"/>
  <c r="I200"/>
  <c r="EV199"/>
  <c r="EU199"/>
  <c r="EE199"/>
  <c r="DI199"/>
  <c r="DC199"/>
  <c r="CG199"/>
  <c r="CB199"/>
  <c r="CA199"/>
  <c r="BM199"/>
  <c r="BH199"/>
  <c r="BE199"/>
  <c r="BC199"/>
  <c r="BB199"/>
  <c r="AL199"/>
  <c r="AH199"/>
  <c r="M199"/>
  <c r="CB198"/>
  <c r="BH198"/>
  <c r="BC198"/>
  <c r="EV197"/>
  <c r="EU197"/>
  <c r="EQ197"/>
  <c r="EE197"/>
  <c r="DI197"/>
  <c r="DE197"/>
  <c r="DC197"/>
  <c r="DB197"/>
  <c r="CX197"/>
  <c r="CW197"/>
  <c r="CP197"/>
  <c r="CJ197"/>
  <c r="CG197"/>
  <c r="CB197"/>
  <c r="CA197"/>
  <c r="BM197"/>
  <c r="BH197"/>
  <c r="BD197"/>
  <c r="BC197"/>
  <c r="BB197"/>
  <c r="AL197"/>
  <c r="AJ197"/>
  <c r="AH197"/>
  <c r="AG197"/>
  <c r="AD197"/>
  <c r="AC197"/>
  <c r="V197"/>
  <c r="P197"/>
  <c r="M197"/>
  <c r="EV196"/>
  <c r="EU196"/>
  <c r="EL196"/>
  <c r="DI196"/>
  <c r="DE196"/>
  <c r="DC196"/>
  <c r="DB196"/>
  <c r="CJ196"/>
  <c r="CG196"/>
  <c r="CB196"/>
  <c r="BM196"/>
  <c r="BE196"/>
  <c r="BB196"/>
  <c r="AL196"/>
  <c r="AJ196"/>
  <c r="AH196"/>
  <c r="AG196"/>
  <c r="P196"/>
  <c r="M196"/>
  <c r="EV195"/>
  <c r="ET195"/>
  <c r="ES195"/>
  <c r="EN195"/>
  <c r="EH195"/>
  <c r="EG195"/>
  <c r="EE195"/>
  <c r="DS195"/>
  <c r="CD195"/>
  <c r="CC195"/>
  <c r="CB195"/>
  <c r="BZ195"/>
  <c r="BY195"/>
  <c r="BX195"/>
  <c r="BU195"/>
  <c r="BT195"/>
  <c r="J195"/>
  <c r="I195"/>
  <c r="EV194"/>
  <c r="EQ194"/>
  <c r="EE194"/>
  <c r="DJ194"/>
  <c r="DI194"/>
  <c r="DE194"/>
  <c r="DC194"/>
  <c r="DB194"/>
  <c r="DA194"/>
  <c r="CX194"/>
  <c r="CW194"/>
  <c r="CR194"/>
  <c r="CQ194"/>
  <c r="CJ194"/>
  <c r="CG194"/>
  <c r="CB194"/>
  <c r="BP194"/>
  <c r="BM194"/>
  <c r="BE194"/>
  <c r="BC194"/>
  <c r="BB194"/>
  <c r="AM194"/>
  <c r="AL194"/>
  <c r="AJ194"/>
  <c r="AH194"/>
  <c r="AG194"/>
  <c r="AF194"/>
  <c r="AD194"/>
  <c r="AC194"/>
  <c r="X194"/>
  <c r="W194"/>
  <c r="P194"/>
  <c r="M194"/>
  <c r="EV193"/>
  <c r="EU193"/>
  <c r="EQ193"/>
  <c r="EE193"/>
  <c r="EC193"/>
  <c r="DI193"/>
  <c r="DE193"/>
  <c r="DC193"/>
  <c r="DB193"/>
  <c r="DA193"/>
  <c r="CX193"/>
  <c r="CW193"/>
  <c r="CQ193"/>
  <c r="CJ193"/>
  <c r="CG193"/>
  <c r="CB193"/>
  <c r="CA193"/>
  <c r="BM193"/>
  <c r="BH193"/>
  <c r="BG193"/>
  <c r="BF193"/>
  <c r="BD193"/>
  <c r="BC193"/>
  <c r="AL193"/>
  <c r="AJ193"/>
  <c r="AH193"/>
  <c r="AG193"/>
  <c r="AF193"/>
  <c r="AD193"/>
  <c r="AC193"/>
  <c r="W193"/>
  <c r="P193"/>
  <c r="M193"/>
  <c r="EV192"/>
  <c r="DP192"/>
  <c r="DK192"/>
  <c r="DI192"/>
  <c r="DC192"/>
  <c r="CB192"/>
  <c r="AR192"/>
  <c r="AN192"/>
  <c r="AL192"/>
  <c r="AH192"/>
  <c r="EV191"/>
  <c r="EU191"/>
  <c r="EQ191"/>
  <c r="EE191"/>
  <c r="DI191"/>
  <c r="DE191"/>
  <c r="DC191"/>
  <c r="CG191"/>
  <c r="CB191"/>
  <c r="CA191"/>
  <c r="BM191"/>
  <c r="BJ191"/>
  <c r="BH191"/>
  <c r="BE191"/>
  <c r="BD191"/>
  <c r="AL191"/>
  <c r="AJ191"/>
  <c r="AH191"/>
  <c r="M191"/>
  <c r="EV190"/>
  <c r="DI190"/>
  <c r="DC190"/>
  <c r="CB190"/>
  <c r="AL190"/>
  <c r="AH190"/>
  <c r="EV189"/>
  <c r="EE189"/>
  <c r="CC189"/>
  <c r="CB189"/>
  <c r="BY189"/>
  <c r="BU189"/>
  <c r="BT189"/>
  <c r="BH189"/>
  <c r="EV188"/>
  <c r="EE188"/>
  <c r="DC188"/>
  <c r="DB188"/>
  <c r="DA188"/>
  <c r="CW188"/>
  <c r="CV188"/>
  <c r="CR188"/>
  <c r="CQ188"/>
  <c r="CP188"/>
  <c r="CO188"/>
  <c r="CJ188"/>
  <c r="CG188"/>
  <c r="CC188"/>
  <c r="CB188"/>
  <c r="BY188"/>
  <c r="BU188"/>
  <c r="BT188"/>
  <c r="BH188"/>
  <c r="BF188"/>
  <c r="AH188"/>
  <c r="AG188"/>
  <c r="AF188"/>
  <c r="AC188"/>
  <c r="AB188"/>
  <c r="X188"/>
  <c r="W188"/>
  <c r="V188"/>
  <c r="U188"/>
  <c r="P188"/>
  <c r="M188"/>
  <c r="EV187"/>
  <c r="DI187"/>
  <c r="DC187"/>
  <c r="CB187"/>
  <c r="BE187"/>
  <c r="AL187"/>
  <c r="AH187"/>
  <c r="EV186"/>
  <c r="EQ186"/>
  <c r="EE186"/>
  <c r="DP186"/>
  <c r="DI186"/>
  <c r="DE186"/>
  <c r="DC186"/>
  <c r="DB186"/>
  <c r="DA186"/>
  <c r="CX186"/>
  <c r="CW186"/>
  <c r="CR186"/>
  <c r="CQ186"/>
  <c r="CP186"/>
  <c r="CO186"/>
  <c r="CJ186"/>
  <c r="CG186"/>
  <c r="CB186"/>
  <c r="BM186"/>
  <c r="BJ186"/>
  <c r="BE186"/>
  <c r="BD186"/>
  <c r="BC186"/>
  <c r="BB186"/>
  <c r="AR186"/>
  <c r="AL186"/>
  <c r="AJ186"/>
  <c r="AH186"/>
  <c r="AG186"/>
  <c r="AF186"/>
  <c r="AD186"/>
  <c r="AC186"/>
  <c r="X186"/>
  <c r="W186"/>
  <c r="V186"/>
  <c r="U186"/>
  <c r="P186"/>
  <c r="M186"/>
  <c r="EV185"/>
  <c r="DI185"/>
  <c r="CB185"/>
  <c r="AL185"/>
  <c r="EV184"/>
  <c r="EU184"/>
  <c r="EQ184"/>
  <c r="EE184"/>
  <c r="DO184"/>
  <c r="DJ184"/>
  <c r="DI184"/>
  <c r="DE184"/>
  <c r="DC184"/>
  <c r="DB184"/>
  <c r="DA184"/>
  <c r="CW184"/>
  <c r="CR184"/>
  <c r="CQ184"/>
  <c r="CP184"/>
  <c r="CO184"/>
  <c r="CJ184"/>
  <c r="CG184"/>
  <c r="CB184"/>
  <c r="CA184"/>
  <c r="BM184"/>
  <c r="BJ184"/>
  <c r="BE184"/>
  <c r="BD184"/>
  <c r="BC184"/>
  <c r="BB184"/>
  <c r="AQ184"/>
  <c r="AM184"/>
  <c r="AL184"/>
  <c r="AJ184"/>
  <c r="AH184"/>
  <c r="AG184"/>
  <c r="AF184"/>
  <c r="AC184"/>
  <c r="X184"/>
  <c r="W184"/>
  <c r="V184"/>
  <c r="U184"/>
  <c r="P184"/>
  <c r="M184"/>
  <c r="EV183"/>
  <c r="EU183"/>
  <c r="EQ183"/>
  <c r="DK183"/>
  <c r="DI183"/>
  <c r="DC183"/>
  <c r="CW183"/>
  <c r="CG183"/>
  <c r="CB183"/>
  <c r="CA183"/>
  <c r="BM183"/>
  <c r="BD183"/>
  <c r="AN183"/>
  <c r="AL183"/>
  <c r="AH183"/>
  <c r="AC183"/>
  <c r="M183"/>
  <c r="EV182"/>
  <c r="EQ182"/>
  <c r="EE182"/>
  <c r="DI182"/>
  <c r="DE182"/>
  <c r="DC182"/>
  <c r="DB182"/>
  <c r="DA182"/>
  <c r="CW182"/>
  <c r="CP182"/>
  <c r="CO182"/>
  <c r="CJ182"/>
  <c r="CG182"/>
  <c r="CB182"/>
  <c r="AL182"/>
  <c r="AJ182"/>
  <c r="AH182"/>
  <c r="AG182"/>
  <c r="AF182"/>
  <c r="AC182"/>
  <c r="V182"/>
  <c r="U182"/>
  <c r="P182"/>
  <c r="M182"/>
  <c r="EV181"/>
  <c r="EU181"/>
  <c r="EQ181"/>
  <c r="EE181"/>
  <c r="DE181"/>
  <c r="DC181"/>
  <c r="CF181"/>
  <c r="CE181"/>
  <c r="CB181"/>
  <c r="CA181"/>
  <c r="BO181"/>
  <c r="AJ181"/>
  <c r="AH181"/>
  <c r="L181"/>
  <c r="K181"/>
  <c r="EV180"/>
  <c r="EQ180"/>
  <c r="EE180"/>
  <c r="DW180"/>
  <c r="DN180"/>
  <c r="DJ180"/>
  <c r="DI180"/>
  <c r="DE180"/>
  <c r="DC180"/>
  <c r="DB180"/>
  <c r="DA180"/>
  <c r="CW180"/>
  <c r="CR180"/>
  <c r="CQ180"/>
  <c r="CP180"/>
  <c r="CO180"/>
  <c r="CJ180"/>
  <c r="CG180"/>
  <c r="CB180"/>
  <c r="BM180"/>
  <c r="BL180"/>
  <c r="BE180"/>
  <c r="BB180"/>
  <c r="AV180"/>
  <c r="AM180"/>
  <c r="AL180"/>
  <c r="AJ180"/>
  <c r="AH180"/>
  <c r="AG180"/>
  <c r="AF180"/>
  <c r="AC180"/>
  <c r="X180"/>
  <c r="W180"/>
  <c r="V180"/>
  <c r="U180"/>
  <c r="P180"/>
  <c r="M180"/>
  <c r="EV179"/>
  <c r="EU179"/>
  <c r="EQ179"/>
  <c r="EE179"/>
  <c r="DZ179"/>
  <c r="DP179"/>
  <c r="DK179"/>
  <c r="DI179"/>
  <c r="DC179"/>
  <c r="DB179"/>
  <c r="DA179"/>
  <c r="CX179"/>
  <c r="CW179"/>
  <c r="CR179"/>
  <c r="CQ179"/>
  <c r="CO179"/>
  <c r="CJ179"/>
  <c r="CG179"/>
  <c r="CB179"/>
  <c r="CA179"/>
  <c r="BM179"/>
  <c r="BL179"/>
  <c r="BE179"/>
  <c r="BD179"/>
  <c r="BB179"/>
  <c r="AY179"/>
  <c r="AR179"/>
  <c r="AN179"/>
  <c r="AL179"/>
  <c r="AH179"/>
  <c r="AG179"/>
  <c r="AF179"/>
  <c r="AD179"/>
  <c r="AC179"/>
  <c r="X179"/>
  <c r="W179"/>
  <c r="U179"/>
  <c r="P179"/>
  <c r="M179"/>
  <c r="EV178"/>
  <c r="EQ178"/>
  <c r="EE178"/>
  <c r="EC178"/>
  <c r="DR178"/>
  <c r="DJ178"/>
  <c r="DI178"/>
  <c r="DE178"/>
  <c r="DC178"/>
  <c r="DB178"/>
  <c r="DA178"/>
  <c r="CX178"/>
  <c r="CW178"/>
  <c r="CS178"/>
  <c r="CR178"/>
  <c r="CQ178"/>
  <c r="CP178"/>
  <c r="CO178"/>
  <c r="CJ178"/>
  <c r="CG178"/>
  <c r="CB178"/>
  <c r="BM178"/>
  <c r="BJ178"/>
  <c r="BG178"/>
  <c r="BF178"/>
  <c r="BE178"/>
  <c r="BC178"/>
  <c r="BB178"/>
  <c r="AM178"/>
  <c r="AL178"/>
  <c r="AJ178"/>
  <c r="AH178"/>
  <c r="AG178"/>
  <c r="AF178"/>
  <c r="AD178"/>
  <c r="AC178"/>
  <c r="Y178"/>
  <c r="X178"/>
  <c r="W178"/>
  <c r="V178"/>
  <c r="U178"/>
  <c r="P178"/>
  <c r="M178"/>
  <c r="EV177"/>
  <c r="EE177"/>
  <c r="CC177"/>
  <c r="CB177"/>
  <c r="BY177"/>
  <c r="BU177"/>
  <c r="BT177"/>
  <c r="BH177"/>
  <c r="AK177"/>
  <c r="EV176"/>
  <c r="ES176"/>
  <c r="EQ176"/>
  <c r="EE176"/>
  <c r="DR176"/>
  <c r="DJ176"/>
  <c r="DI176"/>
  <c r="DE176"/>
  <c r="DC176"/>
  <c r="DB176"/>
  <c r="DA176"/>
  <c r="CX176"/>
  <c r="CW176"/>
  <c r="CR176"/>
  <c r="CQ176"/>
  <c r="CP176"/>
  <c r="CO176"/>
  <c r="CJ176"/>
  <c r="CG176"/>
  <c r="CB176"/>
  <c r="BY176"/>
  <c r="BM176"/>
  <c r="BD176"/>
  <c r="AM176"/>
  <c r="AL176"/>
  <c r="AJ176"/>
  <c r="AH176"/>
  <c r="AG176"/>
  <c r="AF176"/>
  <c r="AD176"/>
  <c r="AC176"/>
  <c r="X176"/>
  <c r="W176"/>
  <c r="V176"/>
  <c r="U176"/>
  <c r="P176"/>
  <c r="M176"/>
  <c r="EV175"/>
  <c r="DC175"/>
  <c r="CI175"/>
  <c r="CH175"/>
  <c r="CB175"/>
  <c r="AH175"/>
  <c r="O175"/>
  <c r="N175"/>
  <c r="EV174"/>
  <c r="EQ174"/>
  <c r="EE174"/>
  <c r="DO174"/>
  <c r="DM174"/>
  <c r="DI174"/>
  <c r="DE174"/>
  <c r="DC174"/>
  <c r="DB174"/>
  <c r="DA174"/>
  <c r="CX174"/>
  <c r="CW174"/>
  <c r="CR174"/>
  <c r="CQ174"/>
  <c r="CP174"/>
  <c r="CO174"/>
  <c r="CJ174"/>
  <c r="CG174"/>
  <c r="CB174"/>
  <c r="AQ174"/>
  <c r="AP174"/>
  <c r="AL174"/>
  <c r="AJ174"/>
  <c r="AH174"/>
  <c r="AG174"/>
  <c r="AF174"/>
  <c r="AD174"/>
  <c r="AC174"/>
  <c r="X174"/>
  <c r="W174"/>
  <c r="V174"/>
  <c r="U174"/>
  <c r="P174"/>
  <c r="M174"/>
  <c r="EV173"/>
  <c r="EE173"/>
  <c r="CY173"/>
  <c r="CC173"/>
  <c r="CB173"/>
  <c r="BT173"/>
  <c r="AE173"/>
  <c r="EV172"/>
  <c r="DA172"/>
  <c r="CB172"/>
  <c r="BM172"/>
  <c r="BH172"/>
  <c r="AF172"/>
  <c r="EV171"/>
  <c r="DI171"/>
  <c r="DC171"/>
  <c r="CB171"/>
  <c r="AL171"/>
  <c r="AH171"/>
  <c r="EV170"/>
  <c r="EE170"/>
  <c r="CC170"/>
  <c r="CB170"/>
  <c r="BY170"/>
  <c r="BT170"/>
  <c r="EV169"/>
  <c r="EG169"/>
  <c r="EE169"/>
  <c r="CD169"/>
  <c r="CC169"/>
  <c r="CB169"/>
  <c r="BT169"/>
  <c r="J169"/>
  <c r="I169"/>
  <c r="EV168"/>
  <c r="EU168"/>
  <c r="EQ168"/>
  <c r="EE168"/>
  <c r="DE168"/>
  <c r="DC168"/>
  <c r="CJ168"/>
  <c r="CG168"/>
  <c r="CB168"/>
  <c r="CA168"/>
  <c r="BM168"/>
  <c r="BH168"/>
  <c r="BE168"/>
  <c r="BD168"/>
  <c r="BC168"/>
  <c r="BB168"/>
  <c r="AJ168"/>
  <c r="AH168"/>
  <c r="P168"/>
  <c r="M168"/>
  <c r="EV167"/>
  <c r="EQ167"/>
  <c r="EE167"/>
  <c r="DY167"/>
  <c r="DW167"/>
  <c r="DI167"/>
  <c r="DE167"/>
  <c r="DC167"/>
  <c r="DB167"/>
  <c r="DA167"/>
  <c r="CX167"/>
  <c r="CW167"/>
  <c r="CS167"/>
  <c r="CR167"/>
  <c r="CQ167"/>
  <c r="CP167"/>
  <c r="CO167"/>
  <c r="CJ167"/>
  <c r="CG167"/>
  <c r="CB167"/>
  <c r="AX167"/>
  <c r="AV167"/>
  <c r="AL167"/>
  <c r="AJ167"/>
  <c r="AH167"/>
  <c r="AG167"/>
  <c r="AF167"/>
  <c r="AD167"/>
  <c r="AC167"/>
  <c r="Y167"/>
  <c r="X167"/>
  <c r="W167"/>
  <c r="V167"/>
  <c r="U167"/>
  <c r="P167"/>
  <c r="M167"/>
  <c r="EV166"/>
  <c r="EQ166"/>
  <c r="EE166"/>
  <c r="DR166"/>
  <c r="DM166"/>
  <c r="DJ166"/>
  <c r="DI166"/>
  <c r="DE166"/>
  <c r="DC166"/>
  <c r="CW166"/>
  <c r="CN166"/>
  <c r="CJ166"/>
  <c r="CG166"/>
  <c r="CB166"/>
  <c r="AP166"/>
  <c r="AM166"/>
  <c r="AL166"/>
  <c r="AJ166"/>
  <c r="AH166"/>
  <c r="AC166"/>
  <c r="T166"/>
  <c r="P166"/>
  <c r="M166"/>
  <c r="EV165"/>
  <c r="ES165"/>
  <c r="EN165"/>
  <c r="EG165"/>
  <c r="EE165"/>
  <c r="DD165"/>
  <c r="CD165"/>
  <c r="CC165"/>
  <c r="CB165"/>
  <c r="BY165"/>
  <c r="BX165"/>
  <c r="BT165"/>
  <c r="AI165"/>
  <c r="J165"/>
  <c r="I165"/>
  <c r="EV164"/>
  <c r="EE164"/>
  <c r="CY164"/>
  <c r="CC164"/>
  <c r="CB164"/>
  <c r="BZ164"/>
  <c r="BY164"/>
  <c r="BU164"/>
  <c r="BT164"/>
  <c r="BH164"/>
  <c r="AK164"/>
  <c r="AE164"/>
  <c r="EV163"/>
  <c r="EU163"/>
  <c r="EQ163"/>
  <c r="DK163"/>
  <c r="DI163"/>
  <c r="DG163"/>
  <c r="DC163"/>
  <c r="DB163"/>
  <c r="DA163"/>
  <c r="CX163"/>
  <c r="CW163"/>
  <c r="CR163"/>
  <c r="CQ163"/>
  <c r="CO163"/>
  <c r="CJ163"/>
  <c r="CG163"/>
  <c r="CB163"/>
  <c r="CA163"/>
  <c r="BE163"/>
  <c r="AN163"/>
  <c r="AL163"/>
  <c r="AH163"/>
  <c r="AG163"/>
  <c r="AF163"/>
  <c r="AD163"/>
  <c r="AC163"/>
  <c r="X163"/>
  <c r="W163"/>
  <c r="U163"/>
  <c r="P163"/>
  <c r="M163"/>
  <c r="EV162"/>
  <c r="ES162"/>
  <c r="EN162"/>
  <c r="EK162"/>
  <c r="EH162"/>
  <c r="EG162"/>
  <c r="EE162"/>
  <c r="ED162"/>
  <c r="CD162"/>
  <c r="CC162"/>
  <c r="CB162"/>
  <c r="BY162"/>
  <c r="BX162"/>
  <c r="BW162"/>
  <c r="BU162"/>
  <c r="BT162"/>
  <c r="BH162"/>
  <c r="J162"/>
  <c r="I162"/>
  <c r="EV161"/>
  <c r="EU161"/>
  <c r="EQ161"/>
  <c r="EE161"/>
  <c r="DZ161"/>
  <c r="DY161"/>
  <c r="DW161"/>
  <c r="DP161"/>
  <c r="DI161"/>
  <c r="DE161"/>
  <c r="DC161"/>
  <c r="DB161"/>
  <c r="DA161"/>
  <c r="CX161"/>
  <c r="CW161"/>
  <c r="CR161"/>
  <c r="CQ161"/>
  <c r="CP161"/>
  <c r="CO161"/>
  <c r="CJ161"/>
  <c r="CG161"/>
  <c r="CB161"/>
  <c r="CA161"/>
  <c r="BM161"/>
  <c r="BH161"/>
  <c r="BD161"/>
  <c r="BB161"/>
  <c r="AY161"/>
  <c r="AX161"/>
  <c r="AV161"/>
  <c r="AR161"/>
  <c r="AL161"/>
  <c r="AJ161"/>
  <c r="AH161"/>
  <c r="AG161"/>
  <c r="AF161"/>
  <c r="AD161"/>
  <c r="AC161"/>
  <c r="X161"/>
  <c r="W161"/>
  <c r="V161"/>
  <c r="U161"/>
  <c r="P161"/>
  <c r="M161"/>
  <c r="EV160"/>
  <c r="EQ160"/>
  <c r="EE160"/>
  <c r="EC160"/>
  <c r="DZ160"/>
  <c r="DY160"/>
  <c r="DI160"/>
  <c r="DE160"/>
  <c r="DC160"/>
  <c r="DB160"/>
  <c r="DA160"/>
  <c r="CX160"/>
  <c r="CW160"/>
  <c r="CQ160"/>
  <c r="CO160"/>
  <c r="CJ160"/>
  <c r="CG160"/>
  <c r="CB160"/>
  <c r="BM160"/>
  <c r="BJ160"/>
  <c r="BG160"/>
  <c r="BF160"/>
  <c r="BE160"/>
  <c r="BD160"/>
  <c r="BB160"/>
  <c r="AY160"/>
  <c r="AX160"/>
  <c r="AL160"/>
  <c r="AJ160"/>
  <c r="AH160"/>
  <c r="AG160"/>
  <c r="AF160"/>
  <c r="AD160"/>
  <c r="AC160"/>
  <c r="W160"/>
  <c r="U160"/>
  <c r="P160"/>
  <c r="M160"/>
  <c r="EV159"/>
  <c r="EC159"/>
  <c r="DE159"/>
  <c r="DC159"/>
  <c r="CJ159"/>
  <c r="CG159"/>
  <c r="CB159"/>
  <c r="BM159"/>
  <c r="BH159"/>
  <c r="BG159"/>
  <c r="BF159"/>
  <c r="BD159"/>
  <c r="BC159"/>
  <c r="AJ159"/>
  <c r="AH159"/>
  <c r="P159"/>
  <c r="M159"/>
  <c r="EV158"/>
  <c r="ES158"/>
  <c r="EN158"/>
  <c r="EI158"/>
  <c r="EG158"/>
  <c r="EE158"/>
  <c r="CD158"/>
  <c r="CC158"/>
  <c r="CB158"/>
  <c r="BY158"/>
  <c r="BX158"/>
  <c r="BV158"/>
  <c r="BT158"/>
  <c r="J158"/>
  <c r="I158"/>
  <c r="EV157"/>
  <c r="DI157"/>
  <c r="CB157"/>
  <c r="AL157"/>
  <c r="EV156"/>
  <c r="EU156"/>
  <c r="EQ156"/>
  <c r="EE156"/>
  <c r="DV156"/>
  <c r="DU156"/>
  <c r="DE156"/>
  <c r="DC156"/>
  <c r="CF156"/>
  <c r="CE156"/>
  <c r="CB156"/>
  <c r="CA156"/>
  <c r="BO156"/>
  <c r="BN156"/>
  <c r="AU156"/>
  <c r="AT156"/>
  <c r="AJ156"/>
  <c r="AH156"/>
  <c r="L156"/>
  <c r="K156"/>
  <c r="EV155"/>
  <c r="EQ155"/>
  <c r="EE155"/>
  <c r="DR155"/>
  <c r="DI155"/>
  <c r="DE155"/>
  <c r="DC155"/>
  <c r="DB155"/>
  <c r="DA155"/>
  <c r="CX155"/>
  <c r="CW155"/>
  <c r="CQ155"/>
  <c r="CJ155"/>
  <c r="CG155"/>
  <c r="CB155"/>
  <c r="BM155"/>
  <c r="BB155"/>
  <c r="AL155"/>
  <c r="AJ155"/>
  <c r="AH155"/>
  <c r="AG155"/>
  <c r="AF155"/>
  <c r="AD155"/>
  <c r="AC155"/>
  <c r="W155"/>
  <c r="P155"/>
  <c r="M155"/>
  <c r="EV154"/>
  <c r="EE154"/>
  <c r="CC154"/>
  <c r="CB154"/>
  <c r="BY154"/>
  <c r="BU154"/>
  <c r="BT154"/>
  <c r="BH154"/>
  <c r="EV153"/>
  <c r="EU153"/>
  <c r="EQ153"/>
  <c r="EE153"/>
  <c r="DI153"/>
  <c r="DE153"/>
  <c r="DC153"/>
  <c r="CG153"/>
  <c r="CB153"/>
  <c r="CA153"/>
  <c r="BH153"/>
  <c r="BE153"/>
  <c r="BC153"/>
  <c r="AL153"/>
  <c r="AJ153"/>
  <c r="AH153"/>
  <c r="M153"/>
  <c r="EV152"/>
  <c r="EQ152"/>
  <c r="EE152"/>
  <c r="DX152"/>
  <c r="DW152"/>
  <c r="DP152"/>
  <c r="DM152"/>
  <c r="DJ152"/>
  <c r="DI152"/>
  <c r="DE152"/>
  <c r="DC152"/>
  <c r="DB152"/>
  <c r="DA152"/>
  <c r="CX152"/>
  <c r="CW152"/>
  <c r="CR152"/>
  <c r="CQ152"/>
  <c r="CP152"/>
  <c r="CO152"/>
  <c r="CJ152"/>
  <c r="CG152"/>
  <c r="CB152"/>
  <c r="BM152"/>
  <c r="BJ152"/>
  <c r="BE152"/>
  <c r="BD152"/>
  <c r="BB152"/>
  <c r="AW152"/>
  <c r="AV152"/>
  <c r="AR152"/>
  <c r="AP152"/>
  <c r="AM152"/>
  <c r="AL152"/>
  <c r="AJ152"/>
  <c r="AH152"/>
  <c r="AG152"/>
  <c r="AF152"/>
  <c r="AD152"/>
  <c r="AC152"/>
  <c r="X152"/>
  <c r="W152"/>
  <c r="V152"/>
  <c r="U152"/>
  <c r="P152"/>
  <c r="M152"/>
  <c r="EV151"/>
  <c r="DI151"/>
  <c r="CB151"/>
  <c r="BM151"/>
  <c r="AL151"/>
  <c r="EV150"/>
  <c r="EQ150"/>
  <c r="EE150"/>
  <c r="DX150"/>
  <c r="DW150"/>
  <c r="DJ150"/>
  <c r="DI150"/>
  <c r="DE150"/>
  <c r="DC150"/>
  <c r="DB150"/>
  <c r="DA150"/>
  <c r="CX150"/>
  <c r="CW150"/>
  <c r="CR150"/>
  <c r="CQ150"/>
  <c r="CP150"/>
  <c r="CO150"/>
  <c r="CJ150"/>
  <c r="CG150"/>
  <c r="CB150"/>
  <c r="BM150"/>
  <c r="BC150"/>
  <c r="AW150"/>
  <c r="AV150"/>
  <c r="AM150"/>
  <c r="AL150"/>
  <c r="AJ150"/>
  <c r="AH150"/>
  <c r="AG150"/>
  <c r="AF150"/>
  <c r="AD150"/>
  <c r="AC150"/>
  <c r="X150"/>
  <c r="W150"/>
  <c r="V150"/>
  <c r="U150"/>
  <c r="P150"/>
  <c r="M150"/>
  <c r="EV149"/>
  <c r="EU149"/>
  <c r="EQ149"/>
  <c r="EE149"/>
  <c r="DE149"/>
  <c r="DC149"/>
  <c r="CL149"/>
  <c r="CK149"/>
  <c r="CB149"/>
  <c r="CA149"/>
  <c r="BE149"/>
  <c r="BC149"/>
  <c r="AJ149"/>
  <c r="AH149"/>
  <c r="R149"/>
  <c r="Q149"/>
  <c r="EV148"/>
  <c r="EP148"/>
  <c r="CC148"/>
  <c r="CB148"/>
  <c r="BY148"/>
  <c r="EV147"/>
  <c r="EQ147"/>
  <c r="EE147"/>
  <c r="DI147"/>
  <c r="DE147"/>
  <c r="DC147"/>
  <c r="CJ147"/>
  <c r="CG147"/>
  <c r="CB147"/>
  <c r="BP147"/>
  <c r="BM147"/>
  <c r="BH147"/>
  <c r="BE147"/>
  <c r="BD147"/>
  <c r="BC147"/>
  <c r="BB147"/>
  <c r="AL147"/>
  <c r="AJ147"/>
  <c r="AH147"/>
  <c r="P147"/>
  <c r="M147"/>
  <c r="EV146"/>
  <c r="EQ146"/>
  <c r="EE146"/>
  <c r="EC146"/>
  <c r="DU146"/>
  <c r="DI146"/>
  <c r="DE146"/>
  <c r="DC146"/>
  <c r="CW146"/>
  <c r="CN146"/>
  <c r="CJ146"/>
  <c r="CG146"/>
  <c r="CB146"/>
  <c r="BN146"/>
  <c r="BM146"/>
  <c r="BJ146"/>
  <c r="BH146"/>
  <c r="BG146"/>
  <c r="BF146"/>
  <c r="BE146"/>
  <c r="BD146"/>
  <c r="BC146"/>
  <c r="BB146"/>
  <c r="AT146"/>
  <c r="AL146"/>
  <c r="AJ146"/>
  <c r="AH146"/>
  <c r="AC146"/>
  <c r="T146"/>
  <c r="P146"/>
  <c r="M146"/>
  <c r="EV145"/>
  <c r="DK145"/>
  <c r="DI145"/>
  <c r="DC145"/>
  <c r="CQ145"/>
  <c r="CL145"/>
  <c r="CK145"/>
  <c r="CB145"/>
  <c r="BM145"/>
  <c r="AN145"/>
  <c r="AL145"/>
  <c r="AH145"/>
  <c r="W145"/>
  <c r="R145"/>
  <c r="Q145"/>
  <c r="EV144"/>
  <c r="EU144"/>
  <c r="EQ144"/>
  <c r="EE144"/>
  <c r="DK144"/>
  <c r="DJ144"/>
  <c r="DI144"/>
  <c r="DE144"/>
  <c r="DC144"/>
  <c r="CX144"/>
  <c r="CW144"/>
  <c r="CJ144"/>
  <c r="CG144"/>
  <c r="CB144"/>
  <c r="CA144"/>
  <c r="BM144"/>
  <c r="BH144"/>
  <c r="BC144"/>
  <c r="AN144"/>
  <c r="AM144"/>
  <c r="AL144"/>
  <c r="AJ144"/>
  <c r="AH144"/>
  <c r="AD144"/>
  <c r="AC144"/>
  <c r="P144"/>
  <c r="M144"/>
  <c r="EV143"/>
  <c r="EE143"/>
  <c r="CC143"/>
  <c r="CB143"/>
  <c r="BY143"/>
  <c r="BT143"/>
  <c r="EV142"/>
  <c r="EU142"/>
  <c r="EQ142"/>
  <c r="EE142"/>
  <c r="DJ142"/>
  <c r="DI142"/>
  <c r="DE142"/>
  <c r="DC142"/>
  <c r="DB142"/>
  <c r="DA142"/>
  <c r="CX142"/>
  <c r="CW142"/>
  <c r="CR142"/>
  <c r="CQ142"/>
  <c r="CP142"/>
  <c r="CO142"/>
  <c r="CJ142"/>
  <c r="CG142"/>
  <c r="CB142"/>
  <c r="CA142"/>
  <c r="BM142"/>
  <c r="BE142"/>
  <c r="BD142"/>
  <c r="BC142"/>
  <c r="BB142"/>
  <c r="AM142"/>
  <c r="AL142"/>
  <c r="AJ142"/>
  <c r="AH142"/>
  <c r="AG142"/>
  <c r="AF142"/>
  <c r="AD142"/>
  <c r="AC142"/>
  <c r="X142"/>
  <c r="W142"/>
  <c r="V142"/>
  <c r="U142"/>
  <c r="P142"/>
  <c r="M142"/>
  <c r="EV141"/>
  <c r="EU141"/>
  <c r="EQ141"/>
  <c r="EE141"/>
  <c r="DE141"/>
  <c r="DC141"/>
  <c r="CF141"/>
  <c r="CE141"/>
  <c r="CB141"/>
  <c r="CA141"/>
  <c r="BO141"/>
  <c r="BE141"/>
  <c r="AJ141"/>
  <c r="AH141"/>
  <c r="L141"/>
  <c r="K141"/>
  <c r="EV140"/>
  <c r="EE140"/>
  <c r="CC140"/>
  <c r="CB140"/>
  <c r="BY140"/>
  <c r="BU140"/>
  <c r="BT140"/>
  <c r="BH140"/>
  <c r="EV139"/>
  <c r="ES139"/>
  <c r="EI139"/>
  <c r="EH139"/>
  <c r="EG139"/>
  <c r="EE139"/>
  <c r="CC139"/>
  <c r="CB139"/>
  <c r="BY139"/>
  <c r="BV139"/>
  <c r="BU139"/>
  <c r="BT139"/>
  <c r="I139"/>
  <c r="EV138"/>
  <c r="EE138"/>
  <c r="CC138"/>
  <c r="CB138"/>
  <c r="BY138"/>
  <c r="BU138"/>
  <c r="BT138"/>
  <c r="BR138"/>
  <c r="BH138"/>
  <c r="EV137"/>
  <c r="EQ137"/>
  <c r="EE137"/>
  <c r="DR137"/>
  <c r="DJ137"/>
  <c r="DI137"/>
  <c r="DE137"/>
  <c r="DC137"/>
  <c r="DB137"/>
  <c r="DA137"/>
  <c r="CX137"/>
  <c r="CW137"/>
  <c r="CP137"/>
  <c r="CJ137"/>
  <c r="CG137"/>
  <c r="CB137"/>
  <c r="BD137"/>
  <c r="AM137"/>
  <c r="AL137"/>
  <c r="AJ137"/>
  <c r="AH137"/>
  <c r="AG137"/>
  <c r="AF137"/>
  <c r="AD137"/>
  <c r="AC137"/>
  <c r="V137"/>
  <c r="P137"/>
  <c r="M137"/>
  <c r="EV136"/>
  <c r="ES136"/>
  <c r="EE136"/>
  <c r="CY136"/>
  <c r="CC136"/>
  <c r="CB136"/>
  <c r="BY136"/>
  <c r="BU136"/>
  <c r="BT136"/>
  <c r="BH136"/>
  <c r="AE136"/>
  <c r="EV135"/>
  <c r="EU135"/>
  <c r="EQ135"/>
  <c r="EE135"/>
  <c r="DO135"/>
  <c r="DI135"/>
  <c r="DE135"/>
  <c r="DC135"/>
  <c r="CX135"/>
  <c r="CW135"/>
  <c r="CN135"/>
  <c r="CJ135"/>
  <c r="CG135"/>
  <c r="CB135"/>
  <c r="CA135"/>
  <c r="BB135"/>
  <c r="AQ135"/>
  <c r="AL135"/>
  <c r="AJ135"/>
  <c r="AI135"/>
  <c r="AH135"/>
  <c r="AD135"/>
  <c r="AC135"/>
  <c r="T135"/>
  <c r="P135"/>
  <c r="M135"/>
  <c r="CB134"/>
  <c r="BH134"/>
  <c r="BC134"/>
  <c r="EV133"/>
  <c r="CK133"/>
  <c r="CB133"/>
  <c r="BM133"/>
  <c r="BD133"/>
  <c r="Q133"/>
  <c r="EV132"/>
  <c r="ES132"/>
  <c r="EN132"/>
  <c r="EH132"/>
  <c r="EG132"/>
  <c r="EF132"/>
  <c r="EE132"/>
  <c r="ED132"/>
  <c r="DS132"/>
  <c r="DD132"/>
  <c r="CD132"/>
  <c r="CC132"/>
  <c r="CB132"/>
  <c r="BY132"/>
  <c r="BX132"/>
  <c r="BU132"/>
  <c r="BT132"/>
  <c r="BR132"/>
  <c r="BH132"/>
  <c r="AK132"/>
  <c r="AI132"/>
  <c r="J132"/>
  <c r="I132"/>
  <c r="EV131"/>
  <c r="EU131"/>
  <c r="EQ131"/>
  <c r="EE131"/>
  <c r="DM131"/>
  <c r="DI131"/>
  <c r="DG131"/>
  <c r="DE131"/>
  <c r="DC131"/>
  <c r="DB131"/>
  <c r="DA131"/>
  <c r="CX131"/>
  <c r="CW131"/>
  <c r="CS131"/>
  <c r="CR131"/>
  <c r="CQ131"/>
  <c r="CP131"/>
  <c r="CO131"/>
  <c r="CJ131"/>
  <c r="CG131"/>
  <c r="CB131"/>
  <c r="CA131"/>
  <c r="BM131"/>
  <c r="BD131"/>
  <c r="AP131"/>
  <c r="AL131"/>
  <c r="AJ131"/>
  <c r="AH131"/>
  <c r="AG131"/>
  <c r="AF131"/>
  <c r="AD131"/>
  <c r="AC131"/>
  <c r="Y131"/>
  <c r="X131"/>
  <c r="W131"/>
  <c r="V131"/>
  <c r="U131"/>
  <c r="P131"/>
  <c r="M131"/>
  <c r="EV130"/>
  <c r="EQ130"/>
  <c r="EE130"/>
  <c r="DR130"/>
  <c r="DI130"/>
  <c r="DE130"/>
  <c r="DC130"/>
  <c r="DB130"/>
  <c r="DA130"/>
  <c r="CX130"/>
  <c r="CW130"/>
  <c r="CR130"/>
  <c r="CQ130"/>
  <c r="CP130"/>
  <c r="CO130"/>
  <c r="CJ130"/>
  <c r="CG130"/>
  <c r="CB130"/>
  <c r="BH130"/>
  <c r="BE130"/>
  <c r="BC130"/>
  <c r="BB130"/>
  <c r="AL130"/>
  <c r="AJ130"/>
  <c r="AH130"/>
  <c r="AG130"/>
  <c r="AF130"/>
  <c r="AD130"/>
  <c r="AC130"/>
  <c r="X130"/>
  <c r="W130"/>
  <c r="V130"/>
  <c r="U130"/>
  <c r="P130"/>
  <c r="M130"/>
  <c r="EV129"/>
  <c r="EU129"/>
  <c r="EQ129"/>
  <c r="EE129"/>
  <c r="DZ129"/>
  <c r="DY129"/>
  <c r="DM129"/>
  <c r="DJ129"/>
  <c r="DI129"/>
  <c r="DE129"/>
  <c r="DC129"/>
  <c r="DB129"/>
  <c r="DA129"/>
  <c r="CX129"/>
  <c r="CW129"/>
  <c r="CR129"/>
  <c r="CQ129"/>
  <c r="CP129"/>
  <c r="CO129"/>
  <c r="CJ129"/>
  <c r="CG129"/>
  <c r="CB129"/>
  <c r="CA129"/>
  <c r="BE129"/>
  <c r="BD129"/>
  <c r="AY129"/>
  <c r="AX129"/>
  <c r="AP129"/>
  <c r="AM129"/>
  <c r="AL129"/>
  <c r="AJ129"/>
  <c r="AH129"/>
  <c r="AG129"/>
  <c r="AF129"/>
  <c r="AD129"/>
  <c r="AC129"/>
  <c r="X129"/>
  <c r="W129"/>
  <c r="V129"/>
  <c r="U129"/>
  <c r="P129"/>
  <c r="M129"/>
  <c r="EV128"/>
  <c r="EE128"/>
  <c r="DR128"/>
  <c r="DJ128"/>
  <c r="DI128"/>
  <c r="DE128"/>
  <c r="DC128"/>
  <c r="DB128"/>
  <c r="DA128"/>
  <c r="CY128"/>
  <c r="CX128"/>
  <c r="CW128"/>
  <c r="CR128"/>
  <c r="CQ128"/>
  <c r="CO128"/>
  <c r="CJ128"/>
  <c r="CG128"/>
  <c r="CC128"/>
  <c r="CB128"/>
  <c r="BY128"/>
  <c r="BT128"/>
  <c r="BR128"/>
  <c r="BC128"/>
  <c r="BB128"/>
  <c r="AM128"/>
  <c r="AL128"/>
  <c r="AJ128"/>
  <c r="AH128"/>
  <c r="AG128"/>
  <c r="AF128"/>
  <c r="AE128"/>
  <c r="AD128"/>
  <c r="AC128"/>
  <c r="X128"/>
  <c r="W128"/>
  <c r="U128"/>
  <c r="P128"/>
  <c r="M128"/>
  <c r="EV127"/>
  <c r="ES127"/>
  <c r="EE127"/>
  <c r="CV127"/>
  <c r="CC127"/>
  <c r="CB127"/>
  <c r="BY127"/>
  <c r="BU127"/>
  <c r="BT127"/>
  <c r="BR127"/>
  <c r="BH127"/>
  <c r="AB127"/>
  <c r="I127"/>
  <c r="EV126"/>
  <c r="EU126"/>
  <c r="EL126"/>
  <c r="CY126"/>
  <c r="CC126"/>
  <c r="CB126"/>
  <c r="CA126"/>
  <c r="BY126"/>
  <c r="BU126"/>
  <c r="BT126"/>
  <c r="BH126"/>
  <c r="AK126"/>
  <c r="AE126"/>
  <c r="EV125"/>
  <c r="EH125"/>
  <c r="EG125"/>
  <c r="EE125"/>
  <c r="ED125"/>
  <c r="CD125"/>
  <c r="CC125"/>
  <c r="CB125"/>
  <c r="BU125"/>
  <c r="BT125"/>
  <c r="BH125"/>
  <c r="J125"/>
  <c r="I125"/>
  <c r="EV124"/>
  <c r="EQ124"/>
  <c r="EE124"/>
  <c r="DP124"/>
  <c r="DM124"/>
  <c r="DI124"/>
  <c r="DE124"/>
  <c r="DC124"/>
  <c r="DB124"/>
  <c r="DA124"/>
  <c r="CX124"/>
  <c r="CW124"/>
  <c r="CR124"/>
  <c r="CQ124"/>
  <c r="CP124"/>
  <c r="CO124"/>
  <c r="CJ124"/>
  <c r="CG124"/>
  <c r="CB124"/>
  <c r="BM124"/>
  <c r="BH124"/>
  <c r="BE124"/>
  <c r="BD124"/>
  <c r="BC124"/>
  <c r="AR124"/>
  <c r="AP124"/>
  <c r="AL124"/>
  <c r="AJ124"/>
  <c r="AH124"/>
  <c r="AG124"/>
  <c r="AF124"/>
  <c r="AD124"/>
  <c r="AC124"/>
  <c r="X124"/>
  <c r="W124"/>
  <c r="V124"/>
  <c r="U124"/>
  <c r="P124"/>
  <c r="M124"/>
  <c r="EV123"/>
  <c r="EU123"/>
  <c r="EQ123"/>
  <c r="EE123"/>
  <c r="DI123"/>
  <c r="DE123"/>
  <c r="DC123"/>
  <c r="CJ123"/>
  <c r="CG123"/>
  <c r="CB123"/>
  <c r="CA123"/>
  <c r="BM123"/>
  <c r="BL123"/>
  <c r="BE123"/>
  <c r="BD123"/>
  <c r="BC123"/>
  <c r="BB123"/>
  <c r="AL123"/>
  <c r="AJ123"/>
  <c r="AH123"/>
  <c r="P123"/>
  <c r="M123"/>
  <c r="EV122"/>
  <c r="EQ122"/>
  <c r="EE122"/>
  <c r="EC122"/>
  <c r="DI122"/>
  <c r="DE122"/>
  <c r="DC122"/>
  <c r="DB122"/>
  <c r="DA122"/>
  <c r="CQ122"/>
  <c r="CP122"/>
  <c r="CO122"/>
  <c r="CJ122"/>
  <c r="CG122"/>
  <c r="CB122"/>
  <c r="BM122"/>
  <c r="BH122"/>
  <c r="BF122"/>
  <c r="BE122"/>
  <c r="BD122"/>
  <c r="BC122"/>
  <c r="BB122"/>
  <c r="AL122"/>
  <c r="AJ122"/>
  <c r="AH122"/>
  <c r="AG122"/>
  <c r="AF122"/>
  <c r="W122"/>
  <c r="V122"/>
  <c r="U122"/>
  <c r="P122"/>
  <c r="M122"/>
  <c r="CB121"/>
  <c r="BH121"/>
  <c r="BC121"/>
  <c r="EV120"/>
  <c r="ES120"/>
  <c r="EN120"/>
  <c r="EI120"/>
  <c r="EH120"/>
  <c r="EG120"/>
  <c r="EE120"/>
  <c r="ED120"/>
  <c r="CD120"/>
  <c r="CC120"/>
  <c r="CB120"/>
  <c r="BY120"/>
  <c r="BX120"/>
  <c r="BV120"/>
  <c r="BU120"/>
  <c r="BT120"/>
  <c r="BH120"/>
  <c r="J120"/>
  <c r="I120"/>
  <c r="EV119"/>
  <c r="ES119"/>
  <c r="EN119"/>
  <c r="EI119"/>
  <c r="EH119"/>
  <c r="EG119"/>
  <c r="EE119"/>
  <c r="ED119"/>
  <c r="CD119"/>
  <c r="CC119"/>
  <c r="CB119"/>
  <c r="BY119"/>
  <c r="BX119"/>
  <c r="BV119"/>
  <c r="BU119"/>
  <c r="BT119"/>
  <c r="BH119"/>
  <c r="J119"/>
  <c r="I119"/>
  <c r="EV118"/>
  <c r="ES118"/>
  <c r="EG118"/>
  <c r="EE118"/>
  <c r="ED118"/>
  <c r="CC118"/>
  <c r="CB118"/>
  <c r="BY118"/>
  <c r="BT118"/>
  <c r="BH118"/>
  <c r="I118"/>
  <c r="EV117"/>
  <c r="EQ117"/>
  <c r="EE117"/>
  <c r="DY117"/>
  <c r="DR117"/>
  <c r="DJ117"/>
  <c r="DI117"/>
  <c r="DE117"/>
  <c r="DC117"/>
  <c r="DB117"/>
  <c r="DA117"/>
  <c r="CX117"/>
  <c r="CW117"/>
  <c r="CQ117"/>
  <c r="CP117"/>
  <c r="CO117"/>
  <c r="CJ117"/>
  <c r="CG117"/>
  <c r="CB117"/>
  <c r="BM117"/>
  <c r="BH117"/>
  <c r="BB117"/>
  <c r="AX117"/>
  <c r="AM117"/>
  <c r="AL117"/>
  <c r="AJ117"/>
  <c r="AH117"/>
  <c r="AG117"/>
  <c r="AF117"/>
  <c r="AD117"/>
  <c r="AC117"/>
  <c r="W117"/>
  <c r="V117"/>
  <c r="U117"/>
  <c r="P117"/>
  <c r="M117"/>
  <c r="EV116"/>
  <c r="EQ116"/>
  <c r="EE116"/>
  <c r="EC116"/>
  <c r="DI116"/>
  <c r="DE116"/>
  <c r="DC116"/>
  <c r="CW116"/>
  <c r="CJ116"/>
  <c r="CG116"/>
  <c r="CB116"/>
  <c r="BM116"/>
  <c r="BG116"/>
  <c r="BF116"/>
  <c r="BC116"/>
  <c r="BB116"/>
  <c r="AL116"/>
  <c r="AJ116"/>
  <c r="AH116"/>
  <c r="AC116"/>
  <c r="P116"/>
  <c r="M116"/>
  <c r="EV115"/>
  <c r="EQ115"/>
  <c r="EE115"/>
  <c r="EC115"/>
  <c r="DE115"/>
  <c r="DC115"/>
  <c r="CL115"/>
  <c r="CK115"/>
  <c r="CB115"/>
  <c r="BO115"/>
  <c r="BI115"/>
  <c r="BF115"/>
  <c r="BE115"/>
  <c r="BB115"/>
  <c r="AJ115"/>
  <c r="AH115"/>
  <c r="R115"/>
  <c r="Q115"/>
  <c r="EV114"/>
  <c r="DI114"/>
  <c r="DC114"/>
  <c r="CB114"/>
  <c r="BM114"/>
  <c r="BH114"/>
  <c r="AL114"/>
  <c r="AH114"/>
  <c r="EV113"/>
  <c r="EU113"/>
  <c r="EQ113"/>
  <c r="EE113"/>
  <c r="DI113"/>
  <c r="DE113"/>
  <c r="DC113"/>
  <c r="CX113"/>
  <c r="CW113"/>
  <c r="CJ113"/>
  <c r="CG113"/>
  <c r="CB113"/>
  <c r="CA113"/>
  <c r="BP113"/>
  <c r="BH113"/>
  <c r="BE113"/>
  <c r="BC113"/>
  <c r="BB113"/>
  <c r="AL113"/>
  <c r="AJ113"/>
  <c r="AH113"/>
  <c r="AD113"/>
  <c r="AC113"/>
  <c r="P113"/>
  <c r="M113"/>
  <c r="EV112"/>
  <c r="EU112"/>
  <c r="EQ112"/>
  <c r="EE112"/>
  <c r="DK112"/>
  <c r="DI112"/>
  <c r="DE112"/>
  <c r="DC112"/>
  <c r="CJ112"/>
  <c r="CG112"/>
  <c r="CB112"/>
  <c r="CA112"/>
  <c r="BM112"/>
  <c r="BJ112"/>
  <c r="BD112"/>
  <c r="BC112"/>
  <c r="BB112"/>
  <c r="AN112"/>
  <c r="AL112"/>
  <c r="AJ112"/>
  <c r="AH112"/>
  <c r="P112"/>
  <c r="M112"/>
  <c r="EV111"/>
  <c r="EU111"/>
  <c r="EH111"/>
  <c r="EE111"/>
  <c r="DE111"/>
  <c r="DC111"/>
  <c r="CM111"/>
  <c r="CL111"/>
  <c r="CK111"/>
  <c r="CB111"/>
  <c r="CA111"/>
  <c r="BU111"/>
  <c r="BP111"/>
  <c r="BO111"/>
  <c r="BH111"/>
  <c r="BE111"/>
  <c r="BC111"/>
  <c r="BB111"/>
  <c r="AJ111"/>
  <c r="AH111"/>
  <c r="R111"/>
  <c r="Q111"/>
  <c r="EV110"/>
  <c r="EQ110"/>
  <c r="EE110"/>
  <c r="DM110"/>
  <c r="DE110"/>
  <c r="DC110"/>
  <c r="CF110"/>
  <c r="CE110"/>
  <c r="CB110"/>
  <c r="BP110"/>
  <c r="BB110"/>
  <c r="AP110"/>
  <c r="AJ110"/>
  <c r="AH110"/>
  <c r="L110"/>
  <c r="K110"/>
  <c r="EV109"/>
  <c r="EQ109"/>
  <c r="EE109"/>
  <c r="DM109"/>
  <c r="DE109"/>
  <c r="DC109"/>
  <c r="CF109"/>
  <c r="CE109"/>
  <c r="CB109"/>
  <c r="BH109"/>
  <c r="BF109"/>
  <c r="BB109"/>
  <c r="AP109"/>
  <c r="AJ109"/>
  <c r="AH109"/>
  <c r="L109"/>
  <c r="K109"/>
  <c r="EV108"/>
  <c r="EJ108"/>
  <c r="EE108"/>
  <c r="DP108"/>
  <c r="DE108"/>
  <c r="DC108"/>
  <c r="DB108"/>
  <c r="DA108"/>
  <c r="CX108"/>
  <c r="CW108"/>
  <c r="CR108"/>
  <c r="CQ108"/>
  <c r="CP108"/>
  <c r="CO108"/>
  <c r="CJ108"/>
  <c r="CG108"/>
  <c r="CB108"/>
  <c r="BM108"/>
  <c r="BK108"/>
  <c r="BJ108"/>
  <c r="BH108"/>
  <c r="BE108"/>
  <c r="BD108"/>
  <c r="BC108"/>
  <c r="BB108"/>
  <c r="AR108"/>
  <c r="AJ108"/>
  <c r="AH108"/>
  <c r="AG108"/>
  <c r="AF108"/>
  <c r="AD108"/>
  <c r="AC108"/>
  <c r="X108"/>
  <c r="W108"/>
  <c r="V108"/>
  <c r="U108"/>
  <c r="P108"/>
  <c r="M108"/>
  <c r="EV107"/>
  <c r="EU107"/>
  <c r="EQ107"/>
  <c r="EE107"/>
  <c r="EC107"/>
  <c r="DK107"/>
  <c r="DJ107"/>
  <c r="DI107"/>
  <c r="DE107"/>
  <c r="DC107"/>
  <c r="DB107"/>
  <c r="DA107"/>
  <c r="CW107"/>
  <c r="CQ107"/>
  <c r="CP107"/>
  <c r="CJ107"/>
  <c r="CG107"/>
  <c r="CB107"/>
  <c r="CA107"/>
  <c r="BM107"/>
  <c r="BG107"/>
  <c r="BF107"/>
  <c r="BE107"/>
  <c r="AN107"/>
  <c r="AM107"/>
  <c r="AL107"/>
  <c r="AJ107"/>
  <c r="AH107"/>
  <c r="AG107"/>
  <c r="AF107"/>
  <c r="AC107"/>
  <c r="W107"/>
  <c r="V107"/>
  <c r="P107"/>
  <c r="M107"/>
  <c r="EV106"/>
  <c r="EU106"/>
  <c r="EQ106"/>
  <c r="EE106"/>
  <c r="DJ106"/>
  <c r="DI106"/>
  <c r="DE106"/>
  <c r="DC106"/>
  <c r="DB106"/>
  <c r="DA106"/>
  <c r="CX106"/>
  <c r="CW106"/>
  <c r="CR106"/>
  <c r="CQ106"/>
  <c r="CP106"/>
  <c r="CO106"/>
  <c r="CJ106"/>
  <c r="CG106"/>
  <c r="CB106"/>
  <c r="CA106"/>
  <c r="BP106"/>
  <c r="BM106"/>
  <c r="BJ106"/>
  <c r="BD106"/>
  <c r="AM106"/>
  <c r="AL106"/>
  <c r="AJ106"/>
  <c r="AH106"/>
  <c r="AG106"/>
  <c r="AF106"/>
  <c r="AD106"/>
  <c r="AC106"/>
  <c r="X106"/>
  <c r="W106"/>
  <c r="V106"/>
  <c r="U106"/>
  <c r="P106"/>
  <c r="M106"/>
  <c r="EV105"/>
  <c r="EE105"/>
  <c r="CC105"/>
  <c r="CB105"/>
  <c r="BY105"/>
  <c r="BU105"/>
  <c r="BT105"/>
  <c r="BH105"/>
  <c r="AK105"/>
  <c r="EV104"/>
  <c r="EU104"/>
  <c r="EQ104"/>
  <c r="EE104"/>
  <c r="DR104"/>
  <c r="DE104"/>
  <c r="DC104"/>
  <c r="CF104"/>
  <c r="CE104"/>
  <c r="CB104"/>
  <c r="CA104"/>
  <c r="BB104"/>
  <c r="AJ104"/>
  <c r="AH104"/>
  <c r="L104"/>
  <c r="K104"/>
  <c r="EV103"/>
  <c r="EU103"/>
  <c r="EQ103"/>
  <c r="EE103"/>
  <c r="DM103"/>
  <c r="DI103"/>
  <c r="DE103"/>
  <c r="DC103"/>
  <c r="CW103"/>
  <c r="CJ103"/>
  <c r="CG103"/>
  <c r="CB103"/>
  <c r="CA103"/>
  <c r="BM103"/>
  <c r="BJ103"/>
  <c r="BH103"/>
  <c r="BE103"/>
  <c r="BD103"/>
  <c r="BC103"/>
  <c r="BB103"/>
  <c r="AP103"/>
  <c r="AL103"/>
  <c r="AJ103"/>
  <c r="AH103"/>
  <c r="AC103"/>
  <c r="P103"/>
  <c r="M103"/>
  <c r="EV102"/>
  <c r="ES102"/>
  <c r="EI102"/>
  <c r="EG102"/>
  <c r="EE102"/>
  <c r="ED102"/>
  <c r="CD102"/>
  <c r="CC102"/>
  <c r="CB102"/>
  <c r="BY102"/>
  <c r="BV102"/>
  <c r="BT102"/>
  <c r="BH102"/>
  <c r="J102"/>
  <c r="I102"/>
  <c r="EV101"/>
  <c r="EQ101"/>
  <c r="EE101"/>
  <c r="DR101"/>
  <c r="DP101"/>
  <c r="DJ101"/>
  <c r="DI101"/>
  <c r="DE101"/>
  <c r="DC101"/>
  <c r="DB101"/>
  <c r="DA101"/>
  <c r="CX101"/>
  <c r="CW101"/>
  <c r="CR101"/>
  <c r="CQ101"/>
  <c r="CO101"/>
  <c r="CJ101"/>
  <c r="CG101"/>
  <c r="CB101"/>
  <c r="BM101"/>
  <c r="BH101"/>
  <c r="BE101"/>
  <c r="BC101"/>
  <c r="BB101"/>
  <c r="AR101"/>
  <c r="AM101"/>
  <c r="AL101"/>
  <c r="AJ101"/>
  <c r="AH101"/>
  <c r="AG101"/>
  <c r="AF101"/>
  <c r="AD101"/>
  <c r="AC101"/>
  <c r="X101"/>
  <c r="W101"/>
  <c r="U101"/>
  <c r="P101"/>
  <c r="M101"/>
  <c r="EV100"/>
  <c r="EQ100"/>
  <c r="EE100"/>
  <c r="DR100"/>
  <c r="DK100"/>
  <c r="DJ100"/>
  <c r="DI100"/>
  <c r="DE100"/>
  <c r="DC100"/>
  <c r="DB100"/>
  <c r="DA100"/>
  <c r="CX100"/>
  <c r="CW100"/>
  <c r="CR100"/>
  <c r="CQ100"/>
  <c r="CP100"/>
  <c r="CO100"/>
  <c r="CJ100"/>
  <c r="CG100"/>
  <c r="CB100"/>
  <c r="BD100"/>
  <c r="AN100"/>
  <c r="AM100"/>
  <c r="AL100"/>
  <c r="AJ100"/>
  <c r="AH100"/>
  <c r="AG100"/>
  <c r="AF100"/>
  <c r="AD100"/>
  <c r="AC100"/>
  <c r="X100"/>
  <c r="W100"/>
  <c r="V100"/>
  <c r="U100"/>
  <c r="P100"/>
  <c r="M100"/>
  <c r="EV99"/>
  <c r="ES99"/>
  <c r="EG99"/>
  <c r="EE99"/>
  <c r="ED99"/>
  <c r="DD99"/>
  <c r="CC99"/>
  <c r="CB99"/>
  <c r="BY99"/>
  <c r="BT99"/>
  <c r="BH99"/>
  <c r="AI99"/>
  <c r="I99"/>
  <c r="EV98"/>
  <c r="EU98"/>
  <c r="EQ98"/>
  <c r="EE98"/>
  <c r="DW98"/>
  <c r="DK98"/>
  <c r="DI98"/>
  <c r="DC98"/>
  <c r="DB98"/>
  <c r="DA98"/>
  <c r="CX98"/>
  <c r="CW98"/>
  <c r="CR98"/>
  <c r="CQ98"/>
  <c r="CO98"/>
  <c r="CJ98"/>
  <c r="CG98"/>
  <c r="CB98"/>
  <c r="CA98"/>
  <c r="BM98"/>
  <c r="BH98"/>
  <c r="BE98"/>
  <c r="AV98"/>
  <c r="AN98"/>
  <c r="AL98"/>
  <c r="AH98"/>
  <c r="AG98"/>
  <c r="AF98"/>
  <c r="AD98"/>
  <c r="AC98"/>
  <c r="X98"/>
  <c r="W98"/>
  <c r="U98"/>
  <c r="P98"/>
  <c r="M98"/>
  <c r="EV97"/>
  <c r="DF97"/>
  <c r="DE97"/>
  <c r="DC97"/>
  <c r="CX97"/>
  <c r="CW97"/>
  <c r="CJ97"/>
  <c r="CG97"/>
  <c r="CB97"/>
  <c r="BM97"/>
  <c r="BK97"/>
  <c r="BJ97"/>
  <c r="BH97"/>
  <c r="BB97"/>
  <c r="AJ97"/>
  <c r="AH97"/>
  <c r="AD97"/>
  <c r="AC97"/>
  <c r="P97"/>
  <c r="M97"/>
  <c r="EV96"/>
  <c r="EU96"/>
  <c r="EQ96"/>
  <c r="EE96"/>
  <c r="DM96"/>
  <c r="DJ96"/>
  <c r="DI96"/>
  <c r="DE96"/>
  <c r="DC96"/>
  <c r="CJ96"/>
  <c r="CG96"/>
  <c r="CB96"/>
  <c r="CA96"/>
  <c r="BH96"/>
  <c r="BE96"/>
  <c r="BC96"/>
  <c r="BB96"/>
  <c r="AP96"/>
  <c r="AM96"/>
  <c r="AL96"/>
  <c r="AJ96"/>
  <c r="AH96"/>
  <c r="P96"/>
  <c r="M96"/>
  <c r="EV95"/>
  <c r="CD95"/>
  <c r="CC95"/>
  <c r="CB95"/>
  <c r="J95"/>
  <c r="I95"/>
  <c r="EV94"/>
  <c r="EQ94"/>
  <c r="EE94"/>
  <c r="DJ94"/>
  <c r="DI94"/>
  <c r="DE94"/>
  <c r="DC94"/>
  <c r="DB94"/>
  <c r="DA94"/>
  <c r="CX94"/>
  <c r="CW94"/>
  <c r="CR94"/>
  <c r="CQ94"/>
  <c r="CP94"/>
  <c r="CO94"/>
  <c r="CJ94"/>
  <c r="CG94"/>
  <c r="CB94"/>
  <c r="BM94"/>
  <c r="BH94"/>
  <c r="BE94"/>
  <c r="BC94"/>
  <c r="BB94"/>
  <c r="AM94"/>
  <c r="AL94"/>
  <c r="AJ94"/>
  <c r="AH94"/>
  <c r="AG94"/>
  <c r="AF94"/>
  <c r="AD94"/>
  <c r="AC94"/>
  <c r="X94"/>
  <c r="W94"/>
  <c r="V94"/>
  <c r="U94"/>
  <c r="P94"/>
  <c r="M94"/>
  <c r="EV93"/>
  <c r="EU93"/>
  <c r="EQ93"/>
  <c r="EE93"/>
  <c r="DI93"/>
  <c r="DE93"/>
  <c r="DC93"/>
  <c r="DB93"/>
  <c r="DA93"/>
  <c r="CX93"/>
  <c r="CW93"/>
  <c r="CQ93"/>
  <c r="CP93"/>
  <c r="CO93"/>
  <c r="CJ93"/>
  <c r="CG93"/>
  <c r="CB93"/>
  <c r="CA93"/>
  <c r="BM93"/>
  <c r="BB93"/>
  <c r="AL93"/>
  <c r="AJ93"/>
  <c r="AH93"/>
  <c r="AG93"/>
  <c r="AF93"/>
  <c r="AD93"/>
  <c r="AC93"/>
  <c r="W93"/>
  <c r="V93"/>
  <c r="U93"/>
  <c r="P93"/>
  <c r="M93"/>
  <c r="EV92"/>
  <c r="EQ92"/>
  <c r="EE92"/>
  <c r="EC92"/>
  <c r="DI92"/>
  <c r="DE92"/>
  <c r="DC92"/>
  <c r="CX92"/>
  <c r="CW92"/>
  <c r="CJ92"/>
  <c r="CG92"/>
  <c r="CB92"/>
  <c r="BM92"/>
  <c r="BG92"/>
  <c r="BF92"/>
  <c r="BE92"/>
  <c r="BC92"/>
  <c r="AL92"/>
  <c r="AJ92"/>
  <c r="AH92"/>
  <c r="AD92"/>
  <c r="AC92"/>
  <c r="P92"/>
  <c r="M92"/>
  <c r="EV91"/>
  <c r="EU91"/>
  <c r="EQ91"/>
  <c r="EE91"/>
  <c r="DJ91"/>
  <c r="DI91"/>
  <c r="DE91"/>
  <c r="DC91"/>
  <c r="CJ91"/>
  <c r="CG91"/>
  <c r="CB91"/>
  <c r="CA91"/>
  <c r="BM91"/>
  <c r="BL91"/>
  <c r="BE91"/>
  <c r="BD91"/>
  <c r="BB91"/>
  <c r="AM91"/>
  <c r="AL91"/>
  <c r="AJ91"/>
  <c r="AH91"/>
  <c r="P91"/>
  <c r="M91"/>
  <c r="EV90"/>
  <c r="EU90"/>
  <c r="EQ90"/>
  <c r="EE90"/>
  <c r="DJ90"/>
  <c r="DI90"/>
  <c r="DE90"/>
  <c r="DC90"/>
  <c r="CX90"/>
  <c r="CW90"/>
  <c r="CR90"/>
  <c r="CQ90"/>
  <c r="CO90"/>
  <c r="CJ90"/>
  <c r="CG90"/>
  <c r="CB90"/>
  <c r="CA90"/>
  <c r="BM90"/>
  <c r="BE90"/>
  <c r="BC90"/>
  <c r="BB90"/>
  <c r="AM90"/>
  <c r="AL90"/>
  <c r="AJ90"/>
  <c r="AH90"/>
  <c r="AD90"/>
  <c r="AC90"/>
  <c r="X90"/>
  <c r="W90"/>
  <c r="U90"/>
  <c r="P90"/>
  <c r="M90"/>
  <c r="EV89"/>
  <c r="EG89"/>
  <c r="EE89"/>
  <c r="CC89"/>
  <c r="CB89"/>
  <c r="BT89"/>
  <c r="I89"/>
  <c r="EV88"/>
  <c r="EE88"/>
  <c r="DC88"/>
  <c r="DA88"/>
  <c r="CQ88"/>
  <c r="CG88"/>
  <c r="CB88"/>
  <c r="BM88"/>
  <c r="BJ88"/>
  <c r="BC88"/>
  <c r="AH88"/>
  <c r="AF88"/>
  <c r="W88"/>
  <c r="M88"/>
  <c r="EV87"/>
  <c r="EU87"/>
  <c r="EQ87"/>
  <c r="EE87"/>
  <c r="DK87"/>
  <c r="DI87"/>
  <c r="DE87"/>
  <c r="DC87"/>
  <c r="DB87"/>
  <c r="DA87"/>
  <c r="CW87"/>
  <c r="CR87"/>
  <c r="CQ87"/>
  <c r="CP87"/>
  <c r="CO87"/>
  <c r="CJ87"/>
  <c r="CG87"/>
  <c r="CB87"/>
  <c r="CA87"/>
  <c r="BM87"/>
  <c r="AN87"/>
  <c r="AL87"/>
  <c r="AJ87"/>
  <c r="AH87"/>
  <c r="AG87"/>
  <c r="AF87"/>
  <c r="AC87"/>
  <c r="X87"/>
  <c r="W87"/>
  <c r="V87"/>
  <c r="U87"/>
  <c r="P87"/>
  <c r="M87"/>
  <c r="EV86"/>
  <c r="EU86"/>
  <c r="EQ86"/>
  <c r="EE86"/>
  <c r="DI86"/>
  <c r="DE86"/>
  <c r="DC86"/>
  <c r="DB86"/>
  <c r="DA86"/>
  <c r="CX86"/>
  <c r="CW86"/>
  <c r="CQ86"/>
  <c r="CP86"/>
  <c r="CO86"/>
  <c r="CJ86"/>
  <c r="CG86"/>
  <c r="CB86"/>
  <c r="CA86"/>
  <c r="BM86"/>
  <c r="BE86"/>
  <c r="AL86"/>
  <c r="AJ86"/>
  <c r="AH86"/>
  <c r="AG86"/>
  <c r="AF86"/>
  <c r="AD86"/>
  <c r="AC86"/>
  <c r="W86"/>
  <c r="V86"/>
  <c r="U86"/>
  <c r="P86"/>
  <c r="M86"/>
  <c r="EV85"/>
  <c r="EQ85"/>
  <c r="EE85"/>
  <c r="DM85"/>
  <c r="DJ85"/>
  <c r="DI85"/>
  <c r="DE85"/>
  <c r="DC85"/>
  <c r="DB85"/>
  <c r="CX85"/>
  <c r="CW85"/>
  <c r="CP85"/>
  <c r="CJ85"/>
  <c r="CG85"/>
  <c r="CB85"/>
  <c r="BM85"/>
  <c r="BJ85"/>
  <c r="BE85"/>
  <c r="BC85"/>
  <c r="BB85"/>
  <c r="AP85"/>
  <c r="AM85"/>
  <c r="AL85"/>
  <c r="AJ85"/>
  <c r="AH85"/>
  <c r="AG85"/>
  <c r="AD85"/>
  <c r="AC85"/>
  <c r="V85"/>
  <c r="P85"/>
  <c r="M85"/>
  <c r="EV84"/>
  <c r="EQ84"/>
  <c r="EE84"/>
  <c r="DU84"/>
  <c r="DR84"/>
  <c r="DJ84"/>
  <c r="DI84"/>
  <c r="DE84"/>
  <c r="DC84"/>
  <c r="DB84"/>
  <c r="DA84"/>
  <c r="CX84"/>
  <c r="CW84"/>
  <c r="CQ84"/>
  <c r="CP84"/>
  <c r="CO84"/>
  <c r="CJ84"/>
  <c r="CG84"/>
  <c r="CB84"/>
  <c r="BN84"/>
  <c r="BE84"/>
  <c r="BD84"/>
  <c r="BC84"/>
  <c r="BB84"/>
  <c r="AT84"/>
  <c r="AM84"/>
  <c r="AL84"/>
  <c r="AJ84"/>
  <c r="AH84"/>
  <c r="AG84"/>
  <c r="AF84"/>
  <c r="AD84"/>
  <c r="AC84"/>
  <c r="W84"/>
  <c r="V84"/>
  <c r="U84"/>
  <c r="P84"/>
  <c r="M84"/>
  <c r="EV83"/>
  <c r="DI83"/>
  <c r="CB83"/>
  <c r="BM83"/>
  <c r="BD83"/>
  <c r="BC83"/>
  <c r="AL83"/>
  <c r="EV82"/>
  <c r="DI82"/>
  <c r="DC82"/>
  <c r="CB82"/>
  <c r="BM82"/>
  <c r="AL82"/>
  <c r="AH82"/>
  <c r="EV81"/>
  <c r="EE81"/>
  <c r="DT81"/>
  <c r="DN81"/>
  <c r="CU81"/>
  <c r="CC81"/>
  <c r="CB81"/>
  <c r="BY81"/>
  <c r="BU81"/>
  <c r="BT81"/>
  <c r="BH81"/>
  <c r="AA81"/>
  <c r="EV80"/>
  <c r="EG80"/>
  <c r="CC80"/>
  <c r="CB80"/>
  <c r="BT80"/>
  <c r="I80"/>
  <c r="EV79"/>
  <c r="EU79"/>
  <c r="EQ79"/>
  <c r="EE79"/>
  <c r="DX79"/>
  <c r="DW79"/>
  <c r="DR79"/>
  <c r="DM79"/>
  <c r="DI79"/>
  <c r="DE79"/>
  <c r="DC79"/>
  <c r="DB79"/>
  <c r="DA79"/>
  <c r="CX79"/>
  <c r="CW79"/>
  <c r="CQ79"/>
  <c r="CO79"/>
  <c r="CJ79"/>
  <c r="CG79"/>
  <c r="CB79"/>
  <c r="CA79"/>
  <c r="BM79"/>
  <c r="BJ79"/>
  <c r="BH79"/>
  <c r="BG79"/>
  <c r="BF79"/>
  <c r="BE79"/>
  <c r="BD79"/>
  <c r="BC79"/>
  <c r="BB79"/>
  <c r="AW79"/>
  <c r="AV79"/>
  <c r="AP79"/>
  <c r="AL79"/>
  <c r="AJ79"/>
  <c r="AH79"/>
  <c r="AG79"/>
  <c r="AF79"/>
  <c r="AD79"/>
  <c r="AC79"/>
  <c r="W79"/>
  <c r="U79"/>
  <c r="P79"/>
  <c r="M79"/>
  <c r="EV78"/>
  <c r="DK78"/>
  <c r="DI78"/>
  <c r="DC78"/>
  <c r="CQ78"/>
  <c r="CB78"/>
  <c r="AN78"/>
  <c r="AL78"/>
  <c r="AH78"/>
  <c r="W78"/>
  <c r="EV77"/>
  <c r="DC77"/>
  <c r="CL77"/>
  <c r="CK77"/>
  <c r="CB77"/>
  <c r="AH77"/>
  <c r="R77"/>
  <c r="Q77"/>
  <c r="EV76"/>
  <c r="EU76"/>
  <c r="EQ76"/>
  <c r="EJ76"/>
  <c r="EE76"/>
  <c r="DP76"/>
  <c r="DK76"/>
  <c r="DJ76"/>
  <c r="DI76"/>
  <c r="DC76"/>
  <c r="DB76"/>
  <c r="DA76"/>
  <c r="CW76"/>
  <c r="CQ76"/>
  <c r="CJ76"/>
  <c r="CG76"/>
  <c r="CB76"/>
  <c r="CA76"/>
  <c r="BM76"/>
  <c r="BH76"/>
  <c r="BC76"/>
  <c r="BB76"/>
  <c r="AR76"/>
  <c r="AN76"/>
  <c r="AM76"/>
  <c r="AL76"/>
  <c r="AH76"/>
  <c r="AG76"/>
  <c r="AF76"/>
  <c r="AC76"/>
  <c r="W76"/>
  <c r="P76"/>
  <c r="M76"/>
  <c r="EV75"/>
  <c r="ES75"/>
  <c r="EE75"/>
  <c r="DC75"/>
  <c r="DB75"/>
  <c r="DA75"/>
  <c r="CX75"/>
  <c r="CW75"/>
  <c r="CV75"/>
  <c r="CU75"/>
  <c r="CQ75"/>
  <c r="CO75"/>
  <c r="CJ75"/>
  <c r="CG75"/>
  <c r="CC75"/>
  <c r="CB75"/>
  <c r="BY75"/>
  <c r="BU75"/>
  <c r="BT75"/>
  <c r="BM75"/>
  <c r="BF75"/>
  <c r="AH75"/>
  <c r="AG75"/>
  <c r="AF75"/>
  <c r="AD75"/>
  <c r="AC75"/>
  <c r="AB75"/>
  <c r="AA75"/>
  <c r="W75"/>
  <c r="U75"/>
  <c r="P75"/>
  <c r="M75"/>
  <c r="EV74"/>
  <c r="EM74"/>
  <c r="EE74"/>
  <c r="CV74"/>
  <c r="CU74"/>
  <c r="CC74"/>
  <c r="CB74"/>
  <c r="BZ74"/>
  <c r="BY74"/>
  <c r="BU74"/>
  <c r="BT74"/>
  <c r="BH74"/>
  <c r="AB74"/>
  <c r="AA74"/>
  <c r="EV73"/>
  <c r="EU73"/>
  <c r="EQ73"/>
  <c r="EE73"/>
  <c r="DX73"/>
  <c r="DW73"/>
  <c r="DP73"/>
  <c r="DO73"/>
  <c r="DI73"/>
  <c r="DC73"/>
  <c r="DB73"/>
  <c r="DA73"/>
  <c r="CX73"/>
  <c r="CW73"/>
  <c r="CR73"/>
  <c r="CQ73"/>
  <c r="CP73"/>
  <c r="CO73"/>
  <c r="CJ73"/>
  <c r="CG73"/>
  <c r="CB73"/>
  <c r="CA73"/>
  <c r="BM73"/>
  <c r="BJ73"/>
  <c r="BH73"/>
  <c r="BD73"/>
  <c r="BB73"/>
  <c r="AW73"/>
  <c r="AV73"/>
  <c r="AR73"/>
  <c r="AQ73"/>
  <c r="AL73"/>
  <c r="AH73"/>
  <c r="AG73"/>
  <c r="AF73"/>
  <c r="AD73"/>
  <c r="AC73"/>
  <c r="X73"/>
  <c r="W73"/>
  <c r="V73"/>
  <c r="U73"/>
  <c r="P73"/>
  <c r="M73"/>
  <c r="EV72"/>
  <c r="ES72"/>
  <c r="EE72"/>
  <c r="CC72"/>
  <c r="CB72"/>
  <c r="BY72"/>
  <c r="BU72"/>
  <c r="BT72"/>
  <c r="BH72"/>
  <c r="AK72"/>
  <c r="EV71"/>
  <c r="DK71"/>
  <c r="DI71"/>
  <c r="DC71"/>
  <c r="CG71"/>
  <c r="CB71"/>
  <c r="BM71"/>
  <c r="BC71"/>
  <c r="AN71"/>
  <c r="AL71"/>
  <c r="AH71"/>
  <c r="M71"/>
  <c r="EV70"/>
  <c r="EU70"/>
  <c r="EQ70"/>
  <c r="EE70"/>
  <c r="DE70"/>
  <c r="DC70"/>
  <c r="CF70"/>
  <c r="CE70"/>
  <c r="CB70"/>
  <c r="CA70"/>
  <c r="BE70"/>
  <c r="BC70"/>
  <c r="AJ70"/>
  <c r="AH70"/>
  <c r="L70"/>
  <c r="K70"/>
  <c r="EV69"/>
  <c r="EL69"/>
  <c r="CV69"/>
  <c r="CC69"/>
  <c r="CB69"/>
  <c r="BY69"/>
  <c r="BU69"/>
  <c r="BT69"/>
  <c r="BR69"/>
  <c r="BH69"/>
  <c r="AK69"/>
  <c r="AB69"/>
  <c r="EV68"/>
  <c r="CC68"/>
  <c r="CB68"/>
  <c r="I68"/>
  <c r="EV67"/>
  <c r="EM67"/>
  <c r="EE67"/>
  <c r="CV67"/>
  <c r="CU67"/>
  <c r="CC67"/>
  <c r="CB67"/>
  <c r="BY67"/>
  <c r="BU67"/>
  <c r="BT67"/>
  <c r="BH67"/>
  <c r="AK67"/>
  <c r="AB67"/>
  <c r="AA67"/>
  <c r="EV66"/>
  <c r="EU66"/>
  <c r="EQ66"/>
  <c r="EE66"/>
  <c r="DK66"/>
  <c r="DI66"/>
  <c r="DC66"/>
  <c r="DB66"/>
  <c r="DA66"/>
  <c r="CX66"/>
  <c r="CW66"/>
  <c r="CQ66"/>
  <c r="CJ66"/>
  <c r="CG66"/>
  <c r="CB66"/>
  <c r="CA66"/>
  <c r="BM66"/>
  <c r="BJ66"/>
  <c r="BE66"/>
  <c r="BD66"/>
  <c r="BC66"/>
  <c r="AN66"/>
  <c r="AL66"/>
  <c r="AH66"/>
  <c r="AG66"/>
  <c r="AF66"/>
  <c r="AD66"/>
  <c r="AC66"/>
  <c r="W66"/>
  <c r="P66"/>
  <c r="M66"/>
  <c r="EV65"/>
  <c r="EQ65"/>
  <c r="EE65"/>
  <c r="DR65"/>
  <c r="DO65"/>
  <c r="DJ65"/>
  <c r="DI65"/>
  <c r="DE65"/>
  <c r="DC65"/>
  <c r="DB65"/>
  <c r="DA65"/>
  <c r="CX65"/>
  <c r="CW65"/>
  <c r="CR65"/>
  <c r="CQ65"/>
  <c r="CP65"/>
  <c r="CO65"/>
  <c r="CJ65"/>
  <c r="CG65"/>
  <c r="CB65"/>
  <c r="BM65"/>
  <c r="BG65"/>
  <c r="BE65"/>
  <c r="BD65"/>
  <c r="BC65"/>
  <c r="BB65"/>
  <c r="AQ65"/>
  <c r="AM65"/>
  <c r="AL65"/>
  <c r="AJ65"/>
  <c r="AH65"/>
  <c r="AG65"/>
  <c r="AF65"/>
  <c r="AD65"/>
  <c r="AC65"/>
  <c r="X65"/>
  <c r="W65"/>
  <c r="V65"/>
  <c r="U65"/>
  <c r="P65"/>
  <c r="M65"/>
  <c r="EV64"/>
  <c r="ES64"/>
  <c r="EN64"/>
  <c r="EH64"/>
  <c r="EG64"/>
  <c r="EE64"/>
  <c r="ED64"/>
  <c r="DD64"/>
  <c r="CD64"/>
  <c r="CC64"/>
  <c r="CB64"/>
  <c r="BY64"/>
  <c r="BX64"/>
  <c r="BU64"/>
  <c r="BT64"/>
  <c r="BH64"/>
  <c r="AI64"/>
  <c r="J64"/>
  <c r="I64"/>
  <c r="EV63"/>
  <c r="DW63"/>
  <c r="DR63"/>
  <c r="DJ63"/>
  <c r="DI63"/>
  <c r="DE63"/>
  <c r="DC63"/>
  <c r="DB63"/>
  <c r="DA63"/>
  <c r="CX63"/>
  <c r="CW63"/>
  <c r="CT63"/>
  <c r="CR63"/>
  <c r="CQ63"/>
  <c r="CP63"/>
  <c r="CO63"/>
  <c r="CJ63"/>
  <c r="CG63"/>
  <c r="CB63"/>
  <c r="BM63"/>
  <c r="BE63"/>
  <c r="BD63"/>
  <c r="BB63"/>
  <c r="AV63"/>
  <c r="AM63"/>
  <c r="AL63"/>
  <c r="AJ63"/>
  <c r="AH63"/>
  <c r="AG63"/>
  <c r="AF63"/>
  <c r="AD63"/>
  <c r="AC63"/>
  <c r="Z63"/>
  <c r="X63"/>
  <c r="W63"/>
  <c r="V63"/>
  <c r="U63"/>
  <c r="P63"/>
  <c r="M63"/>
  <c r="EV62"/>
  <c r="ER62"/>
  <c r="EE62"/>
  <c r="CV62"/>
  <c r="CU62"/>
  <c r="CC62"/>
  <c r="CB62"/>
  <c r="BY62"/>
  <c r="BU62"/>
  <c r="BT62"/>
  <c r="BH62"/>
  <c r="AB62"/>
  <c r="AA62"/>
  <c r="EV61"/>
  <c r="EQ61"/>
  <c r="EE61"/>
  <c r="DX61"/>
  <c r="DW61"/>
  <c r="DR61"/>
  <c r="DI61"/>
  <c r="DE61"/>
  <c r="DC61"/>
  <c r="DB61"/>
  <c r="DA61"/>
  <c r="CX61"/>
  <c r="CW61"/>
  <c r="CR61"/>
  <c r="CQ61"/>
  <c r="CO61"/>
  <c r="CJ61"/>
  <c r="CG61"/>
  <c r="CB61"/>
  <c r="BM61"/>
  <c r="BJ61"/>
  <c r="BE61"/>
  <c r="BD61"/>
  <c r="BC61"/>
  <c r="BB61"/>
  <c r="AW61"/>
  <c r="AV61"/>
  <c r="AL61"/>
  <c r="AJ61"/>
  <c r="AH61"/>
  <c r="AG61"/>
  <c r="AF61"/>
  <c r="AD61"/>
  <c r="AC61"/>
  <c r="X61"/>
  <c r="W61"/>
  <c r="U61"/>
  <c r="P61"/>
  <c r="M61"/>
  <c r="EV60"/>
  <c r="EE60"/>
  <c r="DN60"/>
  <c r="CC60"/>
  <c r="CB60"/>
  <c r="BY60"/>
  <c r="BU60"/>
  <c r="BT60"/>
  <c r="BQ60"/>
  <c r="BH60"/>
  <c r="AI60"/>
  <c r="I60"/>
  <c r="EV59"/>
  <c r="DI59"/>
  <c r="DF59"/>
  <c r="DE59"/>
  <c r="DC59"/>
  <c r="CX59"/>
  <c r="CW59"/>
  <c r="CB59"/>
  <c r="BB59"/>
  <c r="AL59"/>
  <c r="AJ59"/>
  <c r="AH59"/>
  <c r="AD59"/>
  <c r="AC59"/>
  <c r="EV58"/>
  <c r="EQ58"/>
  <c r="EE58"/>
  <c r="DI58"/>
  <c r="DE58"/>
  <c r="DC58"/>
  <c r="CP58"/>
  <c r="CJ58"/>
  <c r="CG58"/>
  <c r="CB58"/>
  <c r="BD58"/>
  <c r="AL58"/>
  <c r="AJ58"/>
  <c r="AH58"/>
  <c r="V58"/>
  <c r="P58"/>
  <c r="M58"/>
  <c r="EV57"/>
  <c r="ES57"/>
  <c r="EM57"/>
  <c r="EE57"/>
  <c r="CV57"/>
  <c r="CU57"/>
  <c r="CC57"/>
  <c r="CB57"/>
  <c r="BZ57"/>
  <c r="BY57"/>
  <c r="BU57"/>
  <c r="BT57"/>
  <c r="BR57"/>
  <c r="BH57"/>
  <c r="AB57"/>
  <c r="AA57"/>
  <c r="EV56"/>
  <c r="DI56"/>
  <c r="DC56"/>
  <c r="CB56"/>
  <c r="AL56"/>
  <c r="AH56"/>
  <c r="EV55"/>
  <c r="DK55"/>
  <c r="DI55"/>
  <c r="DC55"/>
  <c r="CW55"/>
  <c r="CB55"/>
  <c r="AN55"/>
  <c r="AL55"/>
  <c r="AH55"/>
  <c r="AC55"/>
  <c r="EV54"/>
  <c r="ES54"/>
  <c r="EN54"/>
  <c r="EH54"/>
  <c r="EG54"/>
  <c r="EE54"/>
  <c r="ED54"/>
  <c r="DT54"/>
  <c r="DS54"/>
  <c r="CD54"/>
  <c r="CC54"/>
  <c r="CB54"/>
  <c r="BY54"/>
  <c r="BX54"/>
  <c r="BU54"/>
  <c r="BT54"/>
  <c r="BH54"/>
  <c r="J54"/>
  <c r="I54"/>
  <c r="EV53"/>
  <c r="ES53"/>
  <c r="EE53"/>
  <c r="DH53"/>
  <c r="CC53"/>
  <c r="CB53"/>
  <c r="BY53"/>
  <c r="BU53"/>
  <c r="BT53"/>
  <c r="BH53"/>
  <c r="AK53"/>
  <c r="EV52"/>
  <c r="EU52"/>
  <c r="EQ52"/>
  <c r="EE52"/>
  <c r="DM52"/>
  <c r="DI52"/>
  <c r="DE52"/>
  <c r="DC52"/>
  <c r="DB52"/>
  <c r="DA52"/>
  <c r="CX52"/>
  <c r="CW52"/>
  <c r="CR52"/>
  <c r="CQ52"/>
  <c r="CJ52"/>
  <c r="CG52"/>
  <c r="CB52"/>
  <c r="CA52"/>
  <c r="BM52"/>
  <c r="BL52"/>
  <c r="BJ52"/>
  <c r="BE52"/>
  <c r="AP52"/>
  <c r="AL52"/>
  <c r="AJ52"/>
  <c r="AH52"/>
  <c r="AG52"/>
  <c r="AF52"/>
  <c r="AD52"/>
  <c r="AC52"/>
  <c r="X52"/>
  <c r="W52"/>
  <c r="P52"/>
  <c r="M52"/>
  <c r="EV51"/>
  <c r="EQ51"/>
  <c r="EE51"/>
  <c r="DJ51"/>
  <c r="DI51"/>
  <c r="DE51"/>
  <c r="DC51"/>
  <c r="DB51"/>
  <c r="DA51"/>
  <c r="CX51"/>
  <c r="CW51"/>
  <c r="CS51"/>
  <c r="CR51"/>
  <c r="CQ51"/>
  <c r="CP51"/>
  <c r="CO51"/>
  <c r="CN51"/>
  <c r="CJ51"/>
  <c r="CG51"/>
  <c r="CB51"/>
  <c r="BM51"/>
  <c r="BE51"/>
  <c r="BD51"/>
  <c r="BC51"/>
  <c r="BB51"/>
  <c r="AM51"/>
  <c r="AL51"/>
  <c r="AJ51"/>
  <c r="AH51"/>
  <c r="AG51"/>
  <c r="AF51"/>
  <c r="AD51"/>
  <c r="AC51"/>
  <c r="Y51"/>
  <c r="X51"/>
  <c r="W51"/>
  <c r="V51"/>
  <c r="U51"/>
  <c r="T51"/>
  <c r="P51"/>
  <c r="M51"/>
  <c r="EV50"/>
  <c r="EQ50"/>
  <c r="EE50"/>
  <c r="DI50"/>
  <c r="DE50"/>
  <c r="DC50"/>
  <c r="CJ50"/>
  <c r="CG50"/>
  <c r="CB50"/>
  <c r="BM50"/>
  <c r="BH50"/>
  <c r="BD50"/>
  <c r="BC50"/>
  <c r="BB50"/>
  <c r="AL50"/>
  <c r="AJ50"/>
  <c r="AH50"/>
  <c r="P50"/>
  <c r="M50"/>
  <c r="EV49"/>
  <c r="ES49"/>
  <c r="EG49"/>
  <c r="EF49"/>
  <c r="EE49"/>
  <c r="CD49"/>
  <c r="CC49"/>
  <c r="CB49"/>
  <c r="BY49"/>
  <c r="BT49"/>
  <c r="BR49"/>
  <c r="J49"/>
  <c r="I49"/>
  <c r="EV48"/>
  <c r="EM48"/>
  <c r="EE48"/>
  <c r="CC48"/>
  <c r="CB48"/>
  <c r="BY48"/>
  <c r="BU48"/>
  <c r="BT48"/>
  <c r="BR48"/>
  <c r="BH48"/>
  <c r="EV47"/>
  <c r="CC47"/>
  <c r="CB47"/>
  <c r="I47"/>
  <c r="EV46"/>
  <c r="EQ46"/>
  <c r="EE46"/>
  <c r="DR46"/>
  <c r="DK46"/>
  <c r="DI46"/>
  <c r="DE46"/>
  <c r="DC46"/>
  <c r="DB46"/>
  <c r="DA46"/>
  <c r="CX46"/>
  <c r="CW46"/>
  <c r="CR46"/>
  <c r="CQ46"/>
  <c r="CP46"/>
  <c r="CO46"/>
  <c r="CJ46"/>
  <c r="CG46"/>
  <c r="CB46"/>
  <c r="BE46"/>
  <c r="AN46"/>
  <c r="AL46"/>
  <c r="AJ46"/>
  <c r="AH46"/>
  <c r="AG46"/>
  <c r="AF46"/>
  <c r="AD46"/>
  <c r="AC46"/>
  <c r="X46"/>
  <c r="W46"/>
  <c r="V46"/>
  <c r="U46"/>
  <c r="P46"/>
  <c r="M46"/>
  <c r="EV45"/>
  <c r="EE45"/>
  <c r="CC45"/>
  <c r="CB45"/>
  <c r="I45"/>
  <c r="EV44"/>
  <c r="DJ44"/>
  <c r="DE44"/>
  <c r="DC44"/>
  <c r="DA44"/>
  <c r="CN44"/>
  <c r="CG44"/>
  <c r="CB44"/>
  <c r="BM44"/>
  <c r="BL44"/>
  <c r="BJ44"/>
  <c r="BH44"/>
  <c r="BF44"/>
  <c r="BE44"/>
  <c r="BD44"/>
  <c r="BC44"/>
  <c r="BB44"/>
  <c r="AM44"/>
  <c r="AJ44"/>
  <c r="AH44"/>
  <c r="AF44"/>
  <c r="T44"/>
  <c r="M44"/>
  <c r="EV43"/>
  <c r="ET43"/>
  <c r="ES43"/>
  <c r="EN43"/>
  <c r="EG43"/>
  <c r="EE43"/>
  <c r="ED43"/>
  <c r="CD43"/>
  <c r="CC43"/>
  <c r="CB43"/>
  <c r="BZ43"/>
  <c r="BY43"/>
  <c r="BX43"/>
  <c r="BT43"/>
  <c r="BH43"/>
  <c r="J43"/>
  <c r="I43"/>
  <c r="EV42"/>
  <c r="EC42"/>
  <c r="DI42"/>
  <c r="DE42"/>
  <c r="DC42"/>
  <c r="CW42"/>
  <c r="CJ42"/>
  <c r="CG42"/>
  <c r="CB42"/>
  <c r="BM42"/>
  <c r="BJ42"/>
  <c r="BH42"/>
  <c r="BG42"/>
  <c r="BF42"/>
  <c r="BE42"/>
  <c r="BD42"/>
  <c r="BC42"/>
  <c r="BB42"/>
  <c r="AL42"/>
  <c r="AJ42"/>
  <c r="AH42"/>
  <c r="AC42"/>
  <c r="P42"/>
  <c r="M42"/>
  <c r="EV41"/>
  <c r="EU41"/>
  <c r="EQ41"/>
  <c r="EE41"/>
  <c r="DI41"/>
  <c r="DE41"/>
  <c r="DC41"/>
  <c r="CX41"/>
  <c r="CW41"/>
  <c r="CS41"/>
  <c r="CJ41"/>
  <c r="CG41"/>
  <c r="CB41"/>
  <c r="CA41"/>
  <c r="BD41"/>
  <c r="BB41"/>
  <c r="AL41"/>
  <c r="AJ41"/>
  <c r="AH41"/>
  <c r="AD41"/>
  <c r="AC41"/>
  <c r="Y41"/>
  <c r="P41"/>
  <c r="M41"/>
  <c r="EV40"/>
  <c r="EQ40"/>
  <c r="EE40"/>
  <c r="DI40"/>
  <c r="DE40"/>
  <c r="DC40"/>
  <c r="CX40"/>
  <c r="CW40"/>
  <c r="CJ40"/>
  <c r="CG40"/>
  <c r="CB40"/>
  <c r="BM40"/>
  <c r="BJ40"/>
  <c r="BD40"/>
  <c r="BC40"/>
  <c r="BB40"/>
  <c r="AL40"/>
  <c r="AJ40"/>
  <c r="AH40"/>
  <c r="AD40"/>
  <c r="AC40"/>
  <c r="P40"/>
  <c r="M40"/>
  <c r="EV39"/>
  <c r="CC39"/>
  <c r="CB39"/>
  <c r="I39"/>
  <c r="EV38"/>
  <c r="CC38"/>
  <c r="CB38"/>
  <c r="I38"/>
  <c r="EV37"/>
  <c r="ES37"/>
  <c r="EN37"/>
  <c r="EH37"/>
  <c r="EE37"/>
  <c r="CD37"/>
  <c r="CC37"/>
  <c r="CB37"/>
  <c r="BU37"/>
  <c r="J37"/>
  <c r="I37"/>
  <c r="EV36"/>
  <c r="EO36"/>
  <c r="EN36"/>
  <c r="EE36"/>
  <c r="CY36"/>
  <c r="CC36"/>
  <c r="CB36"/>
  <c r="BY36"/>
  <c r="BX36"/>
  <c r="BU36"/>
  <c r="BT36"/>
  <c r="BH36"/>
  <c r="AE36"/>
  <c r="I36"/>
  <c r="EV35"/>
  <c r="EU35"/>
  <c r="EQ35"/>
  <c r="EE35"/>
  <c r="EA35"/>
  <c r="DZ35"/>
  <c r="DJ35"/>
  <c r="DI35"/>
  <c r="DE35"/>
  <c r="DC35"/>
  <c r="DB35"/>
  <c r="DA35"/>
  <c r="CX35"/>
  <c r="CW35"/>
  <c r="CR35"/>
  <c r="CQ35"/>
  <c r="CP35"/>
  <c r="CO35"/>
  <c r="CJ35"/>
  <c r="CG35"/>
  <c r="CB35"/>
  <c r="CA35"/>
  <c r="BM35"/>
  <c r="AZ35"/>
  <c r="AY35"/>
  <c r="AM35"/>
  <c r="AL35"/>
  <c r="AJ35"/>
  <c r="AH35"/>
  <c r="AG35"/>
  <c r="AF35"/>
  <c r="AD35"/>
  <c r="AC35"/>
  <c r="X35"/>
  <c r="W35"/>
  <c r="V35"/>
  <c r="U35"/>
  <c r="P35"/>
  <c r="M35"/>
  <c r="EV34"/>
  <c r="EQ34"/>
  <c r="EE34"/>
  <c r="EC34"/>
  <c r="DV34"/>
  <c r="DU34"/>
  <c r="DJ34"/>
  <c r="DI34"/>
  <c r="DE34"/>
  <c r="DC34"/>
  <c r="CJ34"/>
  <c r="CG34"/>
  <c r="CB34"/>
  <c r="BN34"/>
  <c r="BM34"/>
  <c r="BG34"/>
  <c r="BF34"/>
  <c r="BB34"/>
  <c r="AU34"/>
  <c r="AT34"/>
  <c r="AM34"/>
  <c r="AL34"/>
  <c r="AJ34"/>
  <c r="AH34"/>
  <c r="P34"/>
  <c r="M34"/>
  <c r="EV33"/>
  <c r="EU33"/>
  <c r="EQ33"/>
  <c r="EE33"/>
  <c r="DR33"/>
  <c r="DM33"/>
  <c r="DI33"/>
  <c r="DE33"/>
  <c r="DC33"/>
  <c r="DB33"/>
  <c r="DA33"/>
  <c r="CX33"/>
  <c r="CW33"/>
  <c r="CJ33"/>
  <c r="CG33"/>
  <c r="CB33"/>
  <c r="CA33"/>
  <c r="BM33"/>
  <c r="BH33"/>
  <c r="BC33"/>
  <c r="BB33"/>
  <c r="AP33"/>
  <c r="AL33"/>
  <c r="AJ33"/>
  <c r="AH33"/>
  <c r="AG33"/>
  <c r="AF33"/>
  <c r="AD33"/>
  <c r="AC33"/>
  <c r="P33"/>
  <c r="M33"/>
  <c r="EV32"/>
  <c r="EU32"/>
  <c r="EQ32"/>
  <c r="EE32"/>
  <c r="DV32"/>
  <c r="DE32"/>
  <c r="DC32"/>
  <c r="CF32"/>
  <c r="CE32"/>
  <c r="CB32"/>
  <c r="CA32"/>
  <c r="BO32"/>
  <c r="BN32"/>
  <c r="BE32"/>
  <c r="AU32"/>
  <c r="AJ32"/>
  <c r="AH32"/>
  <c r="L32"/>
  <c r="K32"/>
  <c r="EV31"/>
  <c r="EU31"/>
  <c r="EQ31"/>
  <c r="EE31"/>
  <c r="DI31"/>
  <c r="DE31"/>
  <c r="DC31"/>
  <c r="DB31"/>
  <c r="DA31"/>
  <c r="CX31"/>
  <c r="CW31"/>
  <c r="CR31"/>
  <c r="CQ31"/>
  <c r="CP31"/>
  <c r="CO31"/>
  <c r="CJ31"/>
  <c r="CG31"/>
  <c r="CB31"/>
  <c r="CA31"/>
  <c r="BE31"/>
  <c r="BB31"/>
  <c r="AL31"/>
  <c r="AJ31"/>
  <c r="AH31"/>
  <c r="AG31"/>
  <c r="AF31"/>
  <c r="AD31"/>
  <c r="AC31"/>
  <c r="X31"/>
  <c r="W31"/>
  <c r="V31"/>
  <c r="U31"/>
  <c r="P31"/>
  <c r="M31"/>
  <c r="EV30"/>
  <c r="DC30"/>
  <c r="CL30"/>
  <c r="CK30"/>
  <c r="CB30"/>
  <c r="AH30"/>
  <c r="R30"/>
  <c r="Q30"/>
  <c r="EV29"/>
  <c r="EU29"/>
  <c r="EQ29"/>
  <c r="EE29"/>
  <c r="DI29"/>
  <c r="DE29"/>
  <c r="DC29"/>
  <c r="CX29"/>
  <c r="CW29"/>
  <c r="CQ29"/>
  <c r="CJ29"/>
  <c r="CG29"/>
  <c r="CB29"/>
  <c r="CA29"/>
  <c r="BM29"/>
  <c r="BE29"/>
  <c r="BD29"/>
  <c r="BC29"/>
  <c r="BB29"/>
  <c r="AL29"/>
  <c r="AJ29"/>
  <c r="AH29"/>
  <c r="AD29"/>
  <c r="AC29"/>
  <c r="W29"/>
  <c r="P29"/>
  <c r="M29"/>
  <c r="EV28"/>
  <c r="EQ28"/>
  <c r="EE28"/>
  <c r="DK28"/>
  <c r="DJ28"/>
  <c r="DI28"/>
  <c r="DE28"/>
  <c r="DC28"/>
  <c r="CJ28"/>
  <c r="CG28"/>
  <c r="CB28"/>
  <c r="BL28"/>
  <c r="BH28"/>
  <c r="BE28"/>
  <c r="BC28"/>
  <c r="BB28"/>
  <c r="AN28"/>
  <c r="AM28"/>
  <c r="AL28"/>
  <c r="AJ28"/>
  <c r="AH28"/>
  <c r="P28"/>
  <c r="M28"/>
  <c r="EV27"/>
  <c r="EQ27"/>
  <c r="EE27"/>
  <c r="DW27"/>
  <c r="DM27"/>
  <c r="DI27"/>
  <c r="DE27"/>
  <c r="DC27"/>
  <c r="DB27"/>
  <c r="DA27"/>
  <c r="CX27"/>
  <c r="CW27"/>
  <c r="CR27"/>
  <c r="CQ27"/>
  <c r="CP27"/>
  <c r="CO27"/>
  <c r="CJ27"/>
  <c r="CG27"/>
  <c r="CB27"/>
  <c r="BM27"/>
  <c r="BG27"/>
  <c r="BE27"/>
  <c r="BC27"/>
  <c r="BB27"/>
  <c r="AV27"/>
  <c r="AP27"/>
  <c r="AL27"/>
  <c r="AJ27"/>
  <c r="AH27"/>
  <c r="AG27"/>
  <c r="AF27"/>
  <c r="AD27"/>
  <c r="AC27"/>
  <c r="X27"/>
  <c r="W27"/>
  <c r="V27"/>
  <c r="U27"/>
  <c r="P27"/>
  <c r="M27"/>
  <c r="EV26"/>
  <c r="EQ26"/>
  <c r="EE26"/>
  <c r="DI26"/>
  <c r="DE26"/>
  <c r="DC26"/>
  <c r="CX26"/>
  <c r="CW26"/>
  <c r="CJ26"/>
  <c r="CG26"/>
  <c r="CB26"/>
  <c r="BM26"/>
  <c r="BB26"/>
  <c r="AL26"/>
  <c r="AJ26"/>
  <c r="AH26"/>
  <c r="AD26"/>
  <c r="AC26"/>
  <c r="P26"/>
  <c r="M26"/>
  <c r="EV25"/>
  <c r="ES25"/>
  <c r="EN25"/>
  <c r="EI25"/>
  <c r="EH25"/>
  <c r="EG25"/>
  <c r="EE25"/>
  <c r="ED25"/>
  <c r="DD25"/>
  <c r="CD25"/>
  <c r="CC25"/>
  <c r="CB25"/>
  <c r="BY25"/>
  <c r="BX25"/>
  <c r="BV25"/>
  <c r="BU25"/>
  <c r="BT25"/>
  <c r="BH25"/>
  <c r="AI25"/>
  <c r="J25"/>
  <c r="I25"/>
  <c r="EV24"/>
  <c r="EU24"/>
  <c r="EQ24"/>
  <c r="DK24"/>
  <c r="DI24"/>
  <c r="DC24"/>
  <c r="DB24"/>
  <c r="DA24"/>
  <c r="CW24"/>
  <c r="CR24"/>
  <c r="CQ24"/>
  <c r="CP24"/>
  <c r="CO24"/>
  <c r="CJ24"/>
  <c r="CG24"/>
  <c r="CB24"/>
  <c r="CA24"/>
  <c r="BM24"/>
  <c r="BJ24"/>
  <c r="BE24"/>
  <c r="AN24"/>
  <c r="AL24"/>
  <c r="AH24"/>
  <c r="AG24"/>
  <c r="AF24"/>
  <c r="AC24"/>
  <c r="X24"/>
  <c r="W24"/>
  <c r="V24"/>
  <c r="U24"/>
  <c r="P24"/>
  <c r="M24"/>
  <c r="EV23"/>
  <c r="EQ23"/>
  <c r="EE23"/>
  <c r="DI23"/>
  <c r="DE23"/>
  <c r="DC23"/>
  <c r="CJ23"/>
  <c r="CG23"/>
  <c r="CB23"/>
  <c r="BH23"/>
  <c r="BC23"/>
  <c r="BB23"/>
  <c r="AL23"/>
  <c r="AJ23"/>
  <c r="AH23"/>
  <c r="P23"/>
  <c r="M23"/>
  <c r="EV22"/>
  <c r="EU22"/>
  <c r="EQ22"/>
  <c r="DY22"/>
  <c r="DK22"/>
  <c r="DI22"/>
  <c r="DC22"/>
  <c r="CQ22"/>
  <c r="CG22"/>
  <c r="CB22"/>
  <c r="CA22"/>
  <c r="BE22"/>
  <c r="AX22"/>
  <c r="AN22"/>
  <c r="AL22"/>
  <c r="AH22"/>
  <c r="W22"/>
  <c r="M22"/>
  <c r="EV21"/>
  <c r="EQ21"/>
  <c r="EE21"/>
  <c r="DI21"/>
  <c r="DE21"/>
  <c r="DC21"/>
  <c r="DB21"/>
  <c r="DA21"/>
  <c r="CX21"/>
  <c r="CW21"/>
  <c r="CR21"/>
  <c r="CQ21"/>
  <c r="CN21"/>
  <c r="CJ21"/>
  <c r="CG21"/>
  <c r="CB21"/>
  <c r="BM21"/>
  <c r="BH21"/>
  <c r="BE21"/>
  <c r="BD21"/>
  <c r="BC21"/>
  <c r="BB21"/>
  <c r="AL21"/>
  <c r="AJ21"/>
  <c r="AH21"/>
  <c r="AG21"/>
  <c r="AF21"/>
  <c r="AD21"/>
  <c r="AC21"/>
  <c r="X21"/>
  <c r="W21"/>
  <c r="T21"/>
  <c r="P21"/>
  <c r="M21"/>
  <c r="EV20"/>
  <c r="EU20"/>
  <c r="EQ20"/>
  <c r="EE20"/>
  <c r="DI20"/>
  <c r="DE20"/>
  <c r="DC20"/>
  <c r="DB20"/>
  <c r="DA20"/>
  <c r="CX20"/>
  <c r="CW20"/>
  <c r="CQ20"/>
  <c r="CO20"/>
  <c r="CJ20"/>
  <c r="CG20"/>
  <c r="CB20"/>
  <c r="CA20"/>
  <c r="BM20"/>
  <c r="BK20"/>
  <c r="BH20"/>
  <c r="BE20"/>
  <c r="BD20"/>
  <c r="BC20"/>
  <c r="BB20"/>
  <c r="AL20"/>
  <c r="AJ20"/>
  <c r="AH20"/>
  <c r="AG20"/>
  <c r="AF20"/>
  <c r="AD20"/>
  <c r="AC20"/>
  <c r="W20"/>
  <c r="U20"/>
  <c r="P20"/>
  <c r="M20"/>
  <c r="EV19"/>
  <c r="EQ19"/>
  <c r="EE19"/>
  <c r="DI19"/>
  <c r="DE19"/>
  <c r="DC19"/>
  <c r="DA19"/>
  <c r="CW19"/>
  <c r="CO19"/>
  <c r="CJ19"/>
  <c r="CG19"/>
  <c r="CB19"/>
  <c r="AL19"/>
  <c r="AJ19"/>
  <c r="AH19"/>
  <c r="AF19"/>
  <c r="AC19"/>
  <c r="U19"/>
  <c r="P19"/>
  <c r="M19"/>
  <c r="EV18"/>
  <c r="EU18"/>
  <c r="EQ18"/>
  <c r="EE18"/>
  <c r="EC18"/>
  <c r="DI18"/>
  <c r="DE18"/>
  <c r="DC18"/>
  <c r="DB18"/>
  <c r="DA18"/>
  <c r="CW18"/>
  <c r="CQ18"/>
  <c r="CJ18"/>
  <c r="CG18"/>
  <c r="CB18"/>
  <c r="CA18"/>
  <c r="BM18"/>
  <c r="BH18"/>
  <c r="BG18"/>
  <c r="BF18"/>
  <c r="BD18"/>
  <c r="BC18"/>
  <c r="BB18"/>
  <c r="AL18"/>
  <c r="AJ18"/>
  <c r="AH18"/>
  <c r="AG18"/>
  <c r="AF18"/>
  <c r="AC18"/>
  <c r="W18"/>
  <c r="P18"/>
  <c r="M18"/>
  <c r="EV17"/>
  <c r="EU17"/>
  <c r="EQ17"/>
  <c r="EJ17"/>
  <c r="EE17"/>
  <c r="DX17"/>
  <c r="DW17"/>
  <c r="DP17"/>
  <c r="DK17"/>
  <c r="DJ17"/>
  <c r="DI17"/>
  <c r="DE17"/>
  <c r="DC17"/>
  <c r="DB17"/>
  <c r="DA17"/>
  <c r="CX17"/>
  <c r="CW17"/>
  <c r="CR17"/>
  <c r="CQ17"/>
  <c r="CO17"/>
  <c r="CJ17"/>
  <c r="CG17"/>
  <c r="CB17"/>
  <c r="CA17"/>
  <c r="BM17"/>
  <c r="BL17"/>
  <c r="BJ17"/>
  <c r="AW17"/>
  <c r="AV17"/>
  <c r="AR17"/>
  <c r="AN17"/>
  <c r="AM17"/>
  <c r="AL17"/>
  <c r="AJ17"/>
  <c r="AH17"/>
  <c r="AG17"/>
  <c r="AF17"/>
  <c r="AD17"/>
  <c r="AC17"/>
  <c r="X17"/>
  <c r="W17"/>
  <c r="U17"/>
  <c r="P17"/>
  <c r="M17"/>
  <c r="EV16"/>
  <c r="EQ16"/>
  <c r="EE16"/>
  <c r="DP16"/>
  <c r="DI16"/>
  <c r="DE16"/>
  <c r="DC16"/>
  <c r="DB16"/>
  <c r="DA16"/>
  <c r="CX16"/>
  <c r="CW16"/>
  <c r="CQ16"/>
  <c r="CP16"/>
  <c r="CO16"/>
  <c r="CJ16"/>
  <c r="CG16"/>
  <c r="CB16"/>
  <c r="BM16"/>
  <c r="BH16"/>
  <c r="BD16"/>
  <c r="BC16"/>
  <c r="BB16"/>
  <c r="AR16"/>
  <c r="AL16"/>
  <c r="AJ16"/>
  <c r="AH16"/>
  <c r="AG16"/>
  <c r="AF16"/>
  <c r="AD16"/>
  <c r="AC16"/>
  <c r="W16"/>
  <c r="V16"/>
  <c r="U16"/>
  <c r="P16"/>
  <c r="M16"/>
  <c r="EV15"/>
  <c r="EU15"/>
  <c r="EQ15"/>
  <c r="EE15"/>
  <c r="EC15"/>
  <c r="DZ15"/>
  <c r="DY15"/>
  <c r="DX15"/>
  <c r="DW15"/>
  <c r="DR15"/>
  <c r="DI15"/>
  <c r="DE15"/>
  <c r="DC15"/>
  <c r="DB15"/>
  <c r="DA15"/>
  <c r="CX15"/>
  <c r="CW15"/>
  <c r="CR15"/>
  <c r="CQ15"/>
  <c r="CP15"/>
  <c r="CO15"/>
  <c r="CJ15"/>
  <c r="CG15"/>
  <c r="CB15"/>
  <c r="CA15"/>
  <c r="BM15"/>
  <c r="BH15"/>
  <c r="BG15"/>
  <c r="BF15"/>
  <c r="BE15"/>
  <c r="BC15"/>
  <c r="AY15"/>
  <c r="AX15"/>
  <c r="AW15"/>
  <c r="AV15"/>
  <c r="AL15"/>
  <c r="AJ15"/>
  <c r="AH15"/>
  <c r="AG15"/>
  <c r="AF15"/>
  <c r="AD15"/>
  <c r="AC15"/>
  <c r="X15"/>
  <c r="W15"/>
  <c r="V15"/>
  <c r="U15"/>
  <c r="P15"/>
  <c r="M15"/>
  <c r="EV14"/>
  <c r="EU14"/>
  <c r="EQ14"/>
  <c r="EE14"/>
  <c r="DY14"/>
  <c r="DM14"/>
  <c r="DJ14"/>
  <c r="DI14"/>
  <c r="DC14"/>
  <c r="DB14"/>
  <c r="DA14"/>
  <c r="CX14"/>
  <c r="CW14"/>
  <c r="CR14"/>
  <c r="CQ14"/>
  <c r="CP14"/>
  <c r="CO14"/>
  <c r="CJ14"/>
  <c r="CG14"/>
  <c r="CB14"/>
  <c r="CA14"/>
  <c r="BM14"/>
  <c r="BL14"/>
  <c r="BJ14"/>
  <c r="BD14"/>
  <c r="BC14"/>
  <c r="BB14"/>
  <c r="AX14"/>
  <c r="AP14"/>
  <c r="AM14"/>
  <c r="AL14"/>
  <c r="AH14"/>
  <c r="AG14"/>
  <c r="AF14"/>
  <c r="AD14"/>
  <c r="AC14"/>
  <c r="X14"/>
  <c r="W14"/>
  <c r="V14"/>
  <c r="U14"/>
  <c r="P14"/>
  <c r="M14"/>
  <c r="EV13"/>
  <c r="ES13"/>
  <c r="EN13"/>
  <c r="EI13"/>
  <c r="EH13"/>
  <c r="EG13"/>
  <c r="EF13"/>
  <c r="EE13"/>
  <c r="ED13"/>
  <c r="CD13"/>
  <c r="CC13"/>
  <c r="CB13"/>
  <c r="BY13"/>
  <c r="BX13"/>
  <c r="BV13"/>
  <c r="BU13"/>
  <c r="BT13"/>
  <c r="BR13"/>
  <c r="BH13"/>
  <c r="J13"/>
  <c r="I13"/>
  <c r="EV12"/>
  <c r="EQ12"/>
  <c r="EE12"/>
  <c r="DI12"/>
  <c r="DE12"/>
  <c r="DC12"/>
  <c r="DB12"/>
  <c r="CP12"/>
  <c r="CJ12"/>
  <c r="CG12"/>
  <c r="CB12"/>
  <c r="BE12"/>
  <c r="BB12"/>
  <c r="AL12"/>
  <c r="AJ12"/>
  <c r="AH12"/>
  <c r="AG12"/>
  <c r="V12"/>
  <c r="P12"/>
  <c r="M12"/>
  <c r="EV11"/>
  <c r="DI11"/>
  <c r="CB11"/>
  <c r="AL11"/>
  <c r="EV10"/>
  <c r="EU10"/>
  <c r="EQ10"/>
  <c r="EE10"/>
  <c r="DP10"/>
  <c r="DJ10"/>
  <c r="DI10"/>
  <c r="DE10"/>
  <c r="DC10"/>
  <c r="DB10"/>
  <c r="DA10"/>
  <c r="CW10"/>
  <c r="CQ10"/>
  <c r="CO10"/>
  <c r="CG10"/>
  <c r="CB10"/>
  <c r="CA10"/>
  <c r="BM10"/>
  <c r="BH10"/>
  <c r="BD10"/>
  <c r="AR10"/>
  <c r="AM10"/>
  <c r="AL10"/>
  <c r="AJ10"/>
  <c r="AH10"/>
  <c r="AG10"/>
  <c r="AF10"/>
  <c r="AC10"/>
  <c r="W10"/>
  <c r="U10"/>
  <c r="M10"/>
  <c r="EV9"/>
  <c r="EQ9"/>
  <c r="EE9"/>
  <c r="DI9"/>
  <c r="DE9"/>
  <c r="DC9"/>
  <c r="DA9"/>
  <c r="CO9"/>
  <c r="CG9"/>
  <c r="CB9"/>
  <c r="BM9"/>
  <c r="BH9"/>
  <c r="BE9"/>
  <c r="BC9"/>
  <c r="BB9"/>
  <c r="AL9"/>
  <c r="AJ9"/>
  <c r="AH9"/>
  <c r="AF9"/>
  <c r="U9"/>
  <c r="M9"/>
  <c r="EV8"/>
  <c r="EQ8"/>
  <c r="EE8"/>
  <c r="DP8"/>
  <c r="DJ8"/>
  <c r="DI8"/>
  <c r="DC8"/>
  <c r="DB8"/>
  <c r="DA8"/>
  <c r="CX8"/>
  <c r="CW8"/>
  <c r="CR8"/>
  <c r="CQ8"/>
  <c r="CP8"/>
  <c r="CO8"/>
  <c r="CJ8"/>
  <c r="CG8"/>
  <c r="CB8"/>
  <c r="BD8"/>
  <c r="AR8"/>
  <c r="AM8"/>
  <c r="AL8"/>
  <c r="AH8"/>
  <c r="AG8"/>
  <c r="AF8"/>
  <c r="AD8"/>
  <c r="AC8"/>
  <c r="X8"/>
  <c r="W8"/>
  <c r="V8"/>
  <c r="U8"/>
  <c r="P8"/>
  <c r="M8"/>
  <c r="EV7"/>
  <c r="EU7"/>
  <c r="EQ7"/>
  <c r="EE7"/>
  <c r="DR7"/>
  <c r="DJ7"/>
  <c r="DI7"/>
  <c r="DE7"/>
  <c r="DC7"/>
  <c r="DB7"/>
  <c r="DA7"/>
  <c r="CW7"/>
  <c r="CQ7"/>
  <c r="CO7"/>
  <c r="CJ7"/>
  <c r="CG7"/>
  <c r="CB7"/>
  <c r="CA7"/>
  <c r="BP7"/>
  <c r="BM7"/>
  <c r="BH7"/>
  <c r="BC7"/>
  <c r="AM7"/>
  <c r="AL7"/>
  <c r="AJ7"/>
  <c r="AH7"/>
  <c r="AG7"/>
  <c r="AF7"/>
  <c r="AC7"/>
  <c r="W7"/>
  <c r="U7"/>
  <c r="P7"/>
  <c r="M7"/>
  <c r="EV6"/>
  <c r="EU6"/>
  <c r="EQ6"/>
  <c r="EE6"/>
  <c r="DM6"/>
  <c r="DK6"/>
  <c r="DJ6"/>
  <c r="DI6"/>
  <c r="DC6"/>
  <c r="DB6"/>
  <c r="DA6"/>
  <c r="CW6"/>
  <c r="CR6"/>
  <c r="CQ6"/>
  <c r="CP6"/>
  <c r="CO6"/>
  <c r="CJ6"/>
  <c r="CG6"/>
  <c r="CB6"/>
  <c r="CA6"/>
  <c r="BM6"/>
  <c r="AP6"/>
  <c r="AN6"/>
  <c r="AM6"/>
  <c r="AL6"/>
  <c r="AH6"/>
  <c r="AG6"/>
  <c r="AF6"/>
  <c r="AC6"/>
  <c r="X6"/>
  <c r="W6"/>
  <c r="V6"/>
  <c r="U6"/>
  <c r="P6"/>
  <c r="M6"/>
  <c r="EV5"/>
  <c r="EU5"/>
  <c r="EQ5"/>
  <c r="EE5"/>
  <c r="DX5"/>
  <c r="DK5"/>
  <c r="DJ5"/>
  <c r="DI5"/>
  <c r="DE5"/>
  <c r="DC5"/>
  <c r="DB5"/>
  <c r="CQ5"/>
  <c r="CP5"/>
  <c r="CJ5"/>
  <c r="CG5"/>
  <c r="CB5"/>
  <c r="CA5"/>
  <c r="BM5"/>
  <c r="BD5"/>
  <c r="BC5"/>
  <c r="BB5"/>
  <c r="AW5"/>
  <c r="AN5"/>
  <c r="AM5"/>
  <c r="AL5"/>
  <c r="AJ5"/>
  <c r="AH5"/>
  <c r="AG5"/>
  <c r="W5"/>
  <c r="V5"/>
  <c r="P5"/>
  <c r="M5"/>
  <c r="EV4"/>
  <c r="EU4"/>
  <c r="DK4"/>
  <c r="DI4"/>
  <c r="DC4"/>
  <c r="CG4"/>
  <c r="CB4"/>
  <c r="CA4"/>
  <c r="BH4"/>
  <c r="BE4"/>
  <c r="BC4"/>
  <c r="AN4"/>
  <c r="AL4"/>
  <c r="AH4"/>
  <c r="M4"/>
  <c r="EV3"/>
  <c r="EU3"/>
  <c r="EQ3"/>
  <c r="EE3"/>
  <c r="DX3"/>
  <c r="DK3"/>
  <c r="DI3"/>
  <c r="DE3"/>
  <c r="DC3"/>
  <c r="DB3"/>
  <c r="CP3"/>
  <c r="CJ3"/>
  <c r="CG3"/>
  <c r="CB3"/>
  <c r="CA3"/>
  <c r="AW3"/>
  <c r="AN3"/>
  <c r="AL3"/>
  <c r="AJ3"/>
  <c r="AH3"/>
  <c r="AG3"/>
  <c r="V3"/>
  <c r="P3"/>
  <c r="M3"/>
  <c r="EV2"/>
  <c r="ES2"/>
  <c r="EL2"/>
  <c r="DR2"/>
  <c r="DJ2"/>
  <c r="DC2"/>
  <c r="DB2"/>
  <c r="DA2"/>
  <c r="CX2"/>
  <c r="CW2"/>
  <c r="CR2"/>
  <c r="CQ2"/>
  <c r="CP2"/>
  <c r="CO2"/>
  <c r="CN2"/>
  <c r="CJ2"/>
  <c r="CG2"/>
  <c r="CB2"/>
  <c r="BM2"/>
  <c r="BJ2"/>
  <c r="BE2"/>
  <c r="BD2"/>
  <c r="BB2"/>
  <c r="AM2"/>
  <c r="AH2"/>
  <c r="AG2"/>
  <c r="AF2"/>
  <c r="AD2"/>
  <c r="AC2"/>
  <c r="X2"/>
  <c r="W2"/>
  <c r="V2"/>
  <c r="U2"/>
  <c r="T2"/>
  <c r="P2"/>
  <c r="M2"/>
</calcChain>
</file>

<file path=xl/sharedStrings.xml><?xml version="1.0" encoding="utf-8"?>
<sst xmlns="http://schemas.openxmlformats.org/spreadsheetml/2006/main" count="3325" uniqueCount="1060">
  <si>
    <t/>
  </si>
  <si>
    <t>NAME</t>
  </si>
  <si>
    <t>HOME DEPARTMENT</t>
  </si>
  <si>
    <t>HIRE DATE</t>
  </si>
  <si>
    <t>TERMINATION DATE</t>
  </si>
  <si>
    <t>REHIRE DATE</t>
  </si>
  <si>
    <t>JOB TITLE</t>
  </si>
  <si>
    <t>REGULAR HOURS</t>
  </si>
  <si>
    <t>OVERTIME HOURS</t>
  </si>
  <si>
    <t>ADDITIONAL HOURS  : 100-ST - MECHANIC</t>
  </si>
  <si>
    <t>ADDITIONAL HOURS  : 101-OT - MECHANIC</t>
  </si>
  <si>
    <t>ADDITIONAL HOURS  : 10-ST - LINEHAUL</t>
  </si>
  <si>
    <t>ADDITIONAL HOURS  : 110-STMMFRS</t>
  </si>
  <si>
    <t>ADDITIONAL HOURS  : 111-OTMMFRS</t>
  </si>
  <si>
    <t>ADDITIONAL HOURS  : 11-OT - LINEHAUL</t>
  </si>
  <si>
    <t>ADDITIONAL HOURS  : 120-ST - MAINT UTIL</t>
  </si>
  <si>
    <t>ADDITIONAL HOURS  : 121-OT - MAINT UTIL</t>
  </si>
  <si>
    <t>ADDITIONAL HOURS  : 124-OT - MAINT UTIL</t>
  </si>
  <si>
    <t>ADDITIONAL HOURS  : 12-DT - LINEHAUL</t>
  </si>
  <si>
    <t>ADDITIONAL HOURS  : 13-STSPSERV</t>
  </si>
  <si>
    <t>ADDITIONAL HOURS  : 14-OTSPSERV</t>
  </si>
  <si>
    <t>ADDITIONAL HOURS  : 150-ST - HOLDOVER</t>
  </si>
  <si>
    <t>ADDITIONAL HOURS  : 151-OT - HOLDOVER</t>
  </si>
  <si>
    <t>ADDITIONAL HOURS  : 152-DT - HOLDOVER</t>
  </si>
  <si>
    <t>ADDITIONAL HOURS  : 15-DTSPSERV</t>
  </si>
  <si>
    <t>ADDITIONAL HOURS  : 203-PDOPERADM</t>
  </si>
  <si>
    <t>ADDITIONAL HOURS  : 204-PER DIEM-OPERATIONS</t>
  </si>
  <si>
    <t>ADDITIONAL HOURS  : 20-ST - SPECTRAN</t>
  </si>
  <si>
    <t>ADDITIONAL HOURS  : 21-OT - SPECTRAN</t>
  </si>
  <si>
    <t>ADDITIONAL HOURS  : 233-PDMAINADM</t>
  </si>
  <si>
    <t>ADDITIONAL HOURS  : 30-ST - PROTECTION</t>
  </si>
  <si>
    <t>ADDITIONAL HOURS  : 31-OT - PROTECTION</t>
  </si>
  <si>
    <t>ADDITIONAL HOURS  : 400-NATIONAL HOLIDA</t>
  </si>
  <si>
    <t>ADDITIONAL HOURS  : 402-FLOATING HOLIDA</t>
  </si>
  <si>
    <t>ADDITIONAL HOURS  : 409-ATU PAID VACATI</t>
  </si>
  <si>
    <t>ADDITIONAL HOURS  : 504-SICK SALARY</t>
  </si>
  <si>
    <t>ADDITIONAL HOURS  : 50-STTROFRS</t>
  </si>
  <si>
    <t>ADDITIONAL HOURS  : 519-EXCABSATU</t>
  </si>
  <si>
    <t>ADDITIONAL HOURS  : 51-OTTROFRS</t>
  </si>
  <si>
    <t>ADDITIONAL HOURS  : 52-DTTROFRS</t>
  </si>
  <si>
    <t>ADDITIONAL HOURS  : 530-FUNSTATU</t>
  </si>
  <si>
    <t>ADDITIONAL HOURS  : 538-ST - JURY DUTY</t>
  </si>
  <si>
    <t>ADDITIONAL HOURS  : 53-STTROPTS</t>
  </si>
  <si>
    <t>ADDITIONAL HOURS  : 54-OTTROPTS</t>
  </si>
  <si>
    <t>ADDITIONAL HOURS  : 564-UB ST</t>
  </si>
  <si>
    <t>ADDITIONAL HOURS  : 565-UB OT</t>
  </si>
  <si>
    <t>ADDITIONAL HOURS  : 60-ST - MARKETING</t>
  </si>
  <si>
    <t>ADDITIONAL HOURS  : 61-OT - MARKETING</t>
  </si>
  <si>
    <t>ADDITIONAL HOURS  : 70-ST - DELHI</t>
  </si>
  <si>
    <t>ADDITIONAL HOURS  : 71-OT - DELHI</t>
  </si>
  <si>
    <t>ADDITIONAL HOURS  : 76-ST - MERIDIAN</t>
  </si>
  <si>
    <t>ADDITIONAL HOURS  : 77-OT - MERIDIAN</t>
  </si>
  <si>
    <t>ADDITIONAL HOURS  : 900-ACTUALSICKUP</t>
  </si>
  <si>
    <t>ADDITIONAL HOURS  : 903-DRSLIPUP</t>
  </si>
  <si>
    <t>ADDITIONAL HOURS  : 906-EARLYOUTUP</t>
  </si>
  <si>
    <t>ADDITIONAL HOURS  : 909-EXCABSUP</t>
  </si>
  <si>
    <t>ADDITIONAL HOURS  : 912-FMLA DISABILITY</t>
  </si>
  <si>
    <t>ADDITIONAL HOURS  : 915-FUN UP</t>
  </si>
  <si>
    <t>ADDITIONAL HOURS  : 918-NATIONAL HOLIDA</t>
  </si>
  <si>
    <t>ADDITIONAL HOURS  : 924-LOAUP</t>
  </si>
  <si>
    <t>ADDITIONAL HOURS  : 936-PENALTYDAYUP</t>
  </si>
  <si>
    <t>ADDITIONAL HOURS  : 939-SICKLVUP</t>
  </si>
  <si>
    <t>ADDITIONAL HOURS  : 942-SUSPE UP</t>
  </si>
  <si>
    <t>ADDITIONAL HOURS  : 945-UNEXCABUP</t>
  </si>
  <si>
    <t>ADDITIONAL HOURS  : 948-UNION BUSINESS</t>
  </si>
  <si>
    <t>ADDITIONAL HOURS  : 951-VACA UP</t>
  </si>
  <si>
    <t>ADDITIONAL HOURS  : 954-WCUP</t>
  </si>
  <si>
    <t>ADDITIONAL HOURS  : AAL-ADMIN AUTHLEAV</t>
  </si>
  <si>
    <t>ADDITIONAL HOURS  : BRV-BEREAVEMENT</t>
  </si>
  <si>
    <t>ADDITIONAL HOURS  : FMP</t>
  </si>
  <si>
    <t>ADDITIONAL HOURS  : H-HOLIDAY</t>
  </si>
  <si>
    <t>ADDITIONAL HOURS  : HOL-FLOATING HOLIDA</t>
  </si>
  <si>
    <t>ADDITIONAL HOURS  : HW-HOLIDAY WORKED</t>
  </si>
  <si>
    <t>ADDITIONAL HOURS  : JUR-JURY DUTY</t>
  </si>
  <si>
    <t>ADDITIONAL HOURS  : PER-PERSONAL</t>
  </si>
  <si>
    <t>ADDITIONAL HOURS  : VAC-VACATION</t>
  </si>
  <si>
    <t>ADDITIONAL HOURS  : VET-VETERANS PTO</t>
  </si>
  <si>
    <t>ADDITIONAL HOURS  : VPO-VAC PAYOUT</t>
  </si>
  <si>
    <t>TOTAL HOURS</t>
  </si>
  <si>
    <t>REGULAR EARNINGS</t>
  </si>
  <si>
    <t>OVERTIME EARNINGS</t>
  </si>
  <si>
    <t>ADDITIONAL EARNINGS  : 100-ST - MECHANIC</t>
  </si>
  <si>
    <t>ADDITIONAL EARNINGS  : 101-OT - MECHANIC</t>
  </si>
  <si>
    <t>ADDITIONAL EARNINGS  : 10-ST - LINEHAUL</t>
  </si>
  <si>
    <t>ADDITIONAL EARNINGS  : 110-STMMFRS</t>
  </si>
  <si>
    <t>ADDITIONAL EARNINGS  : 111-OTMMFRS</t>
  </si>
  <si>
    <t>ADDITIONAL EARNINGS  : 11-OT - LINEHAUL</t>
  </si>
  <si>
    <t>ADDITIONAL EARNINGS  : 120-ST - MAINT UTIL</t>
  </si>
  <si>
    <t>ADDITIONAL EARNINGS  : 121-OT - MAINT UTIL</t>
  </si>
  <si>
    <t>ADDITIONAL EARNINGS  : 124-OT - MAINT UTIL</t>
  </si>
  <si>
    <t>ADDITIONAL EARNINGS  : 12-DT - LINEHAUL</t>
  </si>
  <si>
    <t>ADDITIONAL EARNINGS  : 13-STSPSERV</t>
  </si>
  <si>
    <t>ADDITIONAL EARNINGS  : 14-OTSPSERV</t>
  </si>
  <si>
    <t>ADDITIONAL EARNINGS  : 150-ST - HOLDOVER</t>
  </si>
  <si>
    <t>ADDITIONAL EARNINGS  : 151-OT - HOLDOVER</t>
  </si>
  <si>
    <t>ADDITIONAL EARNINGS  : 152-DT - HOLDOVER</t>
  </si>
  <si>
    <t>ADDITIONAL EARNINGS  : 15-DTSPSERV</t>
  </si>
  <si>
    <t>ADDITIONAL EARNINGS  : 203-PDOPERADM</t>
  </si>
  <si>
    <t>ADDITIONAL EARNINGS  : 204-PER DIEM-OPERATIONS</t>
  </si>
  <si>
    <t>ADDITIONAL EARNINGS  : 20-ST - SPECTRAN</t>
  </si>
  <si>
    <t>ADDITIONAL EARNINGS  : 21-OT - SPECTRAN</t>
  </si>
  <si>
    <t>ADDITIONAL EARNINGS  : 233-PDMAINADM</t>
  </si>
  <si>
    <t>ADDITIONAL EARNINGS  : 2-WAGE CORRECT</t>
  </si>
  <si>
    <t>ADDITIONAL EARNINGS  : 30-ST - PROTECTION</t>
  </si>
  <si>
    <t>ADDITIONAL EARNINGS  : 31-OT - PROTECTION</t>
  </si>
  <si>
    <t>ADDITIONAL EARNINGS  : 400-NATIONAL HOLIDA</t>
  </si>
  <si>
    <t>ADDITIONAL EARNINGS  : 402-FLOATING HOLIDA</t>
  </si>
  <si>
    <t>ADDITIONAL EARNINGS  : 409-ATU PAID VACATI</t>
  </si>
  <si>
    <t>ADDITIONAL EARNINGS  : 440-ATTENDINATU</t>
  </si>
  <si>
    <t>ADDITIONAL EARNINGS  : 441-ATU ATTEND INCE</t>
  </si>
  <si>
    <t>ADDITIONAL EARNINGS  : 506-AUTO ALLOWANCE</t>
  </si>
  <si>
    <t>ADDITIONAL EARNINGS  : 50-STTROFRS</t>
  </si>
  <si>
    <t>ADDITIONAL EARNINGS  : 519-EXCABSATU</t>
  </si>
  <si>
    <t>ADDITIONAL EARNINGS  : 51-OTTROFRS</t>
  </si>
  <si>
    <t>ADDITIONAL EARNINGS  : 52-DTTROFRS</t>
  </si>
  <si>
    <t>ADDITIONAL EARNINGS  : 530-FUNSTATU</t>
  </si>
  <si>
    <t>ADDITIONAL EARNINGS  : 535-HEALTH FACILITY</t>
  </si>
  <si>
    <t>ADDITIONAL EARNINGS  : 538-ST - JURY DUTY</t>
  </si>
  <si>
    <t>ADDITIONAL EARNINGS  : 53-STTROPTS</t>
  </si>
  <si>
    <t>ADDITIONAL EARNINGS  : 54-OTTROPTS</t>
  </si>
  <si>
    <t>ADDITIONAL EARNINGS  : 551-OPTOUTATU</t>
  </si>
  <si>
    <t>ADDITIONAL EARNINGS  : 552-OPTOUTADM</t>
  </si>
  <si>
    <t>ADDITIONAL EARNINGS  : 562-TUITRENTADM</t>
  </si>
  <si>
    <t>ADDITIONAL EARNINGS  : 564-UB ST</t>
  </si>
  <si>
    <t>ADDITIONAL EARNINGS  : 565-UB OT</t>
  </si>
  <si>
    <t>ADDITIONAL EARNINGS  : 60-ST - MARKETING</t>
  </si>
  <si>
    <t>ADDITIONAL EARNINGS  : 61-OT - MARKETING</t>
  </si>
  <si>
    <t>ADDITIONAL EARNINGS  : 70-ST - DELHI</t>
  </si>
  <si>
    <t>ADDITIONAL EARNINGS  : 71-OT - DELHI</t>
  </si>
  <si>
    <t>ADDITIONAL EARNINGS  : 76-ST - MERIDIAN</t>
  </si>
  <si>
    <t>ADDITIONAL EARNINGS  : 77-OT - MERIDIAN</t>
  </si>
  <si>
    <t>ADDITIONAL EARNINGS  : 912-FMLA DISABILITY</t>
  </si>
  <si>
    <t>ADDITIONAL EARNINGS  : 918-NATIONAL HOLIDA</t>
  </si>
  <si>
    <t>ADDITIONAL EARNINGS  : BON-INCENTIVE PAY</t>
  </si>
  <si>
    <t>ADDITIONAL EARNINGS  : BRV-BEREAVEMENT</t>
  </si>
  <si>
    <t>ADDITIONAL EARNINGS  : H-HOLIDAY</t>
  </si>
  <si>
    <t>ADDITIONAL EARNINGS  : HOL-FLOATING HOLIDA</t>
  </si>
  <si>
    <t>ADDITIONAL EARNINGS  : HW-HOLIDAY WORKED</t>
  </si>
  <si>
    <t>ADDITIONAL EARNINGS  : ITV-RECR INCNTV</t>
  </si>
  <si>
    <t>ADDITIONAL EARNINGS  : JUR-JURY DUTY</t>
  </si>
  <si>
    <t>ADDITIONAL EARNINGS  : NET-PERFECT ATTENDA</t>
  </si>
  <si>
    <t>ADDITIONAL EARNINGS  : PDO-PDOPS</t>
  </si>
  <si>
    <t>ADDITIONAL EARNINGS  : PER-PERSONAL</t>
  </si>
  <si>
    <t>ADDITIONAL EARNINGS  : RET-RETROACTIVE</t>
  </si>
  <si>
    <t>ADDITIONAL EARNINGS  : SEV-SEVERANCE</t>
  </si>
  <si>
    <t>ADDITIONAL EARNINGS  : SIG-SIGN-ON BO</t>
  </si>
  <si>
    <t>ADDITIONAL EARNINGS  : STD-STD</t>
  </si>
  <si>
    <t>ADDITIONAL EARNINGS  : VAC-VACATION</t>
  </si>
  <si>
    <t>ADDITIONAL EARNINGS  : VET-VETERANS PTO</t>
  </si>
  <si>
    <t>ADDITIONAL EARNINGS  : VPO-VAC PAYOUT</t>
  </si>
  <si>
    <t>TOTAL EARNINGS</t>
  </si>
  <si>
    <t>Abboushi, Bassel-Mohammad</t>
  </si>
  <si>
    <t>OPRTNS - Operations</t>
  </si>
  <si>
    <t>07/15/2019</t>
  </si>
  <si>
    <t>05/27/2022</t>
  </si>
  <si>
    <t>DR-Operator</t>
  </si>
  <si>
    <t>Aikman, Aaron A</t>
  </si>
  <si>
    <t>09/17/1999</t>
  </si>
  <si>
    <t>03/28/2017</t>
  </si>
  <si>
    <t>Aldridge, Cenghniski</t>
  </si>
  <si>
    <t>05/23/2022</t>
  </si>
  <si>
    <t>Aleman, Jack M</t>
  </si>
  <si>
    <t>10/09/1995</t>
  </si>
  <si>
    <t>Alexander, Tanina</t>
  </si>
  <si>
    <t>07/11/2022</t>
  </si>
  <si>
    <t>Allen, Cris D.</t>
  </si>
  <si>
    <t>06/01/2009</t>
  </si>
  <si>
    <t>Allen, Shellie D</t>
  </si>
  <si>
    <t>11/08/2021</t>
  </si>
  <si>
    <t>Allen, Toylisa</t>
  </si>
  <si>
    <t>Allison, Jasmine</t>
  </si>
  <si>
    <t>09/13/2021</t>
  </si>
  <si>
    <t>Alspaugh, Dana Jo</t>
  </si>
  <si>
    <t>09/12/2022</t>
  </si>
  <si>
    <t>09/13/2022</t>
  </si>
  <si>
    <t>Anderson, Cleophus</t>
  </si>
  <si>
    <t>07/19/2002</t>
  </si>
  <si>
    <t>Anderson, Teresa</t>
  </si>
  <si>
    <t>PARATR - Paratransit</t>
  </si>
  <si>
    <t>09/08/2006</t>
  </si>
  <si>
    <t>PARSCHD-Paratransit Scheduler</t>
  </si>
  <si>
    <t>Anderson, Trenell</t>
  </si>
  <si>
    <t>Anthony, Andrel L</t>
  </si>
  <si>
    <t>02/03/2014</t>
  </si>
  <si>
    <t>Arnett, Jon</t>
  </si>
  <si>
    <t>Artis, Cheryl</t>
  </si>
  <si>
    <t>02/14/2022</t>
  </si>
  <si>
    <t>Austin, Clint</t>
  </si>
  <si>
    <t>07/25/2012</t>
  </si>
  <si>
    <t>Austin, Henry</t>
  </si>
  <si>
    <t>08/08/2016</t>
  </si>
  <si>
    <t>Ayles, Ellan</t>
  </si>
  <si>
    <t>08/10/2015</t>
  </si>
  <si>
    <t>Baird, Kirk W</t>
  </si>
  <si>
    <t>05/29/2012</t>
  </si>
  <si>
    <t>Baker, Gregory John</t>
  </si>
  <si>
    <t>Baker, Kreg A</t>
  </si>
  <si>
    <t>07/26/2010</t>
  </si>
  <si>
    <t>Baldwin, Carrington Reese</t>
  </si>
  <si>
    <t>12/02/2019</t>
  </si>
  <si>
    <t>08/10/2022</t>
  </si>
  <si>
    <t>Baley, Heidi M.</t>
  </si>
  <si>
    <t>08/02/1999</t>
  </si>
  <si>
    <t>Baragar, Jeremy S</t>
  </si>
  <si>
    <t>10/22/1999</t>
  </si>
  <si>
    <t>Barnes, Brian</t>
  </si>
  <si>
    <t>Barrera, Richard</t>
  </si>
  <si>
    <t>10/14/2000</t>
  </si>
  <si>
    <t>Barrientoz, Alberto G</t>
  </si>
  <si>
    <t>08/10/2009</t>
  </si>
  <si>
    <t>Basir, Raaziq</t>
  </si>
  <si>
    <t>MNTNCE - Maintenance</t>
  </si>
  <si>
    <t>12/12/2022</t>
  </si>
  <si>
    <t>UTILITY-Utility</t>
  </si>
  <si>
    <t>Baumgartner, David C</t>
  </si>
  <si>
    <t>06/12/2013</t>
  </si>
  <si>
    <t>Bean, Donald L</t>
  </si>
  <si>
    <t>04/08/1996</t>
  </si>
  <si>
    <t>MECH I-Mechanic First Class</t>
  </si>
  <si>
    <t>Beavers, Heidi H.</t>
  </si>
  <si>
    <t>07/29/2005</t>
  </si>
  <si>
    <t>Beech, James M</t>
  </si>
  <si>
    <t>04/12/1993</t>
  </si>
  <si>
    <t>Bennett, Henry Ray</t>
  </si>
  <si>
    <t>11/12/2018</t>
  </si>
  <si>
    <t>Benton, Craig</t>
  </si>
  <si>
    <t>01/03/2018</t>
  </si>
  <si>
    <t>MATLADM-Maintenance Materials Administrator</t>
  </si>
  <si>
    <t>Berdes, Bethany L</t>
  </si>
  <si>
    <t>06/25/2018</t>
  </si>
  <si>
    <t>03/17/2022</t>
  </si>
  <si>
    <t>OPSSEC-Operations Secretary</t>
  </si>
  <si>
    <t>Berry-Ball, Emily</t>
  </si>
  <si>
    <t>CSTEXP - Customer Experience</t>
  </si>
  <si>
    <t>01/03/2022</t>
  </si>
  <si>
    <t>01/18/2022</t>
  </si>
  <si>
    <t>CUSTINFO-Customer Experience Rep</t>
  </si>
  <si>
    <t>Bibbs, De'Asia D</t>
  </si>
  <si>
    <t>12/04/2019</t>
  </si>
  <si>
    <t>01/04/2022</t>
  </si>
  <si>
    <t>Billings, Frances A</t>
  </si>
  <si>
    <t>05/12/2007</t>
  </si>
  <si>
    <t>Blocker, Quentin E</t>
  </si>
  <si>
    <t>11/05/2005</t>
  </si>
  <si>
    <t>Blossey, Kyle</t>
  </si>
  <si>
    <t>08/01/2000</t>
  </si>
  <si>
    <t>Bolin, Natalie Elizabeth</t>
  </si>
  <si>
    <t>03/28/2022</t>
  </si>
  <si>
    <t>PARREP-Paratransit Service Representative</t>
  </si>
  <si>
    <t>Bond, Shatoya M</t>
  </si>
  <si>
    <t>02/11/2019</t>
  </si>
  <si>
    <t>07/05/2022</t>
  </si>
  <si>
    <t>Bondy, Kay</t>
  </si>
  <si>
    <t>PURCHA - Purchasing</t>
  </si>
  <si>
    <t>10/31/2022</t>
  </si>
  <si>
    <t>PROCLERK-Procurement Clerk</t>
  </si>
  <si>
    <t>Booher, John W</t>
  </si>
  <si>
    <t>02/27/2012</t>
  </si>
  <si>
    <t>Boone, Kewauna</t>
  </si>
  <si>
    <t>MRKTNG - Marketing</t>
  </si>
  <si>
    <t>08/24/2022</t>
  </si>
  <si>
    <t>RDGDE-Ride Guide</t>
  </si>
  <si>
    <t>Boss, Ashlee A</t>
  </si>
  <si>
    <t>05/29/2018</t>
  </si>
  <si>
    <t>PURCHASI-Purchasing Supervisor</t>
  </si>
  <si>
    <t>Botello-Torrez, Tracey</t>
  </si>
  <si>
    <t>08/08/2022</t>
  </si>
  <si>
    <t>Bracy, Janel M.</t>
  </si>
  <si>
    <t>08/25/2008</t>
  </si>
  <si>
    <t>Bradley, Michael T</t>
  </si>
  <si>
    <t>07/19/2021</t>
  </si>
  <si>
    <t>Braggs, Edwin L.</t>
  </si>
  <si>
    <t>Brieschke, Gary</t>
  </si>
  <si>
    <t>EXECTV - Executive Department</t>
  </si>
  <si>
    <t>04/28/2008</t>
  </si>
  <si>
    <t>DCEO-Deputy Chief Executive Officer</t>
  </si>
  <si>
    <t>Briles, Jennifer L</t>
  </si>
  <si>
    <t>FINANC - Finance</t>
  </si>
  <si>
    <t>01/05/2016</t>
  </si>
  <si>
    <t>ACCT I-Accountant I</t>
  </si>
  <si>
    <t>Brock, Brenda Irene</t>
  </si>
  <si>
    <t>11/14/2022</t>
  </si>
  <si>
    <t>Brooks, Brian Keith</t>
  </si>
  <si>
    <t>12/15/2022</t>
  </si>
  <si>
    <t>Brooks, Todd R.</t>
  </si>
  <si>
    <t>OPLEAD - Operations Leadership</t>
  </si>
  <si>
    <t>05/24/2010</t>
  </si>
  <si>
    <t>DIR OPR-Director of Operations</t>
  </si>
  <si>
    <t>Brown, Bradley O.</t>
  </si>
  <si>
    <t>07/08/2006</t>
  </si>
  <si>
    <t>Brown, Jessie</t>
  </si>
  <si>
    <t>04/09/1990</t>
  </si>
  <si>
    <t>09/02/2022</t>
  </si>
  <si>
    <t>Brown, Marshea</t>
  </si>
  <si>
    <t>HUMRES - Human Resources</t>
  </si>
  <si>
    <t>03/09/2020</t>
  </si>
  <si>
    <t>HRDIR-Director of HR</t>
  </si>
  <si>
    <t>Brown, Monique E</t>
  </si>
  <si>
    <t>09/23/2019</t>
  </si>
  <si>
    <t>Brown, Peter</t>
  </si>
  <si>
    <t>OPSPV-O-Operations Supv - Ops Center</t>
  </si>
  <si>
    <t>Brown, Ricky</t>
  </si>
  <si>
    <t>08/28/2022</t>
  </si>
  <si>
    <t>Brown, Schuyler</t>
  </si>
  <si>
    <t>06/18/2019</t>
  </si>
  <si>
    <t>CUSTEXTL-Customer Experience Team Lead</t>
  </si>
  <si>
    <t>Brown, Shawn P</t>
  </si>
  <si>
    <t>08/07/2017</t>
  </si>
  <si>
    <t>Bryant, Eric Lee</t>
  </si>
  <si>
    <t>Burgess, Jennifer A</t>
  </si>
  <si>
    <t>10/01/2012</t>
  </si>
  <si>
    <t>OPMGR-Operations Manager</t>
  </si>
  <si>
    <t>Burton, Re'Vontre</t>
  </si>
  <si>
    <t>Butts, Cheri A</t>
  </si>
  <si>
    <t>03/04/2019</t>
  </si>
  <si>
    <t>09/17/2022</t>
  </si>
  <si>
    <t>Buzzard, Bradley G</t>
  </si>
  <si>
    <t>08/06/2018</t>
  </si>
  <si>
    <t>CUELLAR, ERMELINDA LUISA</t>
  </si>
  <si>
    <t>08/01/2022</t>
  </si>
  <si>
    <t>10/17/2022</t>
  </si>
  <si>
    <t>Campbell, Valerie M.</t>
  </si>
  <si>
    <t>04/29/2005</t>
  </si>
  <si>
    <t>HRRECR-HR Recruiter</t>
  </si>
  <si>
    <t>Carlisle, Christopher K</t>
  </si>
  <si>
    <t>02/03/2020</t>
  </si>
  <si>
    <t>Carr, Ian G</t>
  </si>
  <si>
    <t>01/29/2018</t>
  </si>
  <si>
    <t>OPMGRIT-Operations Manager Information Technology</t>
  </si>
  <si>
    <t>Chambers, Taiari C</t>
  </si>
  <si>
    <t>SAFETY - Safety</t>
  </si>
  <si>
    <t>11/30/2015</t>
  </si>
  <si>
    <t>TRNG-Training Supervisor</t>
  </si>
  <si>
    <t>Chandler, Bridget</t>
  </si>
  <si>
    <t>Chapman, Michelle Renee</t>
  </si>
  <si>
    <t>10/20/2022</t>
  </si>
  <si>
    <t>Chavez, Juan Julian</t>
  </si>
  <si>
    <t>Christian, LaRhonda D</t>
  </si>
  <si>
    <t>Christiansen, Henrik G.</t>
  </si>
  <si>
    <t>05/10/1999</t>
  </si>
  <si>
    <t>Christiansen, Kai</t>
  </si>
  <si>
    <t>PLANNG - Planning</t>
  </si>
  <si>
    <t>04/16/2012</t>
  </si>
  <si>
    <t>SRVMGR-Service Planning/Sched Mgr</t>
  </si>
  <si>
    <t>Clark, Beverly Ann</t>
  </si>
  <si>
    <t>06/21/2022</t>
  </si>
  <si>
    <t>Clay, Keisha Erin</t>
  </si>
  <si>
    <t>08/15/2022</t>
  </si>
  <si>
    <t>Clem, Steven M</t>
  </si>
  <si>
    <t>11/16/2011</t>
  </si>
  <si>
    <t>Clough, Carla A</t>
  </si>
  <si>
    <t>07/06/2011</t>
  </si>
  <si>
    <t>Coble, Richard M</t>
  </si>
  <si>
    <t>07/13/2015</t>
  </si>
  <si>
    <t>Coker, Lynell McKinley</t>
  </si>
  <si>
    <t>Coleman, Michael Craig</t>
  </si>
  <si>
    <t>05/06/2022</t>
  </si>
  <si>
    <t>Cosand, Mackenzie</t>
  </si>
  <si>
    <t>02/21/2022</t>
  </si>
  <si>
    <t>Cox, Andrew</t>
  </si>
  <si>
    <t>Cox, Shawn</t>
  </si>
  <si>
    <t>07/16/1999</t>
  </si>
  <si>
    <t>Cox, Steven D</t>
  </si>
  <si>
    <t>06/28/2010</t>
  </si>
  <si>
    <t>Crawford, James R.</t>
  </si>
  <si>
    <t>07/26/2004</t>
  </si>
  <si>
    <t>Croll, Jennette</t>
  </si>
  <si>
    <t>Crump, Mysha</t>
  </si>
  <si>
    <t>07/26/2021</t>
  </si>
  <si>
    <t>05/01/2022</t>
  </si>
  <si>
    <t>Cruz, Jesse O.</t>
  </si>
  <si>
    <t>01/06/1986</t>
  </si>
  <si>
    <t>Darley, Gregory J.</t>
  </si>
  <si>
    <t>06/14/1999</t>
  </si>
  <si>
    <t>09/06/2022</t>
  </si>
  <si>
    <t>Davis Jr., Clyde Edward</t>
  </si>
  <si>
    <t>Davis, Craig M</t>
  </si>
  <si>
    <t>INFTEC - Information Technology</t>
  </si>
  <si>
    <t>11/13/2017</t>
  </si>
  <si>
    <t>IT TECH-IT Services Technician</t>
  </si>
  <si>
    <t>Davis, Gene C.</t>
  </si>
  <si>
    <t>06/17/2005</t>
  </si>
  <si>
    <t>Davis, Rachel m</t>
  </si>
  <si>
    <t>Davisson, Dixie</t>
  </si>
  <si>
    <t>12/21/2020</t>
  </si>
  <si>
    <t>DeLeon, Ronald M.</t>
  </si>
  <si>
    <t>07/07/1998</t>
  </si>
  <si>
    <t>Demey, Christopher G</t>
  </si>
  <si>
    <t>Detwiler, Anita</t>
  </si>
  <si>
    <t>12/19/2016</t>
  </si>
  <si>
    <t>FIN MGR-Finance Manager</t>
  </si>
  <si>
    <t>Dewey, Diana M</t>
  </si>
  <si>
    <t>01/09/2017</t>
  </si>
  <si>
    <t>Diaz, Dinah Y</t>
  </si>
  <si>
    <t>07/21/2003</t>
  </si>
  <si>
    <t>Dickinson, Matthew T</t>
  </si>
  <si>
    <t>06/14/2021</t>
  </si>
  <si>
    <t>Doerr , Walter L.</t>
  </si>
  <si>
    <t>11/01/2000</t>
  </si>
  <si>
    <t>Doerr III, Walter L</t>
  </si>
  <si>
    <t>10/02/2017</t>
  </si>
  <si>
    <t>Doerr, Anna M</t>
  </si>
  <si>
    <t>04/10/2017</t>
  </si>
  <si>
    <t>Donley, Roger</t>
  </si>
  <si>
    <t>09/09/2000</t>
  </si>
  <si>
    <t>Draher, Jennifer L</t>
  </si>
  <si>
    <t>07/22/2005</t>
  </si>
  <si>
    <t>Drawdy, Shane Lee-Bray</t>
  </si>
  <si>
    <t>Dubay, Norvel A.</t>
  </si>
  <si>
    <t>02/18/2009</t>
  </si>
  <si>
    <t>Duncan, Carmela</t>
  </si>
  <si>
    <t>06/02/2000</t>
  </si>
  <si>
    <t>Dunn, Michael A.</t>
  </si>
  <si>
    <t>01/13/2009</t>
  </si>
  <si>
    <t>Duong, Nelson</t>
  </si>
  <si>
    <t>07/13/2020</t>
  </si>
  <si>
    <t>ACCT CLK-Accounting Clerk</t>
  </si>
  <si>
    <t>Earegood, Capi M.</t>
  </si>
  <si>
    <t>08/13/1999</t>
  </si>
  <si>
    <t>Edmunds, Malinda L</t>
  </si>
  <si>
    <t>10/23/2019</t>
  </si>
  <si>
    <t>Edmunds, Tod</t>
  </si>
  <si>
    <t>02/20/2022</t>
  </si>
  <si>
    <t>Ellis, Julia L</t>
  </si>
  <si>
    <t>07/23/2018</t>
  </si>
  <si>
    <t>Ennes, Julie A</t>
  </si>
  <si>
    <t>Erdelean, Goran</t>
  </si>
  <si>
    <t>Evans, RaSondra D</t>
  </si>
  <si>
    <t>01/20/2020</t>
  </si>
  <si>
    <t>Farnsworth, Joseph</t>
  </si>
  <si>
    <t>MTLEAD - Maintenance Leadership</t>
  </si>
  <si>
    <t>11/07/2016</t>
  </si>
  <si>
    <t>07/22/2022</t>
  </si>
  <si>
    <t>MAINSPV-Maintenance Supervisor</t>
  </si>
  <si>
    <t>Faulkner, Nicholas</t>
  </si>
  <si>
    <t>OPSPV-S-Operations Supv - Street</t>
  </si>
  <si>
    <t>Fedewa, Michael</t>
  </si>
  <si>
    <t>07/14/2016</t>
  </si>
  <si>
    <t>Fernald, Chelsey C</t>
  </si>
  <si>
    <t>Fickies, Eric D</t>
  </si>
  <si>
    <t>Figueroa, Alex L</t>
  </si>
  <si>
    <t>Fisher, Andrea J</t>
  </si>
  <si>
    <t>11/23/2020</t>
  </si>
  <si>
    <t>PROSPEC-Procurement Specialist</t>
  </si>
  <si>
    <t>Flemming, Patrick</t>
  </si>
  <si>
    <t>10/19/2022</t>
  </si>
  <si>
    <t>11/03/2022</t>
  </si>
  <si>
    <t>Foster, Barry G.</t>
  </si>
  <si>
    <t>11/04/2002</t>
  </si>
  <si>
    <t>09/01/2022</t>
  </si>
  <si>
    <t>Fox, Eric J</t>
  </si>
  <si>
    <t>Frarey, William P.</t>
  </si>
  <si>
    <t>10/07/2002</t>
  </si>
  <si>
    <t>SUPERINT-Maintenance Superintendent</t>
  </si>
  <si>
    <t>Frayre, Ashly L.</t>
  </si>
  <si>
    <t>03/12/2005</t>
  </si>
  <si>
    <t>Frazier, Craig</t>
  </si>
  <si>
    <t>05/11/2015</t>
  </si>
  <si>
    <t>OPMGRPAR-Operations Manager Paratransit</t>
  </si>
  <si>
    <t>Freeman, Frances E</t>
  </si>
  <si>
    <t>08/21/2017</t>
  </si>
  <si>
    <t>Frendt, James C</t>
  </si>
  <si>
    <t>11/02/2020</t>
  </si>
  <si>
    <t>DIR FIN-Director of Finance</t>
  </si>
  <si>
    <t>Fronckel, Roxey J</t>
  </si>
  <si>
    <t>05/09/2005</t>
  </si>
  <si>
    <t>MMECH-Master Mechanic</t>
  </si>
  <si>
    <t>Frost, Timothy</t>
  </si>
  <si>
    <t>Funkhouser, Bradley</t>
  </si>
  <si>
    <t>10/31/2016</t>
  </si>
  <si>
    <t>CEO-Chief Executive Officer</t>
  </si>
  <si>
    <t>Furr, Paul D.</t>
  </si>
  <si>
    <t>03/11/1996</t>
  </si>
  <si>
    <t>Garcia, Raul Saenz</t>
  </si>
  <si>
    <t>07/08/2022</t>
  </si>
  <si>
    <t>Gardner, Caitlin A.</t>
  </si>
  <si>
    <t>08/07/2008</t>
  </si>
  <si>
    <t>Gardner, Tammy L.</t>
  </si>
  <si>
    <t>06/14/2002</t>
  </si>
  <si>
    <t>Garza, Rogelio</t>
  </si>
  <si>
    <t>05/21/2018</t>
  </si>
  <si>
    <t>01/28/2022</t>
  </si>
  <si>
    <t>George, Willie B.</t>
  </si>
  <si>
    <t>02/23/2006</t>
  </si>
  <si>
    <t>Giese, Edgar</t>
  </si>
  <si>
    <t>Glynn, Marcus</t>
  </si>
  <si>
    <t>03/07/2022</t>
  </si>
  <si>
    <t>Gonzalez, Bridget</t>
  </si>
  <si>
    <t>Gonzalez, Jesse A.</t>
  </si>
  <si>
    <t>11/24/2008</t>
  </si>
  <si>
    <t>Goodemoot, Daniel S</t>
  </si>
  <si>
    <t>01/13/2020</t>
  </si>
  <si>
    <t>DIR IT-Director of Information Technology</t>
  </si>
  <si>
    <t>Goodman, Eric D</t>
  </si>
  <si>
    <t>Gould, Brian L</t>
  </si>
  <si>
    <t>08/28/1990</t>
  </si>
  <si>
    <t>Gould-Thornton, Justin D Marthel</t>
  </si>
  <si>
    <t>05/31/2022</t>
  </si>
  <si>
    <t>Graham, Andrea Lee</t>
  </si>
  <si>
    <t>06/20/2022</t>
  </si>
  <si>
    <t>01/20/2023</t>
  </si>
  <si>
    <t>Gray, Ginger M.</t>
  </si>
  <si>
    <t>02/12/2007</t>
  </si>
  <si>
    <t>04/16/2022</t>
  </si>
  <si>
    <t>Gray, Zakiyyah</t>
  </si>
  <si>
    <t>04/18/2016</t>
  </si>
  <si>
    <t>Grayson, Kevin Terrel</t>
  </si>
  <si>
    <t>Green, Jazmyn R</t>
  </si>
  <si>
    <t>Green-Hill, Veronica</t>
  </si>
  <si>
    <t>Gregus, James</t>
  </si>
  <si>
    <t>07/29/2019</t>
  </si>
  <si>
    <t>MAINTSUP-Maintenance Supervisor Utility</t>
  </si>
  <si>
    <t>Griffin, Cheryl</t>
  </si>
  <si>
    <t>RECRUITI-Recruitment Coordinator</t>
  </si>
  <si>
    <t>Griffin, Ruth A</t>
  </si>
  <si>
    <t>02/05/2018</t>
  </si>
  <si>
    <t>Griffin, Terrozza</t>
  </si>
  <si>
    <t>06/06/2011</t>
  </si>
  <si>
    <t>Gutkowski, Jill R</t>
  </si>
  <si>
    <t>08/25/2014</t>
  </si>
  <si>
    <t>Guy, Jendayi Fela</t>
  </si>
  <si>
    <t>08/23/2022</t>
  </si>
  <si>
    <t>Hagfors, Dustin James</t>
  </si>
  <si>
    <t>07/18/2022</t>
  </si>
  <si>
    <t>DIRPLAN-Director Planning and Development</t>
  </si>
  <si>
    <t>Hall, Bruce K</t>
  </si>
  <si>
    <t>06/13/2022</t>
  </si>
  <si>
    <t>Hall, Daniel Jacob</t>
  </si>
  <si>
    <t>Hansen, James Ronald</t>
  </si>
  <si>
    <t>10/03/2022</t>
  </si>
  <si>
    <t>Hardy, William B.</t>
  </si>
  <si>
    <t>Harris, Christopher L</t>
  </si>
  <si>
    <t>MECHHEL-Mechanic Helper</t>
  </si>
  <si>
    <t>Harshman, Jeffery</t>
  </si>
  <si>
    <t>10/09/2022</t>
  </si>
  <si>
    <t>Hartigan, Ericka</t>
  </si>
  <si>
    <t>GRANTS - Grants</t>
  </si>
  <si>
    <t>11/28/2016</t>
  </si>
  <si>
    <t>GNTSMNGR-Grants Manager</t>
  </si>
  <si>
    <t>Hatfield, Jeffry L</t>
  </si>
  <si>
    <t>Hayes, Devon</t>
  </si>
  <si>
    <t>02/24/2022</t>
  </si>
  <si>
    <t>Hayes, Jawan</t>
  </si>
  <si>
    <t>Heistand, Shane M</t>
  </si>
  <si>
    <t>02/10/2014</t>
  </si>
  <si>
    <t>Herman, Richard A.</t>
  </si>
  <si>
    <t>07/06/2009</t>
  </si>
  <si>
    <t>Hester, Marilyn</t>
  </si>
  <si>
    <t>Hicks, Robert L.</t>
  </si>
  <si>
    <t>Hill, Alfonso Reuben</t>
  </si>
  <si>
    <t>07/25/2022</t>
  </si>
  <si>
    <t>Hill, Coral</t>
  </si>
  <si>
    <t>Hill, Henry Moss</t>
  </si>
  <si>
    <t>07/12/2022</t>
  </si>
  <si>
    <t>Hoard, Nickolas D</t>
  </si>
  <si>
    <t>Hodges, Daniel G</t>
  </si>
  <si>
    <t>DIR MAIN-Director of Maintenance</t>
  </si>
  <si>
    <t>Holcombe, Ronald Keath</t>
  </si>
  <si>
    <t>06/10/2022</t>
  </si>
  <si>
    <t>Hollis III, Robert D</t>
  </si>
  <si>
    <t>Horn, Darren Anthony</t>
  </si>
  <si>
    <t>Horn, Derek G.</t>
  </si>
  <si>
    <t>06/23/2007</t>
  </si>
  <si>
    <t>Howard, Daniel L</t>
  </si>
  <si>
    <t>Hubble, David</t>
  </si>
  <si>
    <t>12/03/2018</t>
  </si>
  <si>
    <t>VT COORD-Vehicle Technology Coordinator</t>
  </si>
  <si>
    <t>Ingraham, Paul F</t>
  </si>
  <si>
    <t>07/28/1980</t>
  </si>
  <si>
    <t>11/01/2022</t>
  </si>
  <si>
    <t>Isham, Eric</t>
  </si>
  <si>
    <t>Jackson Sr., Eddie</t>
  </si>
  <si>
    <t>07/26/2022</t>
  </si>
  <si>
    <t>Jackson, Curtis L</t>
  </si>
  <si>
    <t>03/26/2018</t>
  </si>
  <si>
    <t>01/23/2023</t>
  </si>
  <si>
    <t>James, Sherena</t>
  </si>
  <si>
    <t>Jandron, Christopher</t>
  </si>
  <si>
    <t>Jasper, Deverett Heath</t>
  </si>
  <si>
    <t>HR MGR-Human Resources Mgr</t>
  </si>
  <si>
    <t>Jensen, Scott</t>
  </si>
  <si>
    <t>09/30/2019</t>
  </si>
  <si>
    <t>SVRADM-Server &amp; Network Administrator</t>
  </si>
  <si>
    <t>Johanson, Courtney</t>
  </si>
  <si>
    <t>10/14/2006</t>
  </si>
  <si>
    <t>Johnson, Bryan</t>
  </si>
  <si>
    <t>Johnson, Dematrus C</t>
  </si>
  <si>
    <t>OPSUP-Operations Supervisor</t>
  </si>
  <si>
    <t>Johnson, Donald</t>
  </si>
  <si>
    <t>Johnson, Theodore</t>
  </si>
  <si>
    <t>06/08/2022</t>
  </si>
  <si>
    <t>Jones, Jasmine J</t>
  </si>
  <si>
    <t>Jones, John</t>
  </si>
  <si>
    <t>OPSPV-M-Operations Supv - MSU</t>
  </si>
  <si>
    <t>Jones, Steven Gerard</t>
  </si>
  <si>
    <t>02/15/2022</t>
  </si>
  <si>
    <t>Jones-Minor, Darlene</t>
  </si>
  <si>
    <t>08/19/2000</t>
  </si>
  <si>
    <t>Kahn, Jeffrey</t>
  </si>
  <si>
    <t>04/15/2009</t>
  </si>
  <si>
    <t>Kaminski, Nicholas</t>
  </si>
  <si>
    <t>Karlik, Robert A.</t>
  </si>
  <si>
    <t>10/07/2022</t>
  </si>
  <si>
    <t>Keller, Anthony J</t>
  </si>
  <si>
    <t>08/13/2018</t>
  </si>
  <si>
    <t>03/20/2022</t>
  </si>
  <si>
    <t>Kelley, Kathleen M.</t>
  </si>
  <si>
    <t>06/29/1992</t>
  </si>
  <si>
    <t>10/21/2022</t>
  </si>
  <si>
    <t>Kent, Jason</t>
  </si>
  <si>
    <t>Kerekes, Michael</t>
  </si>
  <si>
    <t>04/08/2022</t>
  </si>
  <si>
    <t>Kerr, Ronda</t>
  </si>
  <si>
    <t>Kimball, Cory</t>
  </si>
  <si>
    <t>11/27/2017</t>
  </si>
  <si>
    <t>Kirby, Deborah</t>
  </si>
  <si>
    <t>12/01/2021</t>
  </si>
  <si>
    <t>TRNGSPV-Supervisor - Safety and Training</t>
  </si>
  <si>
    <t>Kludt, Lynda</t>
  </si>
  <si>
    <t>08/30/2022</t>
  </si>
  <si>
    <t>Korff, Alicia</t>
  </si>
  <si>
    <t>10/28/2022</t>
  </si>
  <si>
    <t>PLANINT-Planning Intern</t>
  </si>
  <si>
    <t>Kowalski, Stanley H.</t>
  </si>
  <si>
    <t>01/31/2023</t>
  </si>
  <si>
    <t>Krey, Sam</t>
  </si>
  <si>
    <t>02/04/2013</t>
  </si>
  <si>
    <t>Kuhl, Brett A.</t>
  </si>
  <si>
    <t>La Vigne, Joshua Lucas</t>
  </si>
  <si>
    <t>12/08/2022</t>
  </si>
  <si>
    <t>Larsen, Ryan</t>
  </si>
  <si>
    <t>06/26/2013</t>
  </si>
  <si>
    <t>ITMGR-Information Tech Services Mgr</t>
  </si>
  <si>
    <t>Latka, Pamela A</t>
  </si>
  <si>
    <t>10/16/1996</t>
  </si>
  <si>
    <t>02/07/2022</t>
  </si>
  <si>
    <t>TEM-Temp Marketing Manager</t>
  </si>
  <si>
    <t>Laviolette, Scott T</t>
  </si>
  <si>
    <t>Leap, Brian Patrick</t>
  </si>
  <si>
    <t>Lee, Darryl B</t>
  </si>
  <si>
    <t>Lee, Janet A.</t>
  </si>
  <si>
    <t>Leidi, Michael F</t>
  </si>
  <si>
    <t>02/03/2011</t>
  </si>
  <si>
    <t>04/29/2022</t>
  </si>
  <si>
    <t>Lemon, Patrick</t>
  </si>
  <si>
    <t>10/09/2017</t>
  </si>
  <si>
    <t>AFCM-Acting Financial Compliance Manager</t>
  </si>
  <si>
    <t>Lewis, Cynthia Renne</t>
  </si>
  <si>
    <t>Liggett, Haywood</t>
  </si>
  <si>
    <t>OPTRSP-Training Specialist</t>
  </si>
  <si>
    <t>Lightfoot, Patricia L</t>
  </si>
  <si>
    <t>Littlejohn, Stasha S</t>
  </si>
  <si>
    <t>LoPresto, Joseph D</t>
  </si>
  <si>
    <t>05/17/2021</t>
  </si>
  <si>
    <t>Loredo, Enedelia S.</t>
  </si>
  <si>
    <t>Love , Korryn</t>
  </si>
  <si>
    <t>09/04/2018</t>
  </si>
  <si>
    <t>05/03/2022</t>
  </si>
  <si>
    <t>Lownsbery, Brian R</t>
  </si>
  <si>
    <t>Lugo, Lois</t>
  </si>
  <si>
    <t>11/01/2021</t>
  </si>
  <si>
    <t>Lugo, Manuel L.</t>
  </si>
  <si>
    <t>06/01/1993</t>
  </si>
  <si>
    <t>Maier, Jason Andrew</t>
  </si>
  <si>
    <t>Manning, Melvin E</t>
  </si>
  <si>
    <t>Manns, Margaret M</t>
  </si>
  <si>
    <t>Markoff, Chris G</t>
  </si>
  <si>
    <t>Martin, Catherine A</t>
  </si>
  <si>
    <t>10/25/2012</t>
  </si>
  <si>
    <t>Martin, David P</t>
  </si>
  <si>
    <t>Martin, Jake Reece</t>
  </si>
  <si>
    <t>Martin, Quentin</t>
  </si>
  <si>
    <t>10/25/2021</t>
  </si>
  <si>
    <t>Martinez, Christian A.</t>
  </si>
  <si>
    <t>Marvin, Belinda D.</t>
  </si>
  <si>
    <t>Matter, Brian James</t>
  </si>
  <si>
    <t>Matthes, Rebecca S</t>
  </si>
  <si>
    <t>10/06/2014</t>
  </si>
  <si>
    <t>Mayes, Gregory A.</t>
  </si>
  <si>
    <t>Mazzuki, Georgeanna Claire</t>
  </si>
  <si>
    <t>10/24/2022</t>
  </si>
  <si>
    <t>McClinton, Yvonne I.</t>
  </si>
  <si>
    <t>McCutcheon, Gary C</t>
  </si>
  <si>
    <t>McElroy, Kenneth</t>
  </si>
  <si>
    <t>SFTYMGR-Safety Manager</t>
  </si>
  <si>
    <t>McGhee, Cora L.</t>
  </si>
  <si>
    <t>05/28/1985</t>
  </si>
  <si>
    <t>02/13/2022</t>
  </si>
  <si>
    <t>McGhee, William H</t>
  </si>
  <si>
    <t>01/04/1999</t>
  </si>
  <si>
    <t>McGill, Rachel A</t>
  </si>
  <si>
    <t>02/04/2021</t>
  </si>
  <si>
    <t>McIntosh II, Phillip Dale</t>
  </si>
  <si>
    <t>07/20/2020</t>
  </si>
  <si>
    <t>McKibben, Diana</t>
  </si>
  <si>
    <t>07/06/2016</t>
  </si>
  <si>
    <t>McKinney, LaQuesha S</t>
  </si>
  <si>
    <t>06/17/2019</t>
  </si>
  <si>
    <t>McKinney, Lashaunte</t>
  </si>
  <si>
    <t>Medina, Katie A.</t>
  </si>
  <si>
    <t>03/08/2022</t>
  </si>
  <si>
    <t>Mele, Jason</t>
  </si>
  <si>
    <t>09/07/2021</t>
  </si>
  <si>
    <t>01/14/2022</t>
  </si>
  <si>
    <t>Milekovich, George</t>
  </si>
  <si>
    <t>Miller, Alvina A.</t>
  </si>
  <si>
    <t>12/05/1994</t>
  </si>
  <si>
    <t>05/18/2022</t>
  </si>
  <si>
    <t>Miller, Mark A</t>
  </si>
  <si>
    <t>Millington, Judith M</t>
  </si>
  <si>
    <t>12/16/2019</t>
  </si>
  <si>
    <t>GRTS ADM-Grants Administrator</t>
  </si>
  <si>
    <t>Minor, Deshon</t>
  </si>
  <si>
    <t>Mireles-Lickert, Catherine L</t>
  </si>
  <si>
    <t>Mittag, Dan A</t>
  </si>
  <si>
    <t>03/20/1989</t>
  </si>
  <si>
    <t>MECH II-Mechanic II</t>
  </si>
  <si>
    <t>Montry, Jessica R</t>
  </si>
  <si>
    <t>Moody, Mary</t>
  </si>
  <si>
    <t>Moore, Richard</t>
  </si>
  <si>
    <t>FACGRD - Facilities and Grounds</t>
  </si>
  <si>
    <t>FACTECH-Facilities Technician</t>
  </si>
  <si>
    <t>Morgan, Kechia R</t>
  </si>
  <si>
    <t>Morris, Marissa</t>
  </si>
  <si>
    <t>03/14/2022</t>
  </si>
  <si>
    <t>Morris, Sharon A.</t>
  </si>
  <si>
    <t>07/08/2000</t>
  </si>
  <si>
    <t>Mosier, Kim Cinderella</t>
  </si>
  <si>
    <t>Mullins, Sebrina Annette</t>
  </si>
  <si>
    <t>Nicholson, Damyon Lamarr</t>
  </si>
  <si>
    <t>Niklas, Bradley</t>
  </si>
  <si>
    <t>Noble, Christopher D</t>
  </si>
  <si>
    <t>Noble, Harold G</t>
  </si>
  <si>
    <t>08/16/1999</t>
  </si>
  <si>
    <t>MAINSPT-Maint Supv-Services/Parts &amp; Inv</t>
  </si>
  <si>
    <t>Noble, Kelly J</t>
  </si>
  <si>
    <t>Nosal, Joe</t>
  </si>
  <si>
    <t>Ogden, Vita M</t>
  </si>
  <si>
    <t>Oldham, Lee</t>
  </si>
  <si>
    <t>02/08/2016</t>
  </si>
  <si>
    <t>Olger, Douglas</t>
  </si>
  <si>
    <t>07/05/2016</t>
  </si>
  <si>
    <t>Olson, Andrew N</t>
  </si>
  <si>
    <t>01/14/2019</t>
  </si>
  <si>
    <t>Orlando, Tina</t>
  </si>
  <si>
    <t>11/11/2019</t>
  </si>
  <si>
    <t>EXECSEC-Executive Assistant</t>
  </si>
  <si>
    <t>Ostrander, Lee Vettel</t>
  </si>
  <si>
    <t>06/27/2022</t>
  </si>
  <si>
    <t>Ostrowski, Nolan Conrad</t>
  </si>
  <si>
    <t>10/10/2022</t>
  </si>
  <si>
    <t>Oudsema, Matthew R.</t>
  </si>
  <si>
    <t>11/13/2006</t>
  </si>
  <si>
    <t>PLAN-SRMANAGER</t>
  </si>
  <si>
    <t>Overbeck, Karen L.</t>
  </si>
  <si>
    <t>08/12/2006</t>
  </si>
  <si>
    <t>Page, Kevin P</t>
  </si>
  <si>
    <t>Parker, Ashley</t>
  </si>
  <si>
    <t>12/06/2021</t>
  </si>
  <si>
    <t>HRGEN-HR Generalist</t>
  </si>
  <si>
    <t>Parras, Armando L</t>
  </si>
  <si>
    <t>01/13/1992</t>
  </si>
  <si>
    <t>Parsons, Martin F</t>
  </si>
  <si>
    <t>04/26/2021</t>
  </si>
  <si>
    <t>FACIL FT-Facilities and Grounds Maintenance</t>
  </si>
  <si>
    <t>Parwey, Maggie</t>
  </si>
  <si>
    <t>02/01/2023</t>
  </si>
  <si>
    <t>Pearl, Alan E.</t>
  </si>
  <si>
    <t>Pearl, Jeffrey</t>
  </si>
  <si>
    <t>05/31/2004</t>
  </si>
  <si>
    <t>CSTDN-Custodian</t>
  </si>
  <si>
    <t>Pedroso Aparicio, Raudel</t>
  </si>
  <si>
    <t>Pena, Jacob</t>
  </si>
  <si>
    <t>STOPSSUP-Street/Ops Center Supervisor</t>
  </si>
  <si>
    <t>Perez, Sergio</t>
  </si>
  <si>
    <t>Peters, Shakiya Keeyoni</t>
  </si>
  <si>
    <t>05/16/2022</t>
  </si>
  <si>
    <t>Peterson, Jeffery Scott</t>
  </si>
  <si>
    <t>09/24/2018</t>
  </si>
  <si>
    <t>Pettit, Randy Scott</t>
  </si>
  <si>
    <t>11/08/2022</t>
  </si>
  <si>
    <t>MTS-Maintenance Training Supervisor</t>
  </si>
  <si>
    <t>Pickett, Delaney H</t>
  </si>
  <si>
    <t>11/09/2020</t>
  </si>
  <si>
    <t>MRKTAID-Marketing Aide - Part Time</t>
  </si>
  <si>
    <t>Pierce, Brandon D</t>
  </si>
  <si>
    <t>Pierce, Pamela K</t>
  </si>
  <si>
    <t>Pitre, Timothy V.</t>
  </si>
  <si>
    <t>Pizana, Jose</t>
  </si>
  <si>
    <t>Pocklington, Andrew</t>
  </si>
  <si>
    <t>04/30/2018</t>
  </si>
  <si>
    <t>SIGNSHLT-Sign &amp; Shelter Technician</t>
  </si>
  <si>
    <t>Potter, Brett James</t>
  </si>
  <si>
    <t>11/29/2022</t>
  </si>
  <si>
    <t>Preston, Chyrie C</t>
  </si>
  <si>
    <t>Preville, Erik H</t>
  </si>
  <si>
    <t>Price, Joshua</t>
  </si>
  <si>
    <t>Pryor, Eric Deonte</t>
  </si>
  <si>
    <t>Rabi, Jose Antonio</t>
  </si>
  <si>
    <t>Rahme, Tohme G.</t>
  </si>
  <si>
    <t>05/18/1998</t>
  </si>
  <si>
    <t>05/05/2022</t>
  </si>
  <si>
    <t>Reaser, Lucus James</t>
  </si>
  <si>
    <t>Reeder, Tammie S</t>
  </si>
  <si>
    <t>01/05/1993</t>
  </si>
  <si>
    <t>Reeder, Travis L</t>
  </si>
  <si>
    <t>Reeves, Michelle Rene</t>
  </si>
  <si>
    <t>11/07/2022</t>
  </si>
  <si>
    <t>Rice, Douglas B.</t>
  </si>
  <si>
    <t>Richardson, Tiera</t>
  </si>
  <si>
    <t>CXLEAD - Customer Experience Leadership</t>
  </si>
  <si>
    <t>Riggs, Ralph</t>
  </si>
  <si>
    <t>Ritenburg, David L</t>
  </si>
  <si>
    <t>Roberts, John D.</t>
  </si>
  <si>
    <t>Robinson, Shamarie</t>
  </si>
  <si>
    <t>01/03/2019</t>
  </si>
  <si>
    <t>Robinson-Moore, Brianna</t>
  </si>
  <si>
    <t>04/15/2022</t>
  </si>
  <si>
    <t>Robison, Laurie Kazue</t>
  </si>
  <si>
    <t>07/11/2011</t>
  </si>
  <si>
    <t>DIR MRKT-Director of Marketing &amp; Customer Experience</t>
  </si>
  <si>
    <t>Rodgers, Leon Rosell</t>
  </si>
  <si>
    <t>Rogers, Antwanet</t>
  </si>
  <si>
    <t>03/03/2022</t>
  </si>
  <si>
    <t>Rogers, Elizabeth L</t>
  </si>
  <si>
    <t>07/21/2014</t>
  </si>
  <si>
    <t>08/15/2018</t>
  </si>
  <si>
    <t>Rogers, Jonathan</t>
  </si>
  <si>
    <t>07/01/2019</t>
  </si>
  <si>
    <t>Rogers, Melissa A</t>
  </si>
  <si>
    <t>08/19/2019</t>
  </si>
  <si>
    <t>CXSUP-Customer Experience Supervisor</t>
  </si>
  <si>
    <t>Rowe, Corey J</t>
  </si>
  <si>
    <t>10/27/2022</t>
  </si>
  <si>
    <t>AMBUSADO-Ambussador</t>
  </si>
  <si>
    <t>Rudolph, Ned</t>
  </si>
  <si>
    <t>09/06/1977</t>
  </si>
  <si>
    <t>Runge, Alexander J</t>
  </si>
  <si>
    <t>11/23/2021</t>
  </si>
  <si>
    <t>06/25/2021</t>
  </si>
  <si>
    <t>Russell, Brandon Everrett</t>
  </si>
  <si>
    <t>Sanchez, Constancia S</t>
  </si>
  <si>
    <t>Sassman, Brandon J</t>
  </si>
  <si>
    <t>Saxon, Rayonna Ariesha</t>
  </si>
  <si>
    <t>Scates, Shontae Yevette</t>
  </si>
  <si>
    <t>Schieberl, Michael Daniel</t>
  </si>
  <si>
    <t>Schwab, Chadwick W</t>
  </si>
  <si>
    <t>Search, James L.</t>
  </si>
  <si>
    <t>02/08/1999</t>
  </si>
  <si>
    <t>Sergent, Jonathan</t>
  </si>
  <si>
    <t>05/07/2012</t>
  </si>
  <si>
    <t>Sharp, Kyle Joseph Sherman</t>
  </si>
  <si>
    <t>01/13/2023</t>
  </si>
  <si>
    <t>Sharp, Nicole Michelle</t>
  </si>
  <si>
    <t>03/24/2022</t>
  </si>
  <si>
    <t>Shattuck, Dale Tomas</t>
  </si>
  <si>
    <t>Sherrill, Amanda Lynn</t>
  </si>
  <si>
    <t>09/27/2021</t>
  </si>
  <si>
    <t>10/14/2022</t>
  </si>
  <si>
    <t>GENACCT-General Accountant</t>
  </si>
  <si>
    <t>Shields, Carlos</t>
  </si>
  <si>
    <t>Shirey, Chad</t>
  </si>
  <si>
    <t>02/02/2015</t>
  </si>
  <si>
    <t>Shropshire, Kelly D.</t>
  </si>
  <si>
    <t>01/15/2007</t>
  </si>
  <si>
    <t>Silaghi, Mircea P.</t>
  </si>
  <si>
    <t>Silaghi, Otilia D</t>
  </si>
  <si>
    <t>09/23/2013</t>
  </si>
  <si>
    <t>Simpkins, Karla</t>
  </si>
  <si>
    <t>11/14/2016</t>
  </si>
  <si>
    <t>08/22/2022</t>
  </si>
  <si>
    <t>Singletary, Jeramie L.</t>
  </si>
  <si>
    <t>Slack, Donald C.</t>
  </si>
  <si>
    <t>Slear, Jerry A</t>
  </si>
  <si>
    <t>Smith, Ania Janay</t>
  </si>
  <si>
    <t>Smith, Douglas M</t>
  </si>
  <si>
    <t>12/21/2022</t>
  </si>
  <si>
    <t>Smith, Lateysha Ernay</t>
  </si>
  <si>
    <t>Smith, Lawrence D.</t>
  </si>
  <si>
    <t>10/18/2022</t>
  </si>
  <si>
    <t>Smith, Markethia</t>
  </si>
  <si>
    <t>Smith, Micah Desera-Marie</t>
  </si>
  <si>
    <t>Smith, Rebecca</t>
  </si>
  <si>
    <t>Sobleskey, Kevin</t>
  </si>
  <si>
    <t>Soliz, Rebecca Sue</t>
  </si>
  <si>
    <t>09/11/2018</t>
  </si>
  <si>
    <t>Soliz, Samantha S</t>
  </si>
  <si>
    <t>03/12/2018</t>
  </si>
  <si>
    <t>MRKTMGR-Marketing Manager</t>
  </si>
  <si>
    <t>Soliz, Steven J</t>
  </si>
  <si>
    <t>03/19/1990</t>
  </si>
  <si>
    <t>Southerly, Cathy A.</t>
  </si>
  <si>
    <t>Southerly, Troy D</t>
  </si>
  <si>
    <t>10/13/2022</t>
  </si>
  <si>
    <t>Spicer, Scott W.</t>
  </si>
  <si>
    <t>St. John, Lisa Marie</t>
  </si>
  <si>
    <t>MRKTEA-Marketing Executive Assistant</t>
  </si>
  <si>
    <t>Stahl, Michael J</t>
  </si>
  <si>
    <t>Stanfield, David H.</t>
  </si>
  <si>
    <t>01/18/2002</t>
  </si>
  <si>
    <t>Steadman, Pamela Renee</t>
  </si>
  <si>
    <t>09/19/2022</t>
  </si>
  <si>
    <t>Steffek, Elaine</t>
  </si>
  <si>
    <t>Steinhauer, Angela L</t>
  </si>
  <si>
    <t>Steinhauer, Randy S.</t>
  </si>
  <si>
    <t>08/22/2003</t>
  </si>
  <si>
    <t>Stephens, Margaret E.</t>
  </si>
  <si>
    <t>05/14/2018</t>
  </si>
  <si>
    <t>CUSMGR-Customer Experience Manager</t>
  </si>
  <si>
    <t>Stevens, Brandon</t>
  </si>
  <si>
    <t>10/22/2004</t>
  </si>
  <si>
    <t>Stiles, Laura</t>
  </si>
  <si>
    <t>Stone, Russell W.</t>
  </si>
  <si>
    <t>Stovall, Arthur L.</t>
  </si>
  <si>
    <t>04/05/1999</t>
  </si>
  <si>
    <t>Stratz, Debra K.</t>
  </si>
  <si>
    <t>11/10/1997</t>
  </si>
  <si>
    <t>Sturdivant, Susan K</t>
  </si>
  <si>
    <t>Sumerix, Renee</t>
  </si>
  <si>
    <t>OPADMIN-Operations Administrative Coordinator</t>
  </si>
  <si>
    <t>Sylvester, Susan</t>
  </si>
  <si>
    <t>09/03/2019</t>
  </si>
  <si>
    <t>Taylor, Cheryl E</t>
  </si>
  <si>
    <t>Taylor, Christopher</t>
  </si>
  <si>
    <t>Taylor, Myshere</t>
  </si>
  <si>
    <t>Taylor, Ronald L.</t>
  </si>
  <si>
    <t>06/28/1999</t>
  </si>
  <si>
    <t>Taylor, Sarah E</t>
  </si>
  <si>
    <t>Terry, Abraham</t>
  </si>
  <si>
    <t>Thomas, Jennifer K</t>
  </si>
  <si>
    <t>07/23/2007</t>
  </si>
  <si>
    <t>Thomas, Michael J</t>
  </si>
  <si>
    <t>Thompson-Phifer Jr., Jay T</t>
  </si>
  <si>
    <t>Thomson, Kimberley</t>
  </si>
  <si>
    <t>01/08/2005</t>
  </si>
  <si>
    <t>Thorn, Tesra M</t>
  </si>
  <si>
    <t>11/23/2015</t>
  </si>
  <si>
    <t>Tippins, Theresa Barnetear</t>
  </si>
  <si>
    <t>09/23/2022</t>
  </si>
  <si>
    <t>Tonche, Jesus A</t>
  </si>
  <si>
    <t>Torrez, Ricardo</t>
  </si>
  <si>
    <t>01/18/2021</t>
  </si>
  <si>
    <t>Torrez-Favreau, Jennifer A</t>
  </si>
  <si>
    <t>Townsend, LaTondrea Charnice</t>
  </si>
  <si>
    <t>06/23/2022</t>
  </si>
  <si>
    <t>Treanor, Theresa L</t>
  </si>
  <si>
    <t>Trevino, Lazarurus David</t>
  </si>
  <si>
    <t>09/22/2022</t>
  </si>
  <si>
    <t>Troxler, Tymberly</t>
  </si>
  <si>
    <t>Tucker, Ashten B</t>
  </si>
  <si>
    <t>10/07/2019</t>
  </si>
  <si>
    <t>AMRKMAN-Assistant Marketing Manager</t>
  </si>
  <si>
    <t>Turner, Gregory</t>
  </si>
  <si>
    <t>Unkefer, Daniel P</t>
  </si>
  <si>
    <t>VanAlstine, Norman</t>
  </si>
  <si>
    <t>08/13/2003</t>
  </si>
  <si>
    <t>FACILMGR-Facilities Manager</t>
  </si>
  <si>
    <t>Veltman, Wendy J</t>
  </si>
  <si>
    <t>Vick, Dave</t>
  </si>
  <si>
    <t>Vidito, Matthew J</t>
  </si>
  <si>
    <t>05/21/2012</t>
  </si>
  <si>
    <t>Vojic, Asim</t>
  </si>
  <si>
    <t>02/06/2022</t>
  </si>
  <si>
    <t>Wade, Rhonda R</t>
  </si>
  <si>
    <t>02/22/2022</t>
  </si>
  <si>
    <t>Walker Jr., Darryl L</t>
  </si>
  <si>
    <t>Walker, Octavia Jessica</t>
  </si>
  <si>
    <t>Walls, Frazier</t>
  </si>
  <si>
    <t>09/24/2020</t>
  </si>
  <si>
    <t>Walters, Laura Jean</t>
  </si>
  <si>
    <t>Warren, Tonya</t>
  </si>
  <si>
    <t>Washburn, David Hazen</t>
  </si>
  <si>
    <t>12/07/2022</t>
  </si>
  <si>
    <t>Wells, Tamara J.</t>
  </si>
  <si>
    <t>Wells, Tella R</t>
  </si>
  <si>
    <t>Whalen, Colleen I.</t>
  </si>
  <si>
    <t>Whalen, Nicholas J</t>
  </si>
  <si>
    <t>01/05/2015</t>
  </si>
  <si>
    <t>Whalen, Randall J</t>
  </si>
  <si>
    <t>06/19/2000</t>
  </si>
  <si>
    <t>03/28/2018</t>
  </si>
  <si>
    <t>Whitley, Allan L</t>
  </si>
  <si>
    <t>Wiley, Brian Daniel</t>
  </si>
  <si>
    <t>12/16/2022</t>
  </si>
  <si>
    <t>Williams, Erica</t>
  </si>
  <si>
    <t>Williams, Jamie Sharonn</t>
  </si>
  <si>
    <t>Williams, Jernel Michelle</t>
  </si>
  <si>
    <t>Williams, Karen L.</t>
  </si>
  <si>
    <t>Williams, Tim Jose</t>
  </si>
  <si>
    <t>Willis, Peggy L.</t>
  </si>
  <si>
    <t>04/05/2004</t>
  </si>
  <si>
    <t>Wilson, Bobby</t>
  </si>
  <si>
    <t>03/02/2022</t>
  </si>
  <si>
    <t>Wilson, Monique Denise</t>
  </si>
  <si>
    <t>07/28/2022</t>
  </si>
  <si>
    <t>Wilson, Nicole T.</t>
  </si>
  <si>
    <t>09/05/2017</t>
  </si>
  <si>
    <t>PURCMGR-Purchasing &amp; Contracts Manager</t>
  </si>
  <si>
    <t>Wilson, Stephen J</t>
  </si>
  <si>
    <t>Wilson, Tre</t>
  </si>
  <si>
    <t>06/30/2022</t>
  </si>
  <si>
    <t>Wing, Patrick A</t>
  </si>
  <si>
    <t>Wireman-Lee, Amy</t>
  </si>
  <si>
    <t>Wojack, Kelly K.</t>
  </si>
  <si>
    <t>03/01/2006</t>
  </si>
  <si>
    <t>Wood, Alan</t>
  </si>
  <si>
    <t>01/15/2014</t>
  </si>
  <si>
    <t>Wood, William A</t>
  </si>
  <si>
    <t>Woods, NaShawna</t>
  </si>
  <si>
    <t>03/01/2022</t>
  </si>
  <si>
    <t>Woody, April Marie</t>
  </si>
  <si>
    <t>Worden, Brad L.</t>
  </si>
  <si>
    <t>05/20/2022</t>
  </si>
  <si>
    <t>Wright, Cynthia L.</t>
  </si>
  <si>
    <t>Wright, Mary</t>
  </si>
  <si>
    <t>Wright, Robert</t>
  </si>
  <si>
    <t>12/30/2021</t>
  </si>
  <si>
    <t>Wright, Tawana Denise</t>
  </si>
  <si>
    <t>Yates, Brandie Richelle</t>
  </si>
  <si>
    <t>Young III, Jess Oscar</t>
  </si>
  <si>
    <t>03/16/2022</t>
  </si>
  <si>
    <t>Young, William L</t>
  </si>
  <si>
    <t>Zickefoose, Nicholas</t>
  </si>
  <si>
    <t>MRKSPEC-Marketing Specialist</t>
  </si>
  <si>
    <r>
      <rPr>
        <sz val="17"/>
        <color rgb="FF808080"/>
        <rFont val="Proxima Nova Rg"/>
      </rPr>
      <t>Payroll History</t>
    </r>
  </si>
  <si>
    <r>
      <rPr>
        <b/>
        <sz val="10"/>
        <color rgb="FF808080"/>
        <rFont val="Proxima Nova Rg"/>
      </rPr>
      <t>Created on: 02/14/2023</t>
    </r>
  </si>
  <si>
    <r>
      <rPr>
        <b/>
        <sz val="12"/>
        <color rgb="FF808080"/>
        <rFont val="Proxima Nova Rg"/>
      </rPr>
      <t>Report Runtime Settings    </t>
    </r>
    <r>
      <rPr>
        <sz val="12"/>
        <color rgb="FF808080"/>
        <rFont val="Proxima Nova Rg"/>
      </rPr>
      <t>The following settings were used to create this report</t>
    </r>
  </si>
  <si>
    <r>
      <rPr>
        <b/>
        <sz val="12"/>
        <color rgb="FF000000"/>
        <rFont val="Proxima Nova Rg"/>
      </rPr>
      <t>Employees Included</t>
    </r>
  </si>
  <si>
    <t>Employee List</t>
  </si>
  <si>
    <r>
      <rPr>
        <b/>
        <sz val="10"/>
        <color rgb="FF000000"/>
        <rFont val="Proxima Nova Rg"/>
      </rPr>
      <t>All Employees</t>
    </r>
  </si>
  <si>
    <t>Company Codes</t>
  </si>
  <si>
    <r>
      <rPr>
        <b/>
        <sz val="10"/>
        <color rgb="FF000000"/>
        <rFont val="Proxima Nova Rg"/>
      </rPr>
      <t>All Company Codes</t>
    </r>
  </si>
  <si>
    <t>Home Departments</t>
  </si>
  <si>
    <r>
      <rPr>
        <b/>
        <sz val="10"/>
        <color rgb="FF000000"/>
        <rFont val="Proxima Nova Rg"/>
      </rPr>
      <t>All Home Departments</t>
    </r>
  </si>
  <si>
    <t>Locations</t>
  </si>
  <si>
    <r>
      <rPr>
        <b/>
        <sz val="10"/>
        <color rgb="FF000000"/>
        <rFont val="Proxima Nova Rg"/>
      </rPr>
      <t>All Locations</t>
    </r>
  </si>
  <si>
    <t>Business Units</t>
  </si>
  <si>
    <r>
      <rPr>
        <b/>
        <sz val="10"/>
        <color rgb="FF000000"/>
        <rFont val="Proxima Nova Rg"/>
      </rPr>
      <t>All Business Units</t>
    </r>
  </si>
  <si>
    <t>Home Cost Numbers</t>
  </si>
  <si>
    <r>
      <rPr>
        <b/>
        <sz val="10"/>
        <color rgb="FF000000"/>
        <rFont val="Proxima Nova Rg"/>
      </rPr>
      <t>All Home Cost Numbers</t>
    </r>
  </si>
  <si>
    <t>Date Range</t>
  </si>
  <si>
    <r>
      <rPr>
        <b/>
        <sz val="10"/>
        <color rgb="FF000000"/>
        <rFont val="Proxima Nova Rg"/>
      </rPr>
      <t>From: 01/01/2022 - To: 12/31/2022</t>
    </r>
  </si>
  <si>
    <r>
      <rPr>
        <sz val="10"/>
        <color rgb="FF808080"/>
        <rFont val="Proxima Nova Rg"/>
      </rPr>
      <t>Archived employees are NOT included</t>
    </r>
  </si>
  <si>
    <r>
      <rPr>
        <sz val="10"/>
        <color rgb="FF808080"/>
        <rFont val="Proxima Nova Rg"/>
      </rPr>
      <t>Employees with payroll history are NOT included</t>
    </r>
  </si>
  <si>
    <t>Fields Included</t>
  </si>
  <si>
    <r>
      <rPr>
        <sz val="10"/>
        <color rgb="FF808080"/>
        <rFont val="Proxima Nova Rg"/>
      </rPr>
      <t>Name, Status, Home Department, Hire Date, Termination Date, Rehire Date, Job Title, Regular Hours, Overtime Hours, Additional Hours, Total Hours, Regular Earnings, Overtime Earnings, Additional Earnings, Total Earnings</t>
    </r>
  </si>
  <si>
    <t>Sort Order</t>
  </si>
  <si>
    <r>
      <rPr>
        <sz val="10"/>
        <color rgb="FF808080"/>
        <rFont val="Proxima Nova Rg"/>
      </rPr>
      <t>Company Code, Name, Position ID</t>
    </r>
  </si>
  <si>
    <t>Group By</t>
  </si>
  <si>
    <r>
      <rPr>
        <sz val="10"/>
        <color rgb="FF808080"/>
        <rFont val="Proxima Nova Rg"/>
      </rPr>
      <t>Name, Display Totals Only</t>
    </r>
  </si>
  <si>
    <t>Display Options</t>
  </si>
  <si>
    <r>
      <rPr>
        <sz val="10"/>
        <color rgb="FF808080"/>
        <rFont val="Proxima Nova Rg"/>
      </rPr>
      <t>Tax ID is Partially Masked</t>
    </r>
  </si>
  <si>
    <r>
      <rPr>
        <sz val="10"/>
        <color rgb="FF808080"/>
        <rFont val="Proxima Nova Rg"/>
      </rPr>
      <t>Employee Tax ID is Not Masked</t>
    </r>
  </si>
  <si>
    <r>
      <rPr>
        <sz val="10"/>
        <color rgb="FF808080"/>
        <rFont val="Proxima Nova Rg"/>
      </rPr>
      <t>Report Information displayed as of 02/14/2023</t>
    </r>
  </si>
  <si>
    <t>Note</t>
  </si>
  <si>
    <t>Payroll History</t>
  </si>
  <si>
    <t>Run Date:02/14/2023 05:26 PM EST</t>
  </si>
  <si>
    <t>Union Code</t>
  </si>
  <si>
    <t>ATU</t>
  </si>
  <si>
    <t>Hourly Rate/Weekly Salary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</si>
</sst>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#,##0.00;\-#,##0.00;#,##0.00"/>
  </numFmts>
  <fonts count="14">
    <font>
      <sz val="11"/>
      <color theme="1"/>
      <name val="Calibri"/>
    </font>
    <font>
      <b/>
      <sz val="9"/>
      <color rgb="FFFFFFFF"/>
      <name val="Proxima Nova Rg"/>
    </font>
    <font>
      <sz val="9"/>
      <color rgb="FF666666"/>
      <name val="Proxima Nova Rg"/>
    </font>
    <font>
      <sz val="17"/>
      <color rgb="FF808080"/>
      <name val="Proxima Nova Rg"/>
    </font>
    <font>
      <b/>
      <sz val="10"/>
      <color rgb="FF808080"/>
      <name val="Proxima Nova Rg"/>
    </font>
    <font>
      <b/>
      <sz val="12"/>
      <color rgb="FF808080"/>
      <name val="Proxima Nova Rg"/>
    </font>
    <font>
      <sz val="2"/>
      <color rgb="FF000000"/>
      <name val="Serif"/>
      <family val="1"/>
    </font>
    <font>
      <b/>
      <sz val="12"/>
      <color rgb="FF000000"/>
      <name val="Proxima Nova Rg"/>
    </font>
    <font>
      <sz val="10"/>
      <color rgb="FF000000"/>
      <name val="Serif"/>
      <family val="1"/>
    </font>
    <font>
      <sz val="10"/>
      <color rgb="FF808080"/>
      <name val="Proxima Nova Rg"/>
    </font>
    <font>
      <b/>
      <sz val="10"/>
      <color rgb="FF000000"/>
      <name val="Proxima Nova Rg"/>
    </font>
    <font>
      <sz val="9"/>
      <color rgb="FF808080"/>
      <name val="Proxima Nova Rg"/>
    </font>
    <font>
      <sz val="12"/>
      <color rgb="FF808080"/>
      <name val="Proxima Nova Rg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EBEDE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0" fontId="11" fillId="3" borderId="0" xfId="0" applyFont="1" applyFill="1" applyAlignment="1">
      <alignment horizontal="left" vertical="top" wrapText="1"/>
    </xf>
    <xf numFmtId="44" fontId="2" fillId="3" borderId="1" xfId="1" applyFont="1" applyFill="1" applyBorder="1" applyAlignment="1">
      <alignment horizontal="center" vertical="top" wrapText="1"/>
    </xf>
    <xf numFmtId="44" fontId="2" fillId="3" borderId="1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3" borderId="0" xfId="0" applyFont="1" applyFill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V468"/>
  <sheetViews>
    <sheetView tabSelected="1" topLeftCell="A265" workbookViewId="0">
      <selection activeCell="A143" sqref="A143"/>
    </sheetView>
  </sheetViews>
  <sheetFormatPr defaultColWidth="9.140625" defaultRowHeight="15"/>
  <cols>
    <col min="1" max="3" width="27.42578125" customWidth="1"/>
    <col min="4" max="6" width="20.5703125" customWidth="1"/>
    <col min="7" max="8" width="27.42578125" customWidth="1"/>
    <col min="9" max="152" width="13.7109375" customWidth="1"/>
  </cols>
  <sheetData>
    <row r="1" spans="1:152" ht="48">
      <c r="A1" s="1" t="s">
        <v>1</v>
      </c>
      <c r="B1" s="1" t="s">
        <v>1057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1059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  <c r="AL1" s="3" t="s">
        <v>36</v>
      </c>
      <c r="AM1" s="3" t="s">
        <v>37</v>
      </c>
      <c r="AN1" s="3" t="s">
        <v>38</v>
      </c>
      <c r="AO1" s="3" t="s">
        <v>39</v>
      </c>
      <c r="AP1" s="3" t="s">
        <v>40</v>
      </c>
      <c r="AQ1" s="3" t="s">
        <v>41</v>
      </c>
      <c r="AR1" s="3" t="s">
        <v>42</v>
      </c>
      <c r="AS1" s="3" t="s">
        <v>43</v>
      </c>
      <c r="AT1" s="3" t="s">
        <v>44</v>
      </c>
      <c r="AU1" s="3" t="s">
        <v>45</v>
      </c>
      <c r="AV1" s="3" t="s">
        <v>46</v>
      </c>
      <c r="AW1" s="3" t="s">
        <v>47</v>
      </c>
      <c r="AX1" s="3" t="s">
        <v>48</v>
      </c>
      <c r="AY1" s="3" t="s">
        <v>49</v>
      </c>
      <c r="AZ1" s="3" t="s">
        <v>50</v>
      </c>
      <c r="BA1" s="3" t="s">
        <v>51</v>
      </c>
      <c r="BB1" s="3" t="s">
        <v>52</v>
      </c>
      <c r="BC1" s="3" t="s">
        <v>53</v>
      </c>
      <c r="BD1" s="3" t="s">
        <v>54</v>
      </c>
      <c r="BE1" s="3" t="s">
        <v>55</v>
      </c>
      <c r="BF1" s="3" t="s">
        <v>56</v>
      </c>
      <c r="BG1" s="3" t="s">
        <v>57</v>
      </c>
      <c r="BH1" s="3" t="s">
        <v>58</v>
      </c>
      <c r="BI1" s="3" t="s">
        <v>59</v>
      </c>
      <c r="BJ1" s="3" t="s">
        <v>60</v>
      </c>
      <c r="BK1" s="3" t="s">
        <v>61</v>
      </c>
      <c r="BL1" s="3" t="s">
        <v>62</v>
      </c>
      <c r="BM1" s="3" t="s">
        <v>63</v>
      </c>
      <c r="BN1" s="3" t="s">
        <v>64</v>
      </c>
      <c r="BO1" s="3" t="s">
        <v>65</v>
      </c>
      <c r="BP1" s="3" t="s">
        <v>66</v>
      </c>
      <c r="BQ1" s="3" t="s">
        <v>67</v>
      </c>
      <c r="BR1" s="3" t="s">
        <v>68</v>
      </c>
      <c r="BS1" s="3" t="s">
        <v>69</v>
      </c>
      <c r="BT1" s="3" t="s">
        <v>70</v>
      </c>
      <c r="BU1" s="3" t="s">
        <v>71</v>
      </c>
      <c r="BV1" s="3" t="s">
        <v>72</v>
      </c>
      <c r="BW1" s="3" t="s">
        <v>73</v>
      </c>
      <c r="BX1" s="3" t="s">
        <v>74</v>
      </c>
      <c r="BY1" s="3" t="s">
        <v>75</v>
      </c>
      <c r="BZ1" s="3" t="s">
        <v>76</v>
      </c>
      <c r="CA1" s="3" t="s">
        <v>77</v>
      </c>
      <c r="CB1" s="3" t="s">
        <v>78</v>
      </c>
      <c r="CC1" s="3" t="s">
        <v>79</v>
      </c>
      <c r="CD1" s="3" t="s">
        <v>80</v>
      </c>
      <c r="CE1" s="3" t="s">
        <v>81</v>
      </c>
      <c r="CF1" s="3" t="s">
        <v>82</v>
      </c>
      <c r="CG1" s="3" t="s">
        <v>83</v>
      </c>
      <c r="CH1" s="3" t="s">
        <v>84</v>
      </c>
      <c r="CI1" s="3" t="s">
        <v>85</v>
      </c>
      <c r="CJ1" s="3" t="s">
        <v>86</v>
      </c>
      <c r="CK1" s="3" t="s">
        <v>87</v>
      </c>
      <c r="CL1" s="3" t="s">
        <v>88</v>
      </c>
      <c r="CM1" s="3" t="s">
        <v>89</v>
      </c>
      <c r="CN1" s="3" t="s">
        <v>90</v>
      </c>
      <c r="CO1" s="3" t="s">
        <v>91</v>
      </c>
      <c r="CP1" s="3" t="s">
        <v>92</v>
      </c>
      <c r="CQ1" s="3" t="s">
        <v>93</v>
      </c>
      <c r="CR1" s="3" t="s">
        <v>94</v>
      </c>
      <c r="CS1" s="3" t="s">
        <v>95</v>
      </c>
      <c r="CT1" s="3" t="s">
        <v>96</v>
      </c>
      <c r="CU1" s="3" t="s">
        <v>97</v>
      </c>
      <c r="CV1" s="3" t="s">
        <v>98</v>
      </c>
      <c r="CW1" s="3" t="s">
        <v>99</v>
      </c>
      <c r="CX1" s="3" t="s">
        <v>100</v>
      </c>
      <c r="CY1" s="3" t="s">
        <v>101</v>
      </c>
      <c r="CZ1" s="3" t="s">
        <v>102</v>
      </c>
      <c r="DA1" s="3" t="s">
        <v>103</v>
      </c>
      <c r="DB1" s="3" t="s">
        <v>104</v>
      </c>
      <c r="DC1" s="3" t="s">
        <v>105</v>
      </c>
      <c r="DD1" s="3" t="s">
        <v>106</v>
      </c>
      <c r="DE1" s="3" t="s">
        <v>107</v>
      </c>
      <c r="DF1" s="3" t="s">
        <v>108</v>
      </c>
      <c r="DG1" s="3" t="s">
        <v>109</v>
      </c>
      <c r="DH1" s="3" t="s">
        <v>110</v>
      </c>
      <c r="DI1" s="3" t="s">
        <v>111</v>
      </c>
      <c r="DJ1" s="3" t="s">
        <v>112</v>
      </c>
      <c r="DK1" s="3" t="s">
        <v>113</v>
      </c>
      <c r="DL1" s="3" t="s">
        <v>114</v>
      </c>
      <c r="DM1" s="3" t="s">
        <v>115</v>
      </c>
      <c r="DN1" s="3" t="s">
        <v>116</v>
      </c>
      <c r="DO1" s="3" t="s">
        <v>117</v>
      </c>
      <c r="DP1" s="3" t="s">
        <v>118</v>
      </c>
      <c r="DQ1" s="3" t="s">
        <v>119</v>
      </c>
      <c r="DR1" s="3" t="s">
        <v>120</v>
      </c>
      <c r="DS1" s="3" t="s">
        <v>121</v>
      </c>
      <c r="DT1" s="3" t="s">
        <v>122</v>
      </c>
      <c r="DU1" s="3" t="s">
        <v>123</v>
      </c>
      <c r="DV1" s="3" t="s">
        <v>124</v>
      </c>
      <c r="DW1" s="3" t="s">
        <v>125</v>
      </c>
      <c r="DX1" s="3" t="s">
        <v>126</v>
      </c>
      <c r="DY1" s="3" t="s">
        <v>127</v>
      </c>
      <c r="DZ1" s="3" t="s">
        <v>128</v>
      </c>
      <c r="EA1" s="3" t="s">
        <v>129</v>
      </c>
      <c r="EB1" s="3" t="s">
        <v>130</v>
      </c>
      <c r="EC1" s="3" t="s">
        <v>131</v>
      </c>
      <c r="ED1" s="3" t="s">
        <v>132</v>
      </c>
      <c r="EE1" s="3" t="s">
        <v>133</v>
      </c>
      <c r="EF1" s="3" t="s">
        <v>134</v>
      </c>
      <c r="EG1" s="3" t="s">
        <v>135</v>
      </c>
      <c r="EH1" s="3" t="s">
        <v>136</v>
      </c>
      <c r="EI1" s="3" t="s">
        <v>137</v>
      </c>
      <c r="EJ1" s="3" t="s">
        <v>138</v>
      </c>
      <c r="EK1" s="3" t="s">
        <v>139</v>
      </c>
      <c r="EL1" s="3" t="s">
        <v>140</v>
      </c>
      <c r="EM1" s="3" t="s">
        <v>141</v>
      </c>
      <c r="EN1" s="3" t="s">
        <v>142</v>
      </c>
      <c r="EO1" s="3" t="s">
        <v>143</v>
      </c>
      <c r="EP1" s="3" t="s">
        <v>144</v>
      </c>
      <c r="EQ1" s="3" t="s">
        <v>145</v>
      </c>
      <c r="ER1" s="3" t="s">
        <v>146</v>
      </c>
      <c r="ES1" s="3" t="s">
        <v>147</v>
      </c>
      <c r="ET1" s="3" t="s">
        <v>148</v>
      </c>
      <c r="EU1" s="3" t="s">
        <v>149</v>
      </c>
      <c r="EV1" s="3" t="s">
        <v>150</v>
      </c>
    </row>
    <row r="2" spans="1:152">
      <c r="A2" s="4" t="s">
        <v>151</v>
      </c>
      <c r="B2" s="4" t="s">
        <v>1058</v>
      </c>
      <c r="C2" s="5" t="s">
        <v>152</v>
      </c>
      <c r="D2" s="5" t="s">
        <v>153</v>
      </c>
      <c r="E2" s="5" t="s">
        <v>154</v>
      </c>
      <c r="F2" s="5" t="s">
        <v>0</v>
      </c>
      <c r="G2" s="5" t="s">
        <v>155</v>
      </c>
      <c r="H2" s="9">
        <v>23.49</v>
      </c>
      <c r="I2" s="6"/>
      <c r="J2" s="6"/>
      <c r="K2" s="6"/>
      <c r="L2" s="6"/>
      <c r="M2" s="7">
        <f>ROUND(494.72,2)</f>
        <v>494.72</v>
      </c>
      <c r="N2" s="6"/>
      <c r="O2" s="6"/>
      <c r="P2" s="7">
        <f>ROUND(110.17,2)</f>
        <v>110.17</v>
      </c>
      <c r="Q2" s="6"/>
      <c r="R2" s="6"/>
      <c r="S2" s="6"/>
      <c r="T2" s="7">
        <f>ROUND(0.18,2)</f>
        <v>0.18</v>
      </c>
      <c r="U2" s="7">
        <f>ROUND(65.83,2)</f>
        <v>65.83</v>
      </c>
      <c r="V2" s="7">
        <f>ROUND(22.9,2)</f>
        <v>22.9</v>
      </c>
      <c r="W2" s="7">
        <f>ROUND(5.65,2)</f>
        <v>5.65</v>
      </c>
      <c r="X2" s="7">
        <f>ROUND(0.99,2)</f>
        <v>0.99</v>
      </c>
      <c r="Y2" s="6"/>
      <c r="Z2" s="6"/>
      <c r="AA2" s="6"/>
      <c r="AB2" s="6"/>
      <c r="AC2" s="7">
        <f>ROUND(64.4,2)</f>
        <v>64.400000000000006</v>
      </c>
      <c r="AD2" s="7">
        <f>ROUND(1.05,2)</f>
        <v>1.05</v>
      </c>
      <c r="AE2" s="6"/>
      <c r="AF2" s="7">
        <f>ROUND(135.5,2)</f>
        <v>135.5</v>
      </c>
      <c r="AG2" s="7">
        <f>ROUND(37.65,2)</f>
        <v>37.65</v>
      </c>
      <c r="AH2" s="7">
        <f>ROUND(16,2)</f>
        <v>16</v>
      </c>
      <c r="AI2" s="6"/>
      <c r="AJ2" s="6"/>
      <c r="AK2" s="6"/>
      <c r="AL2" s="6"/>
      <c r="AM2" s="7">
        <f>ROUND(4.93,2)</f>
        <v>4.93</v>
      </c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7">
        <f>ROUND(8,2)</f>
        <v>8</v>
      </c>
      <c r="BC2" s="6"/>
      <c r="BD2" s="7">
        <f>ROUND(2.15,2)</f>
        <v>2.15</v>
      </c>
      <c r="BE2" s="7">
        <f>ROUND(5.67,2)</f>
        <v>5.67</v>
      </c>
      <c r="BF2" s="6"/>
      <c r="BG2" s="6"/>
      <c r="BH2" s="6"/>
      <c r="BI2" s="6"/>
      <c r="BJ2" s="7">
        <f>ROUND(72,2)</f>
        <v>72</v>
      </c>
      <c r="BK2" s="6"/>
      <c r="BL2" s="6"/>
      <c r="BM2" s="7">
        <f>ROUND(8,2)</f>
        <v>8</v>
      </c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7">
        <f>ROUND(1055.79,2)</f>
        <v>1055.79</v>
      </c>
      <c r="CC2" s="6"/>
      <c r="CD2" s="6"/>
      <c r="CE2" s="6"/>
      <c r="CF2" s="6"/>
      <c r="CG2" s="7">
        <f>ROUND(11565.7799999999,2)</f>
        <v>11565.78</v>
      </c>
      <c r="CH2" s="6"/>
      <c r="CI2" s="6"/>
      <c r="CJ2" s="7">
        <f>ROUND(3869,2)</f>
        <v>3869</v>
      </c>
      <c r="CK2" s="6"/>
      <c r="CL2" s="6"/>
      <c r="CM2" s="6"/>
      <c r="CN2" s="7">
        <f>ROUND(8.45,2)</f>
        <v>8.4499999999999993</v>
      </c>
      <c r="CO2" s="7">
        <f>ROUND(1540.55,2)</f>
        <v>1540.55</v>
      </c>
      <c r="CP2" s="7">
        <f>ROUND(803.48,2)</f>
        <v>803.48</v>
      </c>
      <c r="CQ2" s="7">
        <f>ROUND(132.269999999999,2)</f>
        <v>132.27000000000001</v>
      </c>
      <c r="CR2" s="7">
        <f>ROUND(34.8,2)</f>
        <v>34.799999999999997</v>
      </c>
      <c r="CS2" s="6"/>
      <c r="CT2" s="6"/>
      <c r="CU2" s="6"/>
      <c r="CV2" s="6"/>
      <c r="CW2" s="7">
        <f>ROUND(1505.18,2)</f>
        <v>1505.18</v>
      </c>
      <c r="CX2" s="7">
        <f>ROUND(36.75,2)</f>
        <v>36.75</v>
      </c>
      <c r="CY2" s="6"/>
      <c r="CZ2" s="6"/>
      <c r="DA2" s="7">
        <f>ROUND(3167.14,2)</f>
        <v>3167.14</v>
      </c>
      <c r="DB2" s="7">
        <f>ROUND(1319.02,2)</f>
        <v>1319.02</v>
      </c>
      <c r="DC2" s="7">
        <f>ROUND(373.36,2)</f>
        <v>373.36</v>
      </c>
      <c r="DD2" s="6"/>
      <c r="DE2" s="6"/>
      <c r="DF2" s="6"/>
      <c r="DG2" s="6"/>
      <c r="DH2" s="6"/>
      <c r="DI2" s="6"/>
      <c r="DJ2" s="7">
        <f>ROUND(115.04,2)</f>
        <v>115.04</v>
      </c>
      <c r="DK2" s="6"/>
      <c r="DL2" s="6"/>
      <c r="DM2" s="6"/>
      <c r="DN2" s="6"/>
      <c r="DO2" s="6"/>
      <c r="DP2" s="6"/>
      <c r="DQ2" s="6"/>
      <c r="DR2" s="7">
        <f>ROUND(500,2)</f>
        <v>500</v>
      </c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7">
        <f>ROUND(125,2)</f>
        <v>125</v>
      </c>
      <c r="EM2" s="6"/>
      <c r="EN2" s="6"/>
      <c r="EO2" s="6"/>
      <c r="EP2" s="6"/>
      <c r="EQ2" s="6"/>
      <c r="ER2" s="6"/>
      <c r="ES2" s="7">
        <f>ROUND(933.2,2)</f>
        <v>933.2</v>
      </c>
      <c r="ET2" s="6"/>
      <c r="EU2" s="6"/>
      <c r="EV2" s="7">
        <f>ROUND(26029.02,2)</f>
        <v>26029.02</v>
      </c>
    </row>
    <row r="3" spans="1:152">
      <c r="A3" s="4" t="s">
        <v>156</v>
      </c>
      <c r="B3" s="4" t="s">
        <v>1058</v>
      </c>
      <c r="C3" s="5" t="s">
        <v>152</v>
      </c>
      <c r="D3" s="5" t="s">
        <v>157</v>
      </c>
      <c r="E3" s="5" t="s">
        <v>0</v>
      </c>
      <c r="F3" s="5" t="s">
        <v>158</v>
      </c>
      <c r="G3" s="5" t="s">
        <v>155</v>
      </c>
      <c r="H3" s="10">
        <v>30.4</v>
      </c>
      <c r="I3" s="6"/>
      <c r="J3" s="6"/>
      <c r="K3" s="6"/>
      <c r="L3" s="6"/>
      <c r="M3" s="7">
        <f>ROUND(1921.67999999999,2)</f>
        <v>1921.68</v>
      </c>
      <c r="N3" s="6"/>
      <c r="O3" s="6"/>
      <c r="P3" s="7">
        <f>ROUND(714.399999999999,2)</f>
        <v>714.4</v>
      </c>
      <c r="Q3" s="6"/>
      <c r="R3" s="6"/>
      <c r="S3" s="6"/>
      <c r="T3" s="6"/>
      <c r="U3" s="6"/>
      <c r="V3" s="7">
        <f>ROUND(44.75,2)</f>
        <v>44.75</v>
      </c>
      <c r="W3" s="6"/>
      <c r="X3" s="6"/>
      <c r="Y3" s="6"/>
      <c r="Z3" s="6"/>
      <c r="AA3" s="6"/>
      <c r="AB3" s="6"/>
      <c r="AC3" s="6"/>
      <c r="AD3" s="6"/>
      <c r="AE3" s="6"/>
      <c r="AF3" s="6"/>
      <c r="AG3" s="7">
        <f>ROUND(31.58,2)</f>
        <v>31.58</v>
      </c>
      <c r="AH3" s="7">
        <f>ROUND(90,2)</f>
        <v>90</v>
      </c>
      <c r="AI3" s="6"/>
      <c r="AJ3" s="7">
        <f>ROUND(56,2)</f>
        <v>56</v>
      </c>
      <c r="AK3" s="6"/>
      <c r="AL3" s="7">
        <f>ROUND(12.32,2)</f>
        <v>12.32</v>
      </c>
      <c r="AM3" s="6"/>
      <c r="AN3" s="7">
        <f>ROUND(7.33,2)</f>
        <v>7.33</v>
      </c>
      <c r="AO3" s="6"/>
      <c r="AP3" s="6"/>
      <c r="AQ3" s="6"/>
      <c r="AR3" s="6"/>
      <c r="AS3" s="6"/>
      <c r="AT3" s="6"/>
      <c r="AU3" s="6"/>
      <c r="AV3" s="6"/>
      <c r="AW3" s="7">
        <f>ROUND(4.08,2)</f>
        <v>4.08</v>
      </c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7">
        <f>ROUND(144,2)</f>
        <v>144</v>
      </c>
      <c r="CB3" s="7">
        <f>ROUND(3026.13999999999,2)</f>
        <v>3026.14</v>
      </c>
      <c r="CC3" s="6"/>
      <c r="CD3" s="6"/>
      <c r="CE3" s="6"/>
      <c r="CF3" s="6"/>
      <c r="CG3" s="7">
        <f>ROUND(54027.84,2)</f>
        <v>54027.839999999997</v>
      </c>
      <c r="CH3" s="6"/>
      <c r="CI3" s="6"/>
      <c r="CJ3" s="7">
        <f>ROUND(30314.28,2)</f>
        <v>30314.28</v>
      </c>
      <c r="CK3" s="6"/>
      <c r="CL3" s="6"/>
      <c r="CM3" s="6"/>
      <c r="CN3" s="6"/>
      <c r="CO3" s="6"/>
      <c r="CP3" s="7">
        <f>ROUND(1898.54,2)</f>
        <v>1898.54</v>
      </c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7">
        <f>ROUND(1339.51,2)</f>
        <v>1339.51</v>
      </c>
      <c r="DC3" s="7">
        <f>ROUND(2695.16,2)</f>
        <v>2695.16</v>
      </c>
      <c r="DD3" s="6"/>
      <c r="DE3" s="7">
        <f>ROUND(1555.68,2)</f>
        <v>1555.68</v>
      </c>
      <c r="DF3" s="6"/>
      <c r="DG3" s="6"/>
      <c r="DH3" s="6"/>
      <c r="DI3" s="7">
        <f>ROUND(348.8,2)</f>
        <v>348.8</v>
      </c>
      <c r="DJ3" s="6"/>
      <c r="DK3" s="7">
        <f>ROUND(334.25,2)</f>
        <v>334.25</v>
      </c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7">
        <f>ROUND(186.97,2)</f>
        <v>186.97</v>
      </c>
      <c r="DY3" s="6"/>
      <c r="DZ3" s="6"/>
      <c r="EA3" s="6"/>
      <c r="EB3" s="6"/>
      <c r="EC3" s="6"/>
      <c r="ED3" s="6"/>
      <c r="EE3" s="7">
        <f>ROUND(2000,2)</f>
        <v>2000</v>
      </c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7">
        <f>ROUND(1250,2)</f>
        <v>1250</v>
      </c>
      <c r="ER3" s="6"/>
      <c r="ES3" s="6"/>
      <c r="ET3" s="6"/>
      <c r="EU3" s="7">
        <f>ROUND(4377.6,2)</f>
        <v>4377.6000000000004</v>
      </c>
      <c r="EV3" s="7">
        <f>ROUND(100328.63,2)</f>
        <v>100328.63</v>
      </c>
    </row>
    <row r="4" spans="1:152">
      <c r="A4" s="4" t="s">
        <v>159</v>
      </c>
      <c r="B4" s="4" t="s">
        <v>1058</v>
      </c>
      <c r="C4" s="5" t="s">
        <v>152</v>
      </c>
      <c r="D4" s="5" t="s">
        <v>160</v>
      </c>
      <c r="E4" s="5" t="s">
        <v>0</v>
      </c>
      <c r="F4" s="5" t="s">
        <v>0</v>
      </c>
      <c r="G4" s="5" t="s">
        <v>155</v>
      </c>
      <c r="H4" s="10">
        <v>25.84</v>
      </c>
      <c r="I4" s="6"/>
      <c r="J4" s="6"/>
      <c r="K4" s="6"/>
      <c r="L4" s="6"/>
      <c r="M4" s="7">
        <f>ROUND(184.79,2)</f>
        <v>184.79</v>
      </c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>
        <f>ROUND(10,2)</f>
        <v>10</v>
      </c>
      <c r="AI4" s="6"/>
      <c r="AJ4" s="6"/>
      <c r="AK4" s="6"/>
      <c r="AL4" s="7">
        <f>ROUND(250.909999999999,2)</f>
        <v>250.91</v>
      </c>
      <c r="AM4" s="6"/>
      <c r="AN4" s="7">
        <f>ROUND(4.7,2)</f>
        <v>4.7</v>
      </c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7">
        <f>ROUND(710,2)</f>
        <v>710</v>
      </c>
      <c r="BD4" s="6"/>
      <c r="BE4" s="7">
        <f>ROUND(5.08,2)</f>
        <v>5.08</v>
      </c>
      <c r="BF4" s="6"/>
      <c r="BG4" s="6"/>
      <c r="BH4" s="7">
        <f>ROUND(24,2)</f>
        <v>24</v>
      </c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7">
        <f>ROUND(24,2)</f>
        <v>24</v>
      </c>
      <c r="CB4" s="7">
        <f>ROUND(1213.48,2)</f>
        <v>1213.48</v>
      </c>
      <c r="CC4" s="6"/>
      <c r="CD4" s="6"/>
      <c r="CE4" s="6"/>
      <c r="CF4" s="6"/>
      <c r="CG4" s="7">
        <f>ROUND(3846.48,2)</f>
        <v>3846.48</v>
      </c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7">
        <f>ROUND(175,2)</f>
        <v>175</v>
      </c>
      <c r="DD4" s="6"/>
      <c r="DE4" s="6"/>
      <c r="DF4" s="6"/>
      <c r="DG4" s="6"/>
      <c r="DH4" s="6"/>
      <c r="DI4" s="7">
        <f>ROUND(4390.92999999999,2)</f>
        <v>4390.93</v>
      </c>
      <c r="DJ4" s="6"/>
      <c r="DK4" s="7">
        <f>ROUND(123.38,2)</f>
        <v>123.38</v>
      </c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7">
        <f>ROUND(620.16,2)</f>
        <v>620.16</v>
      </c>
      <c r="EV4" s="7">
        <f>ROUND(9155.94999999999,2)</f>
        <v>9155.9500000000007</v>
      </c>
    </row>
    <row r="5" spans="1:152">
      <c r="A5" s="4" t="s">
        <v>161</v>
      </c>
      <c r="B5" s="4" t="s">
        <v>1058</v>
      </c>
      <c r="C5" s="5" t="s">
        <v>152</v>
      </c>
      <c r="D5" s="5" t="s">
        <v>162</v>
      </c>
      <c r="E5" s="5" t="s">
        <v>0</v>
      </c>
      <c r="F5" s="5" t="s">
        <v>0</v>
      </c>
      <c r="G5" s="5" t="s">
        <v>155</v>
      </c>
      <c r="H5" s="10">
        <v>30.4</v>
      </c>
      <c r="I5" s="6"/>
      <c r="J5" s="6"/>
      <c r="K5" s="6"/>
      <c r="L5" s="6"/>
      <c r="M5" s="7">
        <f>ROUND(1705.66,2)</f>
        <v>1705.66</v>
      </c>
      <c r="N5" s="6"/>
      <c r="O5" s="6"/>
      <c r="P5" s="7">
        <f>ROUND(510.75,2)</f>
        <v>510.75</v>
      </c>
      <c r="Q5" s="6"/>
      <c r="R5" s="6"/>
      <c r="S5" s="6"/>
      <c r="T5" s="6"/>
      <c r="U5" s="6"/>
      <c r="V5" s="7">
        <f>ROUND(42.83,2)</f>
        <v>42.83</v>
      </c>
      <c r="W5" s="7">
        <f>ROUND(0.33,2)</f>
        <v>0.33</v>
      </c>
      <c r="X5" s="6"/>
      <c r="Y5" s="6"/>
      <c r="Z5" s="6"/>
      <c r="AA5" s="6"/>
      <c r="AB5" s="6"/>
      <c r="AC5" s="6"/>
      <c r="AD5" s="6"/>
      <c r="AE5" s="6"/>
      <c r="AF5" s="6"/>
      <c r="AG5" s="7">
        <f>ROUND(77.02,2)</f>
        <v>77.02</v>
      </c>
      <c r="AH5" s="7">
        <f>ROUND(92,2)</f>
        <v>92</v>
      </c>
      <c r="AI5" s="6"/>
      <c r="AJ5" s="7">
        <f>ROUND(264,2)</f>
        <v>264</v>
      </c>
      <c r="AK5" s="6"/>
      <c r="AL5" s="7">
        <f>ROUND(9.25,2)</f>
        <v>9.25</v>
      </c>
      <c r="AM5" s="7">
        <f>ROUND(1.92,2)</f>
        <v>1.92</v>
      </c>
      <c r="AN5" s="7">
        <f>ROUND(9.67,2)</f>
        <v>9.67</v>
      </c>
      <c r="AO5" s="6"/>
      <c r="AP5" s="6"/>
      <c r="AQ5" s="6"/>
      <c r="AR5" s="6"/>
      <c r="AS5" s="6"/>
      <c r="AT5" s="6"/>
      <c r="AU5" s="6"/>
      <c r="AV5" s="6"/>
      <c r="AW5" s="7">
        <f>ROUND(2,2)</f>
        <v>2</v>
      </c>
      <c r="AX5" s="6"/>
      <c r="AY5" s="6"/>
      <c r="AZ5" s="6"/>
      <c r="BA5" s="6"/>
      <c r="BB5" s="7">
        <f>ROUND(8,2)</f>
        <v>8</v>
      </c>
      <c r="BC5" s="7">
        <f>ROUND(6,2)</f>
        <v>6</v>
      </c>
      <c r="BD5" s="7">
        <f>ROUND(0.2,2)</f>
        <v>0.2</v>
      </c>
      <c r="BE5" s="6"/>
      <c r="BF5" s="6"/>
      <c r="BG5" s="6"/>
      <c r="BH5" s="6"/>
      <c r="BI5" s="6"/>
      <c r="BJ5" s="6"/>
      <c r="BK5" s="6"/>
      <c r="BL5" s="6"/>
      <c r="BM5" s="7">
        <f>ROUND(17.67,2)</f>
        <v>17.670000000000002</v>
      </c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7">
        <f>ROUND(8,2)</f>
        <v>8</v>
      </c>
      <c r="CB5" s="7">
        <f>ROUND(2755.3,2)</f>
        <v>2755.3</v>
      </c>
      <c r="CC5" s="6"/>
      <c r="CD5" s="6"/>
      <c r="CE5" s="6"/>
      <c r="CF5" s="6"/>
      <c r="CG5" s="7">
        <f>ROUND(47825.6199999999,2)</f>
        <v>47825.62</v>
      </c>
      <c r="CH5" s="6"/>
      <c r="CI5" s="6"/>
      <c r="CJ5" s="7">
        <f>ROUND(21489.97,2)</f>
        <v>21489.97</v>
      </c>
      <c r="CK5" s="6"/>
      <c r="CL5" s="6"/>
      <c r="CM5" s="6"/>
      <c r="CN5" s="6"/>
      <c r="CO5" s="6"/>
      <c r="CP5" s="7">
        <f>ROUND(1819.96999999999,2)</f>
        <v>1819.97</v>
      </c>
      <c r="CQ5" s="7">
        <f>ROUND(9.17,2)</f>
        <v>9.17</v>
      </c>
      <c r="CR5" s="6"/>
      <c r="CS5" s="6"/>
      <c r="CT5" s="6"/>
      <c r="CU5" s="6"/>
      <c r="CV5" s="6"/>
      <c r="CW5" s="6"/>
      <c r="CX5" s="6"/>
      <c r="CY5" s="6"/>
      <c r="CZ5" s="6"/>
      <c r="DA5" s="6"/>
      <c r="DB5" s="7">
        <f>ROUND(3241.46999999999,2)</f>
        <v>3241.47</v>
      </c>
      <c r="DC5" s="7">
        <f>ROUND(2597.68,2)</f>
        <v>2597.6799999999998</v>
      </c>
      <c r="DD5" s="6"/>
      <c r="DE5" s="7">
        <f>ROUND(7585.43999999999,2)</f>
        <v>7585.44</v>
      </c>
      <c r="DF5" s="6"/>
      <c r="DG5" s="6"/>
      <c r="DH5" s="6"/>
      <c r="DI5" s="7">
        <f>ROUND(258.93,2)</f>
        <v>258.93</v>
      </c>
      <c r="DJ5" s="7">
        <f>ROUND(53.34,2)</f>
        <v>53.34</v>
      </c>
      <c r="DK5" s="7">
        <f>ROUND(440.95,2)</f>
        <v>440.95</v>
      </c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7">
        <f>ROUND(91.65,2)</f>
        <v>91.65</v>
      </c>
      <c r="DY5" s="6"/>
      <c r="DZ5" s="6"/>
      <c r="EA5" s="6"/>
      <c r="EB5" s="6"/>
      <c r="EC5" s="6"/>
      <c r="ED5" s="6"/>
      <c r="EE5" s="7">
        <f>ROUND(1200,2)</f>
        <v>1200</v>
      </c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7">
        <f>ROUND(1250,2)</f>
        <v>1250</v>
      </c>
      <c r="ER5" s="6"/>
      <c r="ES5" s="6"/>
      <c r="ET5" s="6"/>
      <c r="EU5" s="7">
        <f>ROUND(243.2,2)</f>
        <v>243.2</v>
      </c>
      <c r="EV5" s="7">
        <f>ROUND(88107.39,2)</f>
        <v>88107.39</v>
      </c>
    </row>
    <row r="6" spans="1:152">
      <c r="A6" s="4" t="s">
        <v>163</v>
      </c>
      <c r="B6" s="4" t="s">
        <v>1058</v>
      </c>
      <c r="C6" s="5" t="s">
        <v>152</v>
      </c>
      <c r="D6" s="5" t="s">
        <v>164</v>
      </c>
      <c r="E6" s="5" t="s">
        <v>0</v>
      </c>
      <c r="F6" s="5" t="s">
        <v>0</v>
      </c>
      <c r="G6" s="5" t="s">
        <v>155</v>
      </c>
      <c r="H6" s="10">
        <v>25.84</v>
      </c>
      <c r="I6" s="6"/>
      <c r="J6" s="6"/>
      <c r="K6" s="6"/>
      <c r="L6" s="6"/>
      <c r="M6" s="7">
        <f>ROUND(400.99,2)</f>
        <v>400.99</v>
      </c>
      <c r="N6" s="6"/>
      <c r="O6" s="6"/>
      <c r="P6" s="7">
        <f>ROUND(37.22,2)</f>
        <v>37.22</v>
      </c>
      <c r="Q6" s="6"/>
      <c r="R6" s="6"/>
      <c r="S6" s="6"/>
      <c r="T6" s="6"/>
      <c r="U6" s="7">
        <f>ROUND(28.49,2)</f>
        <v>28.49</v>
      </c>
      <c r="V6" s="7">
        <f>ROUND(3.25,2)</f>
        <v>3.25</v>
      </c>
      <c r="W6" s="7">
        <f>ROUND(2.38,2)</f>
        <v>2.38</v>
      </c>
      <c r="X6" s="7">
        <f>ROUND(0.5,2)</f>
        <v>0.5</v>
      </c>
      <c r="Y6" s="6"/>
      <c r="Z6" s="6"/>
      <c r="AA6" s="6"/>
      <c r="AB6" s="6"/>
      <c r="AC6" s="7">
        <f>ROUND(26.5,2)</f>
        <v>26.5</v>
      </c>
      <c r="AD6" s="6"/>
      <c r="AE6" s="6"/>
      <c r="AF6" s="7">
        <f>ROUND(99.67,2)</f>
        <v>99.67</v>
      </c>
      <c r="AG6" s="7">
        <f>ROUND(24.9599999999999,2)</f>
        <v>24.96</v>
      </c>
      <c r="AH6" s="7">
        <f>ROUND(29,2)</f>
        <v>29</v>
      </c>
      <c r="AI6" s="6"/>
      <c r="AJ6" s="6"/>
      <c r="AK6" s="6"/>
      <c r="AL6" s="7">
        <f>ROUND(279.39,2)</f>
        <v>279.39</v>
      </c>
      <c r="AM6" s="7">
        <f>ROUND(1.67,2)</f>
        <v>1.67</v>
      </c>
      <c r="AN6" s="7">
        <f>ROUND(8.4,2)</f>
        <v>8.4</v>
      </c>
      <c r="AO6" s="6"/>
      <c r="AP6" s="7">
        <f>ROUND(29.25,2)</f>
        <v>29.25</v>
      </c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7">
        <f>ROUND(8.15,2)</f>
        <v>8.15</v>
      </c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7">
        <f>ROUND(24,2)</f>
        <v>24</v>
      </c>
      <c r="CB6" s="7">
        <f>ROUND(1003.82,2)</f>
        <v>1003.82</v>
      </c>
      <c r="CC6" s="6"/>
      <c r="CD6" s="6"/>
      <c r="CE6" s="6"/>
      <c r="CF6" s="6"/>
      <c r="CG6" s="7">
        <f>ROUND(8952.24999999999,2)</f>
        <v>8952.25</v>
      </c>
      <c r="CH6" s="6"/>
      <c r="CI6" s="6"/>
      <c r="CJ6" s="7">
        <f>ROUND(1356.87999999999,2)</f>
        <v>1356.88</v>
      </c>
      <c r="CK6" s="6"/>
      <c r="CL6" s="6"/>
      <c r="CM6" s="6"/>
      <c r="CN6" s="6"/>
      <c r="CO6" s="7">
        <f>ROUND(619.09,2)</f>
        <v>619.09</v>
      </c>
      <c r="CP6" s="7">
        <f>ROUND(101.57,2)</f>
        <v>101.57</v>
      </c>
      <c r="CQ6" s="7">
        <f>ROUND(56.32,2)</f>
        <v>56.32</v>
      </c>
      <c r="CR6" s="7">
        <f>ROUND(18.24,2)</f>
        <v>18.239999999999998</v>
      </c>
      <c r="CS6" s="6"/>
      <c r="CT6" s="6"/>
      <c r="CU6" s="6"/>
      <c r="CV6" s="6"/>
      <c r="CW6" s="7">
        <f>ROUND(644.86,2)</f>
        <v>644.86</v>
      </c>
      <c r="CX6" s="6"/>
      <c r="CY6" s="6"/>
      <c r="CZ6" s="6"/>
      <c r="DA6" s="7">
        <f>ROUND(2242.35,2)</f>
        <v>2242.35</v>
      </c>
      <c r="DB6" s="7">
        <f>ROUND(893.219999999999,2)</f>
        <v>893.22</v>
      </c>
      <c r="DC6" s="7">
        <f>ROUND(687.86,2)</f>
        <v>687.86</v>
      </c>
      <c r="DD6" s="6"/>
      <c r="DE6" s="6"/>
      <c r="DF6" s="6"/>
      <c r="DG6" s="6"/>
      <c r="DH6" s="6"/>
      <c r="DI6" s="7">
        <f>ROUND(4889.33999999999,2)</f>
        <v>4889.34</v>
      </c>
      <c r="DJ6" s="7">
        <f>ROUND(34.79,2)</f>
        <v>34.79</v>
      </c>
      <c r="DK6" s="7">
        <f>ROUND(220.51,2)</f>
        <v>220.51</v>
      </c>
      <c r="DL6" s="6"/>
      <c r="DM6" s="7">
        <f>ROUND(609.42,2)</f>
        <v>609.41999999999996</v>
      </c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7">
        <f>ROUND(75,2)</f>
        <v>75</v>
      </c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7">
        <f>ROUND(836.4,2)</f>
        <v>836.4</v>
      </c>
      <c r="ER6" s="6"/>
      <c r="ES6" s="6"/>
      <c r="ET6" s="6"/>
      <c r="EU6" s="7">
        <f>ROUND(583.68,2)</f>
        <v>583.67999999999995</v>
      </c>
      <c r="EV6" s="7">
        <f>ROUND(22821.78,2)</f>
        <v>22821.78</v>
      </c>
    </row>
    <row r="7" spans="1:152">
      <c r="A7" s="4" t="s">
        <v>165</v>
      </c>
      <c r="B7" s="4" t="s">
        <v>1058</v>
      </c>
      <c r="C7" s="5" t="s">
        <v>152</v>
      </c>
      <c r="D7" s="5" t="s">
        <v>166</v>
      </c>
      <c r="E7" s="5" t="s">
        <v>0</v>
      </c>
      <c r="F7" s="5" t="s">
        <v>0</v>
      </c>
      <c r="G7" s="5" t="s">
        <v>155</v>
      </c>
      <c r="H7" s="10">
        <v>30.4</v>
      </c>
      <c r="I7" s="6"/>
      <c r="J7" s="6"/>
      <c r="K7" s="6"/>
      <c r="L7" s="6"/>
      <c r="M7" s="7">
        <f>ROUND(433.97,2)</f>
        <v>433.97</v>
      </c>
      <c r="N7" s="6"/>
      <c r="O7" s="6"/>
      <c r="P7" s="7">
        <f>ROUND(114.08,2)</f>
        <v>114.08</v>
      </c>
      <c r="Q7" s="6"/>
      <c r="R7" s="6"/>
      <c r="S7" s="6"/>
      <c r="T7" s="6"/>
      <c r="U7" s="7">
        <f>ROUND(17.15,2)</f>
        <v>17.149999999999999</v>
      </c>
      <c r="V7" s="6"/>
      <c r="W7" s="7">
        <f>ROUND(0.92,2)</f>
        <v>0.92</v>
      </c>
      <c r="X7" s="6"/>
      <c r="Y7" s="6"/>
      <c r="Z7" s="6"/>
      <c r="AA7" s="6"/>
      <c r="AB7" s="6"/>
      <c r="AC7" s="7">
        <f>ROUND(24,2)</f>
        <v>24</v>
      </c>
      <c r="AD7" s="6"/>
      <c r="AE7" s="6"/>
      <c r="AF7" s="7">
        <f>ROUND(30.9099999999999,2)</f>
        <v>30.91</v>
      </c>
      <c r="AG7" s="7">
        <f>ROUND(12.66,2)</f>
        <v>12.66</v>
      </c>
      <c r="AH7" s="7">
        <f>ROUND(56,2)</f>
        <v>56</v>
      </c>
      <c r="AI7" s="6"/>
      <c r="AJ7" s="7">
        <f>ROUND(80,2)</f>
        <v>80</v>
      </c>
      <c r="AK7" s="6"/>
      <c r="AL7" s="7">
        <f>ROUND(2.15,2)</f>
        <v>2.15</v>
      </c>
      <c r="AM7" s="7">
        <f>ROUND(3.58,2)</f>
        <v>3.58</v>
      </c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7">
        <f>ROUND(88,2)</f>
        <v>88</v>
      </c>
      <c r="BD7" s="6"/>
      <c r="BE7" s="6"/>
      <c r="BF7" s="6"/>
      <c r="BG7" s="6"/>
      <c r="BH7" s="7">
        <f>ROUND(32,2)</f>
        <v>32</v>
      </c>
      <c r="BI7" s="6"/>
      <c r="BJ7" s="6"/>
      <c r="BK7" s="6"/>
      <c r="BL7" s="6"/>
      <c r="BM7" s="7">
        <f>ROUND(8,2)</f>
        <v>8</v>
      </c>
      <c r="BN7" s="6"/>
      <c r="BO7" s="6"/>
      <c r="BP7" s="7">
        <f>ROUND(1344,2)</f>
        <v>1344</v>
      </c>
      <c r="BQ7" s="6"/>
      <c r="BR7" s="6"/>
      <c r="BS7" s="6"/>
      <c r="BT7" s="6"/>
      <c r="BU7" s="6"/>
      <c r="BV7" s="6"/>
      <c r="BW7" s="6"/>
      <c r="BX7" s="6"/>
      <c r="BY7" s="6"/>
      <c r="BZ7" s="6"/>
      <c r="CA7" s="7">
        <f>ROUND(40,2)</f>
        <v>40</v>
      </c>
      <c r="CB7" s="7">
        <f>ROUND(2287.41999999999,2)</f>
        <v>2287.42</v>
      </c>
      <c r="CC7" s="6"/>
      <c r="CD7" s="6"/>
      <c r="CE7" s="6"/>
      <c r="CF7" s="6"/>
      <c r="CG7" s="7">
        <f>ROUND(12610.27,2)</f>
        <v>12610.27</v>
      </c>
      <c r="CH7" s="6"/>
      <c r="CI7" s="6"/>
      <c r="CJ7" s="7">
        <f>ROUND(4891.58999999999,2)</f>
        <v>4891.59</v>
      </c>
      <c r="CK7" s="6"/>
      <c r="CL7" s="6"/>
      <c r="CM7" s="6"/>
      <c r="CN7" s="6"/>
      <c r="CO7" s="7">
        <f>ROUND(478.189999999999,2)</f>
        <v>478.19</v>
      </c>
      <c r="CP7" s="6"/>
      <c r="CQ7" s="7">
        <f>ROUND(25.56,2)</f>
        <v>25.56</v>
      </c>
      <c r="CR7" s="6"/>
      <c r="CS7" s="6"/>
      <c r="CT7" s="6"/>
      <c r="CU7" s="6"/>
      <c r="CV7" s="6"/>
      <c r="CW7" s="7">
        <f>ROUND(729.6,2)</f>
        <v>729.6</v>
      </c>
      <c r="CX7" s="6"/>
      <c r="CY7" s="6"/>
      <c r="CZ7" s="6"/>
      <c r="DA7" s="7">
        <f>ROUND(863.31,2)</f>
        <v>863.31</v>
      </c>
      <c r="DB7" s="7">
        <f>ROUND(530.39,2)</f>
        <v>530.39</v>
      </c>
      <c r="DC7" s="7">
        <f>ROUND(1639.52,2)</f>
        <v>1639.52</v>
      </c>
      <c r="DD7" s="6"/>
      <c r="DE7" s="7">
        <f>ROUND(2222.4,2)</f>
        <v>2222.4</v>
      </c>
      <c r="DF7" s="6"/>
      <c r="DG7" s="6"/>
      <c r="DH7" s="6"/>
      <c r="DI7" s="7">
        <f>ROUND(59.73,2)</f>
        <v>59.73</v>
      </c>
      <c r="DJ7" s="7">
        <f>ROUND(108.83,2)</f>
        <v>108.83</v>
      </c>
      <c r="DK7" s="6"/>
      <c r="DL7" s="6"/>
      <c r="DM7" s="6"/>
      <c r="DN7" s="6"/>
      <c r="DO7" s="6"/>
      <c r="DP7" s="6"/>
      <c r="DQ7" s="6"/>
      <c r="DR7" s="7">
        <f>ROUND(500,2)</f>
        <v>500</v>
      </c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7">
        <f>ROUND(125,2)</f>
        <v>125</v>
      </c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7">
        <f>ROUND(226.32,2)</f>
        <v>226.32</v>
      </c>
      <c r="ER7" s="6"/>
      <c r="ES7" s="6"/>
      <c r="ET7" s="6"/>
      <c r="EU7" s="7">
        <f>ROUND(1216,2)</f>
        <v>1216</v>
      </c>
      <c r="EV7" s="7">
        <f>ROUND(26226.71,2)</f>
        <v>26226.71</v>
      </c>
    </row>
    <row r="8" spans="1:152">
      <c r="A8" s="4" t="s">
        <v>167</v>
      </c>
      <c r="B8" s="4" t="s">
        <v>1058</v>
      </c>
      <c r="C8" s="5" t="s">
        <v>152</v>
      </c>
      <c r="D8" s="5" t="s">
        <v>168</v>
      </c>
      <c r="E8" s="5" t="s">
        <v>0</v>
      </c>
      <c r="F8" s="5" t="s">
        <v>0</v>
      </c>
      <c r="G8" s="5" t="s">
        <v>155</v>
      </c>
      <c r="H8" s="10">
        <v>27.36</v>
      </c>
      <c r="I8" s="6"/>
      <c r="J8" s="6"/>
      <c r="K8" s="6"/>
      <c r="L8" s="6"/>
      <c r="M8" s="7">
        <f>ROUND(1227.18,2)</f>
        <v>1227.18</v>
      </c>
      <c r="N8" s="6"/>
      <c r="O8" s="6"/>
      <c r="P8" s="7">
        <f>ROUND(142.13,2)</f>
        <v>142.13</v>
      </c>
      <c r="Q8" s="6"/>
      <c r="R8" s="6"/>
      <c r="S8" s="6"/>
      <c r="T8" s="6"/>
      <c r="U8" s="7">
        <f>ROUND(29.47,2)</f>
        <v>29.47</v>
      </c>
      <c r="V8" s="7">
        <f>ROUND(25.09,2)</f>
        <v>25.09</v>
      </c>
      <c r="W8" s="7">
        <f>ROUND(2.19,2)</f>
        <v>2.19</v>
      </c>
      <c r="X8" s="7">
        <f>ROUND(2.16,2)</f>
        <v>2.16</v>
      </c>
      <c r="Y8" s="6"/>
      <c r="Z8" s="6"/>
      <c r="AA8" s="6"/>
      <c r="AB8" s="6"/>
      <c r="AC8" s="7">
        <f>ROUND(159.679999999999,2)</f>
        <v>159.68</v>
      </c>
      <c r="AD8" s="7">
        <f>ROUND(22.92,2)</f>
        <v>22.92</v>
      </c>
      <c r="AE8" s="6"/>
      <c r="AF8" s="7">
        <f>ROUND(331.549999999999,2)</f>
        <v>331.55</v>
      </c>
      <c r="AG8" s="7">
        <f>ROUND(57.33,2)</f>
        <v>57.33</v>
      </c>
      <c r="AH8" s="7">
        <f>ROUND(52,2)</f>
        <v>52</v>
      </c>
      <c r="AI8" s="6"/>
      <c r="AJ8" s="6"/>
      <c r="AK8" s="6"/>
      <c r="AL8" s="7">
        <f>ROUND(8,2)</f>
        <v>8</v>
      </c>
      <c r="AM8" s="7">
        <f>ROUND(2.35,2)</f>
        <v>2.35</v>
      </c>
      <c r="AN8" s="6"/>
      <c r="AO8" s="6"/>
      <c r="AP8" s="6"/>
      <c r="AQ8" s="6"/>
      <c r="AR8" s="7">
        <f>ROUND(2,2)</f>
        <v>2</v>
      </c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7">
        <f>ROUND(0.68,2)</f>
        <v>0.68</v>
      </c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7">
        <f>ROUND(2064.73,2)</f>
        <v>2064.73</v>
      </c>
      <c r="CC8" s="6"/>
      <c r="CD8" s="6"/>
      <c r="CE8" s="6"/>
      <c r="CF8" s="6"/>
      <c r="CG8" s="7">
        <f>ROUND(26418.0599999999,2)</f>
        <v>26418.06</v>
      </c>
      <c r="CH8" s="6"/>
      <c r="CI8" s="6"/>
      <c r="CJ8" s="7">
        <f>ROUND(4949.92,2)</f>
        <v>4949.92</v>
      </c>
      <c r="CK8" s="6"/>
      <c r="CL8" s="6"/>
      <c r="CM8" s="6"/>
      <c r="CN8" s="6"/>
      <c r="CO8" s="7">
        <f>ROUND(695.66,2)</f>
        <v>695.66</v>
      </c>
      <c r="CP8" s="7">
        <f>ROUND(855.94,2)</f>
        <v>855.94</v>
      </c>
      <c r="CQ8" s="7">
        <f>ROUND(50.0699999999999,2)</f>
        <v>50.07</v>
      </c>
      <c r="CR8" s="7">
        <f>ROUND(74.84,2)</f>
        <v>74.84</v>
      </c>
      <c r="CS8" s="6"/>
      <c r="CT8" s="6"/>
      <c r="CU8" s="6"/>
      <c r="CV8" s="6"/>
      <c r="CW8" s="7">
        <f>ROUND(3537.56,2)</f>
        <v>3537.56</v>
      </c>
      <c r="CX8" s="7">
        <f>ROUND(842.14,2)</f>
        <v>842.14</v>
      </c>
      <c r="CY8" s="6"/>
      <c r="CZ8" s="6"/>
      <c r="DA8" s="7">
        <f>ROUND(7418.91,2)</f>
        <v>7418.91</v>
      </c>
      <c r="DB8" s="7">
        <f>ROUND(1964.11999999999,2)</f>
        <v>1964.12</v>
      </c>
      <c r="DC8" s="7">
        <f>ROUND(1240.04,2)</f>
        <v>1240.04</v>
      </c>
      <c r="DD8" s="6"/>
      <c r="DE8" s="6"/>
      <c r="DF8" s="6"/>
      <c r="DG8" s="6"/>
      <c r="DH8" s="6"/>
      <c r="DI8" s="7">
        <f>ROUND(166.68,2)</f>
        <v>166.68</v>
      </c>
      <c r="DJ8" s="7">
        <f>ROUND(64.65,2)</f>
        <v>64.650000000000006</v>
      </c>
      <c r="DK8" s="6"/>
      <c r="DL8" s="6"/>
      <c r="DM8" s="6"/>
      <c r="DN8" s="6"/>
      <c r="DO8" s="6"/>
      <c r="DP8" s="7">
        <f>ROUND(41.67,2)</f>
        <v>41.67</v>
      </c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7">
        <f>ROUND(1850,2)</f>
        <v>1850</v>
      </c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7">
        <f>ROUND(2250,2)</f>
        <v>2250</v>
      </c>
      <c r="ER8" s="6"/>
      <c r="ES8" s="6"/>
      <c r="ET8" s="6"/>
      <c r="EU8" s="6"/>
      <c r="EV8" s="7">
        <f>ROUND(52420.2599999999,2)</f>
        <v>52420.26</v>
      </c>
    </row>
    <row r="9" spans="1:152">
      <c r="A9" s="4" t="s">
        <v>169</v>
      </c>
      <c r="B9" s="4" t="s">
        <v>1058</v>
      </c>
      <c r="C9" s="5" t="s">
        <v>152</v>
      </c>
      <c r="D9" s="5" t="s">
        <v>153</v>
      </c>
      <c r="E9" s="5" t="s">
        <v>0</v>
      </c>
      <c r="F9" s="5" t="s">
        <v>0</v>
      </c>
      <c r="G9" s="5" t="s">
        <v>155</v>
      </c>
      <c r="H9" s="10">
        <v>30.4</v>
      </c>
      <c r="I9" s="6"/>
      <c r="J9" s="6"/>
      <c r="K9" s="6"/>
      <c r="L9" s="6"/>
      <c r="M9" s="7">
        <f>ROUND(1370.55,2)</f>
        <v>1370.55</v>
      </c>
      <c r="N9" s="6"/>
      <c r="O9" s="6"/>
      <c r="P9" s="6"/>
      <c r="Q9" s="6"/>
      <c r="R9" s="6"/>
      <c r="S9" s="6"/>
      <c r="T9" s="6"/>
      <c r="U9" s="7">
        <f>ROUND(12.52,2)</f>
        <v>12.52</v>
      </c>
      <c r="V9" s="6"/>
      <c r="W9" s="6"/>
      <c r="X9" s="6"/>
      <c r="Y9" s="6"/>
      <c r="Z9" s="6"/>
      <c r="AA9" s="6"/>
      <c r="AB9" s="6"/>
      <c r="AC9" s="6"/>
      <c r="AD9" s="6"/>
      <c r="AE9" s="6"/>
      <c r="AF9" s="7">
        <f>ROUND(10.42,2)</f>
        <v>10.42</v>
      </c>
      <c r="AG9" s="6"/>
      <c r="AH9" s="7">
        <f>ROUND(40,2)</f>
        <v>40</v>
      </c>
      <c r="AI9" s="6"/>
      <c r="AJ9" s="7">
        <f>ROUND(50,2)</f>
        <v>50</v>
      </c>
      <c r="AK9" s="6"/>
      <c r="AL9" s="7">
        <f>ROUND(8,2)</f>
        <v>8</v>
      </c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7">
        <f>ROUND(15,2)</f>
        <v>15</v>
      </c>
      <c r="BC9" s="7">
        <f>ROUND(5,2)</f>
        <v>5</v>
      </c>
      <c r="BD9" s="6"/>
      <c r="BE9" s="7">
        <f>ROUND(9.27,2)</f>
        <v>9.27</v>
      </c>
      <c r="BF9" s="6"/>
      <c r="BG9" s="6"/>
      <c r="BH9" s="7">
        <f>ROUND(5,2)</f>
        <v>5</v>
      </c>
      <c r="BI9" s="6"/>
      <c r="BJ9" s="6"/>
      <c r="BK9" s="6"/>
      <c r="BL9" s="6"/>
      <c r="BM9" s="7">
        <f>ROUND(25,2)</f>
        <v>25</v>
      </c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7">
        <f>ROUND(1550.76,2)</f>
        <v>1550.76</v>
      </c>
      <c r="CC9" s="6"/>
      <c r="CD9" s="6"/>
      <c r="CE9" s="6"/>
      <c r="CF9" s="6"/>
      <c r="CG9" s="7">
        <f>ROUND(33324.8799999999,2)</f>
        <v>33324.879999999997</v>
      </c>
      <c r="CH9" s="6"/>
      <c r="CI9" s="6"/>
      <c r="CJ9" s="6"/>
      <c r="CK9" s="6"/>
      <c r="CL9" s="6"/>
      <c r="CM9" s="6"/>
      <c r="CN9" s="6"/>
      <c r="CO9" s="7">
        <f>ROUND(292.15,2)</f>
        <v>292.14999999999998</v>
      </c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7">
        <f>ROUND(316.77,2)</f>
        <v>316.77</v>
      </c>
      <c r="DB9" s="6"/>
      <c r="DC9" s="7">
        <f>ROUND(1039.4,2)</f>
        <v>1039.4000000000001</v>
      </c>
      <c r="DD9" s="6"/>
      <c r="DE9" s="7">
        <f>ROUND(1166.78,2)</f>
        <v>1166.78</v>
      </c>
      <c r="DF9" s="6"/>
      <c r="DG9" s="6"/>
      <c r="DH9" s="6"/>
      <c r="DI9" s="7">
        <f>ROUND(186.68,2)</f>
        <v>186.68</v>
      </c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7">
        <f>ROUND(375,2)</f>
        <v>375</v>
      </c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7">
        <f>ROUND(625,2)</f>
        <v>625</v>
      </c>
      <c r="ER9" s="6"/>
      <c r="ES9" s="6"/>
      <c r="ET9" s="6"/>
      <c r="EU9" s="6"/>
      <c r="EV9" s="7">
        <f>ROUND(37326.66,2)</f>
        <v>37326.660000000003</v>
      </c>
    </row>
    <row r="10" spans="1:152">
      <c r="A10" s="4" t="s">
        <v>170</v>
      </c>
      <c r="B10" s="4" t="s">
        <v>1058</v>
      </c>
      <c r="C10" s="5" t="s">
        <v>152</v>
      </c>
      <c r="D10" s="5" t="s">
        <v>171</v>
      </c>
      <c r="E10" s="5" t="s">
        <v>0</v>
      </c>
      <c r="F10" s="5" t="s">
        <v>0</v>
      </c>
      <c r="G10" s="5" t="s">
        <v>155</v>
      </c>
      <c r="H10" s="10">
        <v>27.36</v>
      </c>
      <c r="I10" s="6"/>
      <c r="J10" s="6"/>
      <c r="K10" s="6"/>
      <c r="L10" s="6"/>
      <c r="M10" s="7">
        <f>ROUND(1408.38,2)</f>
        <v>1408.38</v>
      </c>
      <c r="N10" s="6"/>
      <c r="O10" s="6"/>
      <c r="P10" s="6"/>
      <c r="Q10" s="6"/>
      <c r="R10" s="6"/>
      <c r="S10" s="6"/>
      <c r="T10" s="6"/>
      <c r="U10" s="7">
        <f>ROUND(5.07,2)</f>
        <v>5.07</v>
      </c>
      <c r="V10" s="6"/>
      <c r="W10" s="7">
        <f>ROUND(1.78,2)</f>
        <v>1.78</v>
      </c>
      <c r="X10" s="6"/>
      <c r="Y10" s="6"/>
      <c r="Z10" s="6"/>
      <c r="AA10" s="6"/>
      <c r="AB10" s="6"/>
      <c r="AC10" s="7">
        <f>ROUND(72,2)</f>
        <v>72</v>
      </c>
      <c r="AD10" s="6"/>
      <c r="AE10" s="6"/>
      <c r="AF10" s="7">
        <f>ROUND(37.78,2)</f>
        <v>37.78</v>
      </c>
      <c r="AG10" s="7">
        <f>ROUND(3.85,2)</f>
        <v>3.85</v>
      </c>
      <c r="AH10" s="7">
        <f>ROUND(35,2)</f>
        <v>35</v>
      </c>
      <c r="AI10" s="6"/>
      <c r="AJ10" s="7">
        <f>ROUND(20,2)</f>
        <v>20</v>
      </c>
      <c r="AK10" s="6"/>
      <c r="AL10" s="7">
        <f>ROUND(8,2)</f>
        <v>8</v>
      </c>
      <c r="AM10" s="7">
        <f>ROUND(2,2)</f>
        <v>2</v>
      </c>
      <c r="AN10" s="6"/>
      <c r="AO10" s="6"/>
      <c r="AP10" s="6"/>
      <c r="AQ10" s="6"/>
      <c r="AR10" s="7">
        <f>ROUND(2,2)</f>
        <v>2</v>
      </c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7">
        <f>ROUND(0.77,2)</f>
        <v>0.77</v>
      </c>
      <c r="BE10" s="6"/>
      <c r="BF10" s="6"/>
      <c r="BG10" s="6"/>
      <c r="BH10" s="7">
        <f>ROUND(5,2)</f>
        <v>5</v>
      </c>
      <c r="BI10" s="6"/>
      <c r="BJ10" s="6"/>
      <c r="BK10" s="6"/>
      <c r="BL10" s="6"/>
      <c r="BM10" s="7">
        <f>ROUND(5,2)</f>
        <v>5</v>
      </c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7">
        <f>ROUND(5,2)</f>
        <v>5</v>
      </c>
      <c r="CB10" s="7">
        <f>ROUND(1611.63,2)</f>
        <v>1611.63</v>
      </c>
      <c r="CC10" s="6"/>
      <c r="CD10" s="6"/>
      <c r="CE10" s="6"/>
      <c r="CF10" s="6"/>
      <c r="CG10" s="7">
        <f>ROUND(30657.8299999999,2)</f>
        <v>30657.83</v>
      </c>
      <c r="CH10" s="6"/>
      <c r="CI10" s="6"/>
      <c r="CJ10" s="6"/>
      <c r="CK10" s="6"/>
      <c r="CL10" s="6"/>
      <c r="CM10" s="6"/>
      <c r="CN10" s="6"/>
      <c r="CO10" s="7">
        <f>ROUND(105.63,2)</f>
        <v>105.63</v>
      </c>
      <c r="CP10" s="6"/>
      <c r="CQ10" s="7">
        <f>ROUND(37.09,2)</f>
        <v>37.090000000000003</v>
      </c>
      <c r="CR10" s="6"/>
      <c r="CS10" s="6"/>
      <c r="CT10" s="6"/>
      <c r="CU10" s="6"/>
      <c r="CV10" s="6"/>
      <c r="CW10" s="7">
        <f>ROUND(1500.12,2)</f>
        <v>1500.12</v>
      </c>
      <c r="CX10" s="6"/>
      <c r="CY10" s="6"/>
      <c r="CZ10" s="6"/>
      <c r="DA10" s="7">
        <f>ROUND(858.93,2)</f>
        <v>858.93</v>
      </c>
      <c r="DB10" s="7">
        <f>ROUND(120.32,2)</f>
        <v>120.32</v>
      </c>
      <c r="DC10" s="7">
        <f>ROUND(827.12,2)</f>
        <v>827.12</v>
      </c>
      <c r="DD10" s="6"/>
      <c r="DE10" s="7">
        <f>ROUND(416.7,2)</f>
        <v>416.7</v>
      </c>
      <c r="DF10" s="6"/>
      <c r="DG10" s="6"/>
      <c r="DH10" s="6"/>
      <c r="DI10" s="7">
        <f>ROUND(166.68,2)</f>
        <v>166.68</v>
      </c>
      <c r="DJ10" s="7">
        <f>ROUND(41.67,2)</f>
        <v>41.67</v>
      </c>
      <c r="DK10" s="6"/>
      <c r="DL10" s="6"/>
      <c r="DM10" s="6"/>
      <c r="DN10" s="6"/>
      <c r="DO10" s="6"/>
      <c r="DP10" s="7">
        <f>ROUND(41.67,2)</f>
        <v>41.67</v>
      </c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7">
        <f>ROUND(1800,2)</f>
        <v>1800</v>
      </c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7">
        <f>ROUND(1500,2)</f>
        <v>1500</v>
      </c>
      <c r="ER10" s="6"/>
      <c r="ES10" s="6"/>
      <c r="ET10" s="6"/>
      <c r="EU10" s="7">
        <f>ROUND(136.8,2)</f>
        <v>136.80000000000001</v>
      </c>
      <c r="EV10" s="7">
        <f>ROUND(38210.5599999999,2)</f>
        <v>38210.559999999998</v>
      </c>
    </row>
    <row r="11" spans="1:152">
      <c r="A11" s="4" t="s">
        <v>172</v>
      </c>
      <c r="B11" s="4" t="s">
        <v>1058</v>
      </c>
      <c r="C11" s="5" t="s">
        <v>152</v>
      </c>
      <c r="D11" s="5" t="s">
        <v>173</v>
      </c>
      <c r="E11" s="5" t="s">
        <v>174</v>
      </c>
      <c r="F11" s="5" t="s">
        <v>0</v>
      </c>
      <c r="G11" s="5" t="s">
        <v>155</v>
      </c>
      <c r="H11" s="10">
        <v>17.5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7">
        <f>ROUND(8,2)</f>
        <v>8</v>
      </c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7">
        <f>ROUND(8,2)</f>
        <v>8</v>
      </c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7">
        <f>ROUND(140,2)</f>
        <v>140</v>
      </c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7">
        <f>ROUND(140,2)</f>
        <v>140</v>
      </c>
    </row>
    <row r="12" spans="1:152">
      <c r="A12" s="4" t="s">
        <v>175</v>
      </c>
      <c r="B12" s="4" t="s">
        <v>1058</v>
      </c>
      <c r="C12" s="5" t="s">
        <v>152</v>
      </c>
      <c r="D12" s="5" t="s">
        <v>176</v>
      </c>
      <c r="E12" s="5" t="s">
        <v>0</v>
      </c>
      <c r="F12" s="5" t="s">
        <v>0</v>
      </c>
      <c r="G12" s="5" t="s">
        <v>155</v>
      </c>
      <c r="H12" s="10">
        <v>30.4</v>
      </c>
      <c r="I12" s="6"/>
      <c r="J12" s="6"/>
      <c r="K12" s="6"/>
      <c r="L12" s="6"/>
      <c r="M12" s="7">
        <f>ROUND(1770.2,2)</f>
        <v>1770.2</v>
      </c>
      <c r="N12" s="6"/>
      <c r="O12" s="6"/>
      <c r="P12" s="7">
        <f>ROUND(507.96,2)</f>
        <v>507.96</v>
      </c>
      <c r="Q12" s="6"/>
      <c r="R12" s="6"/>
      <c r="S12" s="6"/>
      <c r="T12" s="6"/>
      <c r="U12" s="6"/>
      <c r="V12" s="7">
        <f>ROUND(74.82,2)</f>
        <v>74.819999999999993</v>
      </c>
      <c r="W12" s="6"/>
      <c r="X12" s="6"/>
      <c r="Y12" s="6"/>
      <c r="Z12" s="6"/>
      <c r="AA12" s="6"/>
      <c r="AB12" s="6"/>
      <c r="AC12" s="6"/>
      <c r="AD12" s="6"/>
      <c r="AE12" s="6"/>
      <c r="AF12" s="6"/>
      <c r="AG12" s="7">
        <f>ROUND(61.37,2)</f>
        <v>61.37</v>
      </c>
      <c r="AH12" s="7">
        <f>ROUND(88,2)</f>
        <v>88</v>
      </c>
      <c r="AI12" s="6"/>
      <c r="AJ12" s="7">
        <f>ROUND(200,2)</f>
        <v>200</v>
      </c>
      <c r="AK12" s="6"/>
      <c r="AL12" s="7">
        <f>ROUND(9.5,2)</f>
        <v>9.5</v>
      </c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7">
        <f>ROUND(16,2)</f>
        <v>16</v>
      </c>
      <c r="BC12" s="6"/>
      <c r="BD12" s="6"/>
      <c r="BE12" s="7">
        <f>ROUND(2.33,2)</f>
        <v>2.33</v>
      </c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7">
        <f>ROUND(2730.18,2)</f>
        <v>2730.18</v>
      </c>
      <c r="CC12" s="6"/>
      <c r="CD12" s="6"/>
      <c r="CE12" s="6"/>
      <c r="CF12" s="6"/>
      <c r="CG12" s="7">
        <f>ROUND(50025.9599999999,2)</f>
        <v>50025.96</v>
      </c>
      <c r="CH12" s="6"/>
      <c r="CI12" s="6"/>
      <c r="CJ12" s="7">
        <f>ROUND(21071.6499999999,2)</f>
        <v>21071.65</v>
      </c>
      <c r="CK12" s="6"/>
      <c r="CL12" s="6"/>
      <c r="CM12" s="6"/>
      <c r="CN12" s="6"/>
      <c r="CO12" s="6"/>
      <c r="CP12" s="7">
        <f>ROUND(3198.31,2)</f>
        <v>3198.31</v>
      </c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7">
        <f>ROUND(2609.33,2)</f>
        <v>2609.33</v>
      </c>
      <c r="DC12" s="7">
        <f>ROUND(2486.56,2)</f>
        <v>2486.56</v>
      </c>
      <c r="DD12" s="6"/>
      <c r="DE12" s="7">
        <f>ROUND(5639.83999999999,2)</f>
        <v>5639.84</v>
      </c>
      <c r="DF12" s="6"/>
      <c r="DG12" s="6"/>
      <c r="DH12" s="6"/>
      <c r="DI12" s="7">
        <f>ROUND(263.91,2)</f>
        <v>263.91000000000003</v>
      </c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7">
        <f>ROUND(1325,2)</f>
        <v>1325</v>
      </c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7">
        <f>ROUND(1250,2)</f>
        <v>1250</v>
      </c>
      <c r="ER12" s="6"/>
      <c r="ES12" s="6"/>
      <c r="ET12" s="6"/>
      <c r="EU12" s="6"/>
      <c r="EV12" s="7">
        <f>ROUND(87870.5599999999,2)</f>
        <v>87870.56</v>
      </c>
    </row>
    <row r="13" spans="1:152" ht="24">
      <c r="A13" s="4" t="s">
        <v>177</v>
      </c>
      <c r="B13" s="4"/>
      <c r="C13" s="5" t="s">
        <v>178</v>
      </c>
      <c r="D13" s="5" t="s">
        <v>179</v>
      </c>
      <c r="E13" s="5" t="s">
        <v>0</v>
      </c>
      <c r="F13" s="5" t="s">
        <v>0</v>
      </c>
      <c r="G13" s="5" t="s">
        <v>180</v>
      </c>
      <c r="H13" s="10">
        <v>20.66</v>
      </c>
      <c r="I13" s="7">
        <f>ROUND(1629,2)</f>
        <v>1629</v>
      </c>
      <c r="J13" s="7">
        <f>ROUND(92.5,2)</f>
        <v>92.5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7">
        <f>ROUND(32,2)</f>
        <v>32</v>
      </c>
      <c r="BI13" s="6"/>
      <c r="BJ13" s="6"/>
      <c r="BK13" s="6"/>
      <c r="BL13" s="6"/>
      <c r="BM13" s="6"/>
      <c r="BN13" s="6"/>
      <c r="BO13" s="6"/>
      <c r="BP13" s="6"/>
      <c r="BQ13" s="6"/>
      <c r="BR13" s="7">
        <f>ROUND(40,2)</f>
        <v>40</v>
      </c>
      <c r="BS13" s="6"/>
      <c r="BT13" s="7">
        <f>ROUND(24,2)</f>
        <v>24</v>
      </c>
      <c r="BU13" s="7">
        <f>ROUND(32,2)</f>
        <v>32</v>
      </c>
      <c r="BV13" s="7">
        <f>ROUND(26.25,2)</f>
        <v>26.25</v>
      </c>
      <c r="BW13" s="6"/>
      <c r="BX13" s="7">
        <f>ROUND(66.5,2)</f>
        <v>66.5</v>
      </c>
      <c r="BY13" s="7">
        <f>ROUND(232,2)</f>
        <v>232</v>
      </c>
      <c r="BZ13" s="6"/>
      <c r="CA13" s="6"/>
      <c r="CB13" s="7">
        <f>ROUND(2174.25,2)</f>
        <v>2174.25</v>
      </c>
      <c r="CC13" s="7">
        <f>ROUND(32012.21,2)</f>
        <v>32012.21</v>
      </c>
      <c r="CD13" s="7">
        <f>ROUND(2707.02999999999,2)</f>
        <v>2707.03</v>
      </c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7">
        <f>ROUND(632.75,2)</f>
        <v>632.75</v>
      </c>
      <c r="EE13" s="7">
        <f>ROUND(1983.36,2)</f>
        <v>1983.36</v>
      </c>
      <c r="EF13" s="7">
        <f>ROUND(802.4,2)</f>
        <v>802.4</v>
      </c>
      <c r="EG13" s="7">
        <f>ROUND(476.919999999999,2)</f>
        <v>476.92</v>
      </c>
      <c r="EH13" s="7">
        <f>ROUND(661.12,2)</f>
        <v>661.12</v>
      </c>
      <c r="EI13" s="7">
        <f>ROUND(783.34,2)</f>
        <v>783.34</v>
      </c>
      <c r="EJ13" s="6"/>
      <c r="EK13" s="6"/>
      <c r="EL13" s="6"/>
      <c r="EM13" s="6"/>
      <c r="EN13" s="7">
        <f>ROUND(1318.28,2)</f>
        <v>1318.28</v>
      </c>
      <c r="EO13" s="6"/>
      <c r="EP13" s="6"/>
      <c r="EQ13" s="6"/>
      <c r="ER13" s="6"/>
      <c r="ES13" s="7">
        <f>ROUND(5170.56,2)</f>
        <v>5170.5600000000004</v>
      </c>
      <c r="ET13" s="6"/>
      <c r="EU13" s="6"/>
      <c r="EV13" s="7">
        <f>ROUND(46547.97,2)</f>
        <v>46547.97</v>
      </c>
    </row>
    <row r="14" spans="1:152">
      <c r="A14" s="4" t="s">
        <v>181</v>
      </c>
      <c r="B14" s="4" t="s">
        <v>1058</v>
      </c>
      <c r="C14" s="5" t="s">
        <v>152</v>
      </c>
      <c r="D14" s="5" t="s">
        <v>171</v>
      </c>
      <c r="E14" s="5" t="s">
        <v>0</v>
      </c>
      <c r="F14" s="5" t="s">
        <v>0</v>
      </c>
      <c r="G14" s="5" t="s">
        <v>155</v>
      </c>
      <c r="H14" s="10">
        <v>27.36</v>
      </c>
      <c r="I14" s="6"/>
      <c r="J14" s="6"/>
      <c r="K14" s="6"/>
      <c r="L14" s="6"/>
      <c r="M14" s="7">
        <f>ROUND(878.779999999999,2)</f>
        <v>878.78</v>
      </c>
      <c r="N14" s="6"/>
      <c r="O14" s="6"/>
      <c r="P14" s="7">
        <f>ROUND(155.809999999999,2)</f>
        <v>155.81</v>
      </c>
      <c r="Q14" s="6"/>
      <c r="R14" s="6"/>
      <c r="S14" s="6"/>
      <c r="T14" s="6"/>
      <c r="U14" s="7">
        <f>ROUND(55.47,2)</f>
        <v>55.47</v>
      </c>
      <c r="V14" s="7">
        <f>ROUND(12.87,2)</f>
        <v>12.87</v>
      </c>
      <c r="W14" s="7">
        <f>ROUND(8.79,2)</f>
        <v>8.7899999999999991</v>
      </c>
      <c r="X14" s="7">
        <f>ROUND(1.56,2)</f>
        <v>1.56</v>
      </c>
      <c r="Y14" s="6"/>
      <c r="Z14" s="6"/>
      <c r="AA14" s="6"/>
      <c r="AB14" s="6"/>
      <c r="AC14" s="7">
        <f>ROUND(176.95,2)</f>
        <v>176.95</v>
      </c>
      <c r="AD14" s="7">
        <f>ROUND(10.3,2)</f>
        <v>10.3</v>
      </c>
      <c r="AE14" s="6"/>
      <c r="AF14" s="7">
        <f>ROUND(738.259999999999,2)</f>
        <v>738.26</v>
      </c>
      <c r="AG14" s="7">
        <f>ROUND(82.33,2)</f>
        <v>82.33</v>
      </c>
      <c r="AH14" s="7">
        <f>ROUND(96,2)</f>
        <v>96</v>
      </c>
      <c r="AI14" s="6"/>
      <c r="AJ14" s="6"/>
      <c r="AK14" s="6"/>
      <c r="AL14" s="7">
        <f>ROUND(10,2)</f>
        <v>10</v>
      </c>
      <c r="AM14" s="7">
        <f>ROUND(1.13,2)</f>
        <v>1.1299999999999999</v>
      </c>
      <c r="AN14" s="6"/>
      <c r="AO14" s="6"/>
      <c r="AP14" s="7">
        <f>ROUND(40,2)</f>
        <v>40</v>
      </c>
      <c r="AQ14" s="6"/>
      <c r="AR14" s="6"/>
      <c r="AS14" s="6"/>
      <c r="AT14" s="6"/>
      <c r="AU14" s="6"/>
      <c r="AV14" s="6"/>
      <c r="AW14" s="6"/>
      <c r="AX14" s="7">
        <f>ROUND(3.25,2)</f>
        <v>3.25</v>
      </c>
      <c r="AY14" s="6"/>
      <c r="AZ14" s="6"/>
      <c r="BA14" s="6"/>
      <c r="BB14" s="7">
        <f>ROUND(8,2)</f>
        <v>8</v>
      </c>
      <c r="BC14" s="7">
        <f>ROUND(8,2)</f>
        <v>8</v>
      </c>
      <c r="BD14" s="7">
        <f>ROUND(2.41,2)</f>
        <v>2.41</v>
      </c>
      <c r="BE14" s="6"/>
      <c r="BF14" s="6"/>
      <c r="BG14" s="6"/>
      <c r="BH14" s="6"/>
      <c r="BI14" s="6"/>
      <c r="BJ14" s="7">
        <f>ROUND(32,2)</f>
        <v>32</v>
      </c>
      <c r="BK14" s="6"/>
      <c r="BL14" s="7">
        <f>ROUND(40,2)</f>
        <v>40</v>
      </c>
      <c r="BM14" s="7">
        <f>ROUND(22,2)</f>
        <v>22</v>
      </c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7">
        <f>ROUND(40,2)</f>
        <v>40</v>
      </c>
      <c r="CB14" s="7">
        <f>ROUND(2423.91,2)</f>
        <v>2423.91</v>
      </c>
      <c r="CC14" s="6"/>
      <c r="CD14" s="6"/>
      <c r="CE14" s="6"/>
      <c r="CF14" s="6"/>
      <c r="CG14" s="7">
        <f>ROUND(19145.95,2)</f>
        <v>19145.95</v>
      </c>
      <c r="CH14" s="6"/>
      <c r="CI14" s="6"/>
      <c r="CJ14" s="7">
        <f>ROUND(5243.41,2)</f>
        <v>5243.41</v>
      </c>
      <c r="CK14" s="6"/>
      <c r="CL14" s="6"/>
      <c r="CM14" s="6"/>
      <c r="CN14" s="6"/>
      <c r="CO14" s="7">
        <f>ROUND(1282.15,2)</f>
        <v>1282.1500000000001</v>
      </c>
      <c r="CP14" s="7">
        <f>ROUND(486.039999999999,2)</f>
        <v>486.04</v>
      </c>
      <c r="CQ14" s="7">
        <f>ROUND(192.14,2)</f>
        <v>192.14</v>
      </c>
      <c r="CR14" s="7">
        <f>ROUND(53.64,2)</f>
        <v>53.64</v>
      </c>
      <c r="CS14" s="6"/>
      <c r="CT14" s="6"/>
      <c r="CU14" s="6"/>
      <c r="CV14" s="6"/>
      <c r="CW14" s="7">
        <f>ROUND(3975.62,2)</f>
        <v>3975.62</v>
      </c>
      <c r="CX14" s="7">
        <f>ROUND(372.7,2)</f>
        <v>372.7</v>
      </c>
      <c r="CY14" s="6"/>
      <c r="CZ14" s="6"/>
      <c r="DA14" s="7">
        <f>ROUND(15915.2299999999,2)</f>
        <v>15915.23</v>
      </c>
      <c r="DB14" s="7">
        <f>ROUND(2607.33,2)</f>
        <v>2607.33</v>
      </c>
      <c r="DC14" s="7">
        <f>ROUND(2156.76,2)</f>
        <v>2156.7600000000002</v>
      </c>
      <c r="DD14" s="6"/>
      <c r="DE14" s="6"/>
      <c r="DF14" s="6"/>
      <c r="DG14" s="6"/>
      <c r="DH14" s="6"/>
      <c r="DI14" s="7">
        <f>ROUND(208.65,2)</f>
        <v>208.65</v>
      </c>
      <c r="DJ14" s="7">
        <f>ROUND(23.71,2)</f>
        <v>23.71</v>
      </c>
      <c r="DK14" s="6"/>
      <c r="DL14" s="6"/>
      <c r="DM14" s="7">
        <f>ROUND(833.4,2)</f>
        <v>833.4</v>
      </c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7">
        <f>ROUND(88.92,2)</f>
        <v>88.92</v>
      </c>
      <c r="DZ14" s="6"/>
      <c r="EA14" s="6"/>
      <c r="EB14" s="6"/>
      <c r="EC14" s="6"/>
      <c r="ED14" s="6"/>
      <c r="EE14" s="7">
        <f>ROUND(1925,2)</f>
        <v>1925</v>
      </c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7">
        <f>ROUND(1500,2)</f>
        <v>1500</v>
      </c>
      <c r="ER14" s="6"/>
      <c r="ES14" s="6"/>
      <c r="ET14" s="6"/>
      <c r="EU14" s="7">
        <f>ROUND(1094.4,2)</f>
        <v>1094.4000000000001</v>
      </c>
      <c r="EV14" s="7">
        <f>ROUND(57105.05,2)</f>
        <v>57105.05</v>
      </c>
    </row>
    <row r="15" spans="1:152">
      <c r="A15" s="4" t="s">
        <v>182</v>
      </c>
      <c r="B15" s="4" t="s">
        <v>1058</v>
      </c>
      <c r="C15" s="5" t="s">
        <v>152</v>
      </c>
      <c r="D15" s="5" t="s">
        <v>183</v>
      </c>
      <c r="E15" s="5" t="s">
        <v>0</v>
      </c>
      <c r="F15" s="5" t="s">
        <v>0</v>
      </c>
      <c r="G15" s="5" t="s">
        <v>155</v>
      </c>
      <c r="H15" s="10">
        <v>30.4</v>
      </c>
      <c r="I15" s="6"/>
      <c r="J15" s="6"/>
      <c r="K15" s="6"/>
      <c r="L15" s="6"/>
      <c r="M15" s="7">
        <f>ROUND(1002.33999999999,2)</f>
        <v>1002.34</v>
      </c>
      <c r="N15" s="6"/>
      <c r="O15" s="6"/>
      <c r="P15" s="7">
        <f>ROUND(190.75,2)</f>
        <v>190.75</v>
      </c>
      <c r="Q15" s="6"/>
      <c r="R15" s="6"/>
      <c r="S15" s="6"/>
      <c r="T15" s="6"/>
      <c r="U15" s="7">
        <f>ROUND(1.4,2)</f>
        <v>1.4</v>
      </c>
      <c r="V15" s="7">
        <f>ROUND(5.85,2)</f>
        <v>5.85</v>
      </c>
      <c r="W15" s="7">
        <f>ROUND(5.26,2)</f>
        <v>5.26</v>
      </c>
      <c r="X15" s="7">
        <f>ROUND(0.66,2)</f>
        <v>0.66</v>
      </c>
      <c r="Y15" s="6"/>
      <c r="Z15" s="6"/>
      <c r="AA15" s="6"/>
      <c r="AB15" s="6"/>
      <c r="AC15" s="7">
        <f>ROUND(384.48,2)</f>
        <v>384.48</v>
      </c>
      <c r="AD15" s="7">
        <f>ROUND(1.27,2)</f>
        <v>1.27</v>
      </c>
      <c r="AE15" s="6"/>
      <c r="AF15" s="7">
        <f>ROUND(338.989999999999,2)</f>
        <v>338.99</v>
      </c>
      <c r="AG15" s="7">
        <f>ROUND(38.08,2)</f>
        <v>38.08</v>
      </c>
      <c r="AH15" s="7">
        <f>ROUND(72,2)</f>
        <v>72</v>
      </c>
      <c r="AI15" s="6"/>
      <c r="AJ15" s="7">
        <f>ROUND(96,2)</f>
        <v>96</v>
      </c>
      <c r="AK15" s="6"/>
      <c r="AL15" s="7">
        <f>ROUND(8.5,2)</f>
        <v>8.5</v>
      </c>
      <c r="AM15" s="6"/>
      <c r="AN15" s="6"/>
      <c r="AO15" s="6"/>
      <c r="AP15" s="6"/>
      <c r="AQ15" s="6"/>
      <c r="AR15" s="6"/>
      <c r="AS15" s="6"/>
      <c r="AT15" s="6"/>
      <c r="AU15" s="6"/>
      <c r="AV15" s="7">
        <f>ROUND(1.5,2)</f>
        <v>1.5</v>
      </c>
      <c r="AW15" s="7">
        <f>ROUND(1.25,2)</f>
        <v>1.25</v>
      </c>
      <c r="AX15" s="7">
        <f>ROUND(0.2,2)</f>
        <v>0.2</v>
      </c>
      <c r="AY15" s="7">
        <f>ROUND(6.22,2)</f>
        <v>6.22</v>
      </c>
      <c r="AZ15" s="6"/>
      <c r="BA15" s="6"/>
      <c r="BB15" s="6"/>
      <c r="BC15" s="7">
        <f>ROUND(80,2)</f>
        <v>80</v>
      </c>
      <c r="BD15" s="6"/>
      <c r="BE15" s="7">
        <f>ROUND(16,2)</f>
        <v>16</v>
      </c>
      <c r="BF15" s="7">
        <f>ROUND(25.42,2)</f>
        <v>25.42</v>
      </c>
      <c r="BG15" s="7">
        <f>ROUND(14.45,2)</f>
        <v>14.45</v>
      </c>
      <c r="BH15" s="7">
        <f>ROUND(16,2)</f>
        <v>16</v>
      </c>
      <c r="BI15" s="6"/>
      <c r="BJ15" s="6"/>
      <c r="BK15" s="6"/>
      <c r="BL15" s="6"/>
      <c r="BM15" s="7">
        <f>ROUND(48,2)</f>
        <v>48</v>
      </c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7">
        <f>ROUND(88,2)</f>
        <v>88</v>
      </c>
      <c r="CB15" s="7">
        <f>ROUND(2442.62,2)</f>
        <v>2442.62</v>
      </c>
      <c r="CC15" s="6"/>
      <c r="CD15" s="6"/>
      <c r="CE15" s="6"/>
      <c r="CF15" s="6"/>
      <c r="CG15" s="7">
        <f>ROUND(28318.69,2)</f>
        <v>28318.69</v>
      </c>
      <c r="CH15" s="6"/>
      <c r="CI15" s="6"/>
      <c r="CJ15" s="7">
        <f>ROUND(8056.94,2)</f>
        <v>8056.94</v>
      </c>
      <c r="CK15" s="6"/>
      <c r="CL15" s="6"/>
      <c r="CM15" s="6"/>
      <c r="CN15" s="6"/>
      <c r="CO15" s="7">
        <f>ROUND(39.1,2)</f>
        <v>39.1</v>
      </c>
      <c r="CP15" s="7">
        <f>ROUND(245.09,2)</f>
        <v>245.09</v>
      </c>
      <c r="CQ15" s="7">
        <f>ROUND(151.53,2)</f>
        <v>151.53</v>
      </c>
      <c r="CR15" s="7">
        <f>ROUND(27.5,2)</f>
        <v>27.5</v>
      </c>
      <c r="CS15" s="6"/>
      <c r="CT15" s="6"/>
      <c r="CU15" s="6"/>
      <c r="CV15" s="6"/>
      <c r="CW15" s="7">
        <f>ROUND(10719.07,2)</f>
        <v>10719.07</v>
      </c>
      <c r="CX15" s="7">
        <f>ROUND(52.92,2)</f>
        <v>52.92</v>
      </c>
      <c r="CY15" s="6"/>
      <c r="CZ15" s="6"/>
      <c r="DA15" s="7">
        <f>ROUND(9575.4,2)</f>
        <v>9575.4</v>
      </c>
      <c r="DB15" s="7">
        <f>ROUND(1590.05999999999,2)</f>
        <v>1590.06</v>
      </c>
      <c r="DC15" s="7">
        <f>ROUND(2063.04,2)</f>
        <v>2063.04</v>
      </c>
      <c r="DD15" s="6"/>
      <c r="DE15" s="7">
        <f>ROUND(2750.72,2)</f>
        <v>2750.72</v>
      </c>
      <c r="DF15" s="6"/>
      <c r="DG15" s="6"/>
      <c r="DH15" s="6"/>
      <c r="DI15" s="7">
        <f>ROUND(236.13,2)</f>
        <v>236.13</v>
      </c>
      <c r="DJ15" s="6"/>
      <c r="DK15" s="6"/>
      <c r="DL15" s="6"/>
      <c r="DM15" s="6"/>
      <c r="DN15" s="6"/>
      <c r="DO15" s="6"/>
      <c r="DP15" s="6"/>
      <c r="DQ15" s="6"/>
      <c r="DR15" s="7">
        <f>ROUND(500,2)</f>
        <v>500</v>
      </c>
      <c r="DS15" s="6"/>
      <c r="DT15" s="6"/>
      <c r="DU15" s="6"/>
      <c r="DV15" s="6"/>
      <c r="DW15" s="7">
        <f>ROUND(45.83,2)</f>
        <v>45.83</v>
      </c>
      <c r="DX15" s="7">
        <f>ROUND(57.28,2)</f>
        <v>57.28</v>
      </c>
      <c r="DY15" s="7">
        <f>ROUND(5.59,2)</f>
        <v>5.59</v>
      </c>
      <c r="DZ15" s="7">
        <f>ROUND(260.59,2)</f>
        <v>260.58999999999997</v>
      </c>
      <c r="EA15" s="6"/>
      <c r="EB15" s="6"/>
      <c r="EC15" s="7">
        <f>ROUND(222.24,2)</f>
        <v>222.24</v>
      </c>
      <c r="ED15" s="6"/>
      <c r="EE15" s="7">
        <f>ROUND(850,2)</f>
        <v>850</v>
      </c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7">
        <f>ROUND(1250,2)</f>
        <v>1250</v>
      </c>
      <c r="ER15" s="6"/>
      <c r="ES15" s="6"/>
      <c r="ET15" s="6"/>
      <c r="EU15" s="7">
        <f>ROUND(2675.2,2)</f>
        <v>2675.2</v>
      </c>
      <c r="EV15" s="7">
        <f>ROUND(69692.9199999999,2)</f>
        <v>69692.92</v>
      </c>
    </row>
    <row r="16" spans="1:152">
      <c r="A16" s="4" t="s">
        <v>184</v>
      </c>
      <c r="B16" s="4" t="s">
        <v>1058</v>
      </c>
      <c r="C16" s="5" t="s">
        <v>152</v>
      </c>
      <c r="D16" s="5" t="s">
        <v>171</v>
      </c>
      <c r="E16" s="5" t="s">
        <v>0</v>
      </c>
      <c r="F16" s="5" t="s">
        <v>0</v>
      </c>
      <c r="G16" s="5" t="s">
        <v>155</v>
      </c>
      <c r="H16" s="10">
        <v>27.36</v>
      </c>
      <c r="I16" s="6"/>
      <c r="J16" s="6"/>
      <c r="K16" s="6"/>
      <c r="L16" s="6"/>
      <c r="M16" s="7">
        <f>ROUND(1273.03,2)</f>
        <v>1273.03</v>
      </c>
      <c r="N16" s="6"/>
      <c r="O16" s="6"/>
      <c r="P16" s="7">
        <f>ROUND(61.19,2)</f>
        <v>61.19</v>
      </c>
      <c r="Q16" s="6"/>
      <c r="R16" s="6"/>
      <c r="S16" s="6"/>
      <c r="T16" s="6"/>
      <c r="U16" s="7">
        <f>ROUND(24.66,2)</f>
        <v>24.66</v>
      </c>
      <c r="V16" s="7">
        <f>ROUND(0.63,2)</f>
        <v>0.63</v>
      </c>
      <c r="W16" s="7">
        <f>ROUND(1.87,2)</f>
        <v>1.87</v>
      </c>
      <c r="X16" s="6"/>
      <c r="Y16" s="6"/>
      <c r="Z16" s="6"/>
      <c r="AA16" s="6"/>
      <c r="AB16" s="6"/>
      <c r="AC16" s="7">
        <f>ROUND(60.58,2)</f>
        <v>60.58</v>
      </c>
      <c r="AD16" s="7">
        <f>ROUND(5,2)</f>
        <v>5</v>
      </c>
      <c r="AE16" s="6"/>
      <c r="AF16" s="7">
        <f>ROUND(233.789999999999,2)</f>
        <v>233.79</v>
      </c>
      <c r="AG16" s="7">
        <f>ROUND(26.1999999999999,2)</f>
        <v>26.2</v>
      </c>
      <c r="AH16" s="7">
        <f>ROUND(47,2)</f>
        <v>47</v>
      </c>
      <c r="AI16" s="6"/>
      <c r="AJ16" s="7">
        <f>ROUND(40,2)</f>
        <v>40</v>
      </c>
      <c r="AK16" s="6"/>
      <c r="AL16" s="7">
        <f>ROUND(8,2)</f>
        <v>8</v>
      </c>
      <c r="AM16" s="6"/>
      <c r="AN16" s="6"/>
      <c r="AO16" s="6"/>
      <c r="AP16" s="6"/>
      <c r="AQ16" s="6"/>
      <c r="AR16" s="7">
        <f>ROUND(2,2)</f>
        <v>2</v>
      </c>
      <c r="AS16" s="6"/>
      <c r="AT16" s="6"/>
      <c r="AU16" s="6"/>
      <c r="AV16" s="6"/>
      <c r="AW16" s="6"/>
      <c r="AX16" s="6"/>
      <c r="AY16" s="6"/>
      <c r="AZ16" s="6"/>
      <c r="BA16" s="6"/>
      <c r="BB16" s="7">
        <f>ROUND(18,2)</f>
        <v>18</v>
      </c>
      <c r="BC16" s="7">
        <f>ROUND(48,2)</f>
        <v>48</v>
      </c>
      <c r="BD16" s="7">
        <f>ROUND(0.48,2)</f>
        <v>0.48</v>
      </c>
      <c r="BE16" s="6"/>
      <c r="BF16" s="6"/>
      <c r="BG16" s="6"/>
      <c r="BH16" s="7">
        <f>ROUND(5,2)</f>
        <v>5</v>
      </c>
      <c r="BI16" s="6"/>
      <c r="BJ16" s="6"/>
      <c r="BK16" s="6"/>
      <c r="BL16" s="6"/>
      <c r="BM16" s="7">
        <f>ROUND(69,2)</f>
        <v>69</v>
      </c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7">
        <f>ROUND(1924.43,2)</f>
        <v>1924.43</v>
      </c>
      <c r="CC16" s="6"/>
      <c r="CD16" s="6"/>
      <c r="CE16" s="6"/>
      <c r="CF16" s="6"/>
      <c r="CG16" s="7">
        <f>ROUND(27935.2,2)</f>
        <v>27935.200000000001</v>
      </c>
      <c r="CH16" s="6"/>
      <c r="CI16" s="6"/>
      <c r="CJ16" s="7">
        <f>ROUND(2070.71,2)</f>
        <v>2070.71</v>
      </c>
      <c r="CK16" s="6"/>
      <c r="CL16" s="6"/>
      <c r="CM16" s="6"/>
      <c r="CN16" s="6"/>
      <c r="CO16" s="7">
        <f>ROUND(514.95,2)</f>
        <v>514.95000000000005</v>
      </c>
      <c r="CP16" s="7">
        <f>ROUND(19.69,2)</f>
        <v>19.690000000000001</v>
      </c>
      <c r="CQ16" s="7">
        <f>ROUND(39.09,2)</f>
        <v>39.090000000000003</v>
      </c>
      <c r="CR16" s="6"/>
      <c r="CS16" s="6"/>
      <c r="CT16" s="6"/>
      <c r="CU16" s="6"/>
      <c r="CV16" s="6"/>
      <c r="CW16" s="7">
        <f>ROUND(1263.99,2)</f>
        <v>1263.99</v>
      </c>
      <c r="CX16" s="7">
        <f>ROUND(205.2,2)</f>
        <v>205.2</v>
      </c>
      <c r="CY16" s="6"/>
      <c r="CZ16" s="6"/>
      <c r="DA16" s="7">
        <f>ROUND(5031,2)</f>
        <v>5031</v>
      </c>
      <c r="DB16" s="7">
        <f>ROUND(851.229999999999,2)</f>
        <v>851.23</v>
      </c>
      <c r="DC16" s="7">
        <f>ROUND(1083.66,2)</f>
        <v>1083.6600000000001</v>
      </c>
      <c r="DD16" s="6"/>
      <c r="DE16" s="7">
        <f>ROUND(833.4,2)</f>
        <v>833.4</v>
      </c>
      <c r="DF16" s="6"/>
      <c r="DG16" s="6"/>
      <c r="DH16" s="6"/>
      <c r="DI16" s="7">
        <f>ROUND(166.68,2)</f>
        <v>166.68</v>
      </c>
      <c r="DJ16" s="6"/>
      <c r="DK16" s="6"/>
      <c r="DL16" s="6"/>
      <c r="DM16" s="6"/>
      <c r="DN16" s="6"/>
      <c r="DO16" s="6"/>
      <c r="DP16" s="7">
        <f>ROUND(41.67,2)</f>
        <v>41.67</v>
      </c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7">
        <f>ROUND(1725,2)</f>
        <v>1725</v>
      </c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7">
        <f>ROUND(1500,2)</f>
        <v>1500</v>
      </c>
      <c r="ER16" s="6"/>
      <c r="ES16" s="6"/>
      <c r="ET16" s="6"/>
      <c r="EU16" s="6"/>
      <c r="EV16" s="7">
        <f>ROUND(43281.4699999999,2)</f>
        <v>43281.47</v>
      </c>
    </row>
    <row r="17" spans="1:152">
      <c r="A17" s="4" t="s">
        <v>185</v>
      </c>
      <c r="B17" s="4" t="s">
        <v>1058</v>
      </c>
      <c r="C17" s="5" t="s">
        <v>152</v>
      </c>
      <c r="D17" s="5" t="s">
        <v>186</v>
      </c>
      <c r="E17" s="5" t="s">
        <v>0</v>
      </c>
      <c r="F17" s="5" t="s">
        <v>0</v>
      </c>
      <c r="G17" s="5" t="s">
        <v>155</v>
      </c>
      <c r="H17" s="10">
        <v>27.36</v>
      </c>
      <c r="I17" s="6"/>
      <c r="J17" s="6"/>
      <c r="K17" s="6"/>
      <c r="L17" s="6"/>
      <c r="M17" s="7">
        <f>ROUND(827.91,2)</f>
        <v>827.91</v>
      </c>
      <c r="N17" s="6"/>
      <c r="O17" s="6"/>
      <c r="P17" s="7">
        <f>ROUND(39.43,2)</f>
        <v>39.43</v>
      </c>
      <c r="Q17" s="6"/>
      <c r="R17" s="6"/>
      <c r="S17" s="6"/>
      <c r="T17" s="6"/>
      <c r="U17" s="7">
        <f>ROUND(8,2)</f>
        <v>8</v>
      </c>
      <c r="V17" s="6"/>
      <c r="W17" s="7">
        <f>ROUND(2.5,2)</f>
        <v>2.5</v>
      </c>
      <c r="X17" s="7">
        <f>ROUND(0.67,2)</f>
        <v>0.67</v>
      </c>
      <c r="Y17" s="6"/>
      <c r="Z17" s="6"/>
      <c r="AA17" s="6"/>
      <c r="AB17" s="6"/>
      <c r="AC17" s="7">
        <f>ROUND(77.66,2)</f>
        <v>77.66</v>
      </c>
      <c r="AD17" s="7">
        <f>ROUND(3.5,2)</f>
        <v>3.5</v>
      </c>
      <c r="AE17" s="6"/>
      <c r="AF17" s="7">
        <f>ROUND(300.5,2)</f>
        <v>300.5</v>
      </c>
      <c r="AG17" s="7">
        <f>ROUND(31.14,2)</f>
        <v>31.14</v>
      </c>
      <c r="AH17" s="7">
        <f>ROUND(55,2)</f>
        <v>55</v>
      </c>
      <c r="AI17" s="6"/>
      <c r="AJ17" s="7">
        <f>ROUND(40,2)</f>
        <v>40</v>
      </c>
      <c r="AK17" s="6"/>
      <c r="AL17" s="7">
        <f>ROUND(207.25,2)</f>
        <v>207.25</v>
      </c>
      <c r="AM17" s="7">
        <f>ROUND(5.17,2)</f>
        <v>5.17</v>
      </c>
      <c r="AN17" s="7">
        <f>ROUND(21.55,2)</f>
        <v>21.55</v>
      </c>
      <c r="AO17" s="6"/>
      <c r="AP17" s="6"/>
      <c r="AQ17" s="6"/>
      <c r="AR17" s="7">
        <f>ROUND(2,2)</f>
        <v>2</v>
      </c>
      <c r="AS17" s="6"/>
      <c r="AT17" s="6"/>
      <c r="AU17" s="6"/>
      <c r="AV17" s="7">
        <f>ROUND(3.33,2)</f>
        <v>3.33</v>
      </c>
      <c r="AW17" s="7">
        <f>ROUND(0.17,2)</f>
        <v>0.17</v>
      </c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7">
        <f>ROUND(40,2)</f>
        <v>40</v>
      </c>
      <c r="BK17" s="6"/>
      <c r="BL17" s="7">
        <f>ROUND(80,2)</f>
        <v>80</v>
      </c>
      <c r="BM17" s="7">
        <f>ROUND(18,2)</f>
        <v>18</v>
      </c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7">
        <f>ROUND(8,2)</f>
        <v>8</v>
      </c>
      <c r="CB17" s="7">
        <f>ROUND(1771.77999999999,2)</f>
        <v>1771.78</v>
      </c>
      <c r="CC17" s="6"/>
      <c r="CD17" s="6"/>
      <c r="CE17" s="6"/>
      <c r="CF17" s="6"/>
      <c r="CG17" s="7">
        <f>ROUND(17895.8399999999,2)</f>
        <v>17895.84</v>
      </c>
      <c r="CH17" s="6"/>
      <c r="CI17" s="6"/>
      <c r="CJ17" s="7">
        <f>ROUND(1329.48,2)</f>
        <v>1329.48</v>
      </c>
      <c r="CK17" s="6"/>
      <c r="CL17" s="6"/>
      <c r="CM17" s="6"/>
      <c r="CN17" s="6"/>
      <c r="CO17" s="7">
        <f>ROUND(206.72,2)</f>
        <v>206.72</v>
      </c>
      <c r="CP17" s="6"/>
      <c r="CQ17" s="7">
        <f>ROUND(58.15,2)</f>
        <v>58.15</v>
      </c>
      <c r="CR17" s="7">
        <f>ROUND(25.97,2)</f>
        <v>25.97</v>
      </c>
      <c r="CS17" s="6"/>
      <c r="CT17" s="6"/>
      <c r="CU17" s="6"/>
      <c r="CV17" s="6"/>
      <c r="CW17" s="7">
        <f>ROUND(1869.26,2)</f>
        <v>1869.26</v>
      </c>
      <c r="CX17" s="7">
        <f>ROUND(136.45,2)</f>
        <v>136.44999999999999</v>
      </c>
      <c r="CY17" s="6"/>
      <c r="CZ17" s="6"/>
      <c r="DA17" s="7">
        <f>ROUND(6464.91999999999,2)</f>
        <v>6464.92</v>
      </c>
      <c r="DB17" s="7">
        <f>ROUND(1145.99,2)</f>
        <v>1145.99</v>
      </c>
      <c r="DC17" s="7">
        <f>ROUND(1266.06,2)</f>
        <v>1266.06</v>
      </c>
      <c r="DD17" s="6"/>
      <c r="DE17" s="7">
        <f>ROUND(913.48,2)</f>
        <v>913.48</v>
      </c>
      <c r="DF17" s="6"/>
      <c r="DG17" s="6"/>
      <c r="DH17" s="6"/>
      <c r="DI17" s="7">
        <f>ROUND(3653.56,2)</f>
        <v>3653.56</v>
      </c>
      <c r="DJ17" s="7">
        <f>ROUND(138.14,2)</f>
        <v>138.13999999999999</v>
      </c>
      <c r="DK17" s="7">
        <f>ROUND(565.69,2)</f>
        <v>565.69000000000005</v>
      </c>
      <c r="DL17" s="6"/>
      <c r="DM17" s="6"/>
      <c r="DN17" s="6"/>
      <c r="DO17" s="6"/>
      <c r="DP17" s="7">
        <f>ROUND(41.67,2)</f>
        <v>41.67</v>
      </c>
      <c r="DQ17" s="6"/>
      <c r="DR17" s="6"/>
      <c r="DS17" s="6"/>
      <c r="DT17" s="6"/>
      <c r="DU17" s="6"/>
      <c r="DV17" s="6"/>
      <c r="DW17" s="7">
        <f>ROUND(86.55,2)</f>
        <v>86.55</v>
      </c>
      <c r="DX17" s="7">
        <f>ROUND(6.63,2)</f>
        <v>6.63</v>
      </c>
      <c r="DY17" s="6"/>
      <c r="DZ17" s="6"/>
      <c r="EA17" s="6"/>
      <c r="EB17" s="6"/>
      <c r="EC17" s="6"/>
      <c r="ED17" s="6"/>
      <c r="EE17" s="7">
        <f>ROUND(250,2)</f>
        <v>250</v>
      </c>
      <c r="EF17" s="6"/>
      <c r="EG17" s="6"/>
      <c r="EH17" s="6"/>
      <c r="EI17" s="6"/>
      <c r="EJ17" s="7">
        <f>ROUND(500,2)</f>
        <v>500</v>
      </c>
      <c r="EK17" s="6"/>
      <c r="EL17" s="6"/>
      <c r="EM17" s="6"/>
      <c r="EN17" s="6"/>
      <c r="EO17" s="6"/>
      <c r="EP17" s="6"/>
      <c r="EQ17" s="7">
        <f>ROUND(621.76,2)</f>
        <v>621.76</v>
      </c>
      <c r="ER17" s="6"/>
      <c r="ES17" s="6"/>
      <c r="ET17" s="6"/>
      <c r="EU17" s="7">
        <f>ROUND(206.72,2)</f>
        <v>206.72</v>
      </c>
      <c r="EV17" s="7">
        <f>ROUND(37383.0399999999,2)</f>
        <v>37383.040000000001</v>
      </c>
    </row>
    <row r="18" spans="1:152">
      <c r="A18" s="4" t="s">
        <v>187</v>
      </c>
      <c r="B18" s="4" t="s">
        <v>1058</v>
      </c>
      <c r="C18" s="5" t="s">
        <v>152</v>
      </c>
      <c r="D18" s="5" t="s">
        <v>188</v>
      </c>
      <c r="E18" s="5" t="s">
        <v>0</v>
      </c>
      <c r="F18" s="5" t="s">
        <v>0</v>
      </c>
      <c r="G18" s="5" t="s">
        <v>155</v>
      </c>
      <c r="H18" s="10">
        <v>30.4</v>
      </c>
      <c r="I18" s="6"/>
      <c r="J18" s="6"/>
      <c r="K18" s="6"/>
      <c r="L18" s="6"/>
      <c r="M18" s="7">
        <f>ROUND(896.75,2)</f>
        <v>896.75</v>
      </c>
      <c r="N18" s="6"/>
      <c r="O18" s="6"/>
      <c r="P18" s="7">
        <f>ROUND(138.27,2)</f>
        <v>138.27000000000001</v>
      </c>
      <c r="Q18" s="6"/>
      <c r="R18" s="6"/>
      <c r="S18" s="6"/>
      <c r="T18" s="6"/>
      <c r="U18" s="6"/>
      <c r="V18" s="6"/>
      <c r="W18" s="7">
        <f>ROUND(1.14,2)</f>
        <v>1.1399999999999999</v>
      </c>
      <c r="X18" s="6"/>
      <c r="Y18" s="6"/>
      <c r="Z18" s="6"/>
      <c r="AA18" s="6"/>
      <c r="AB18" s="6"/>
      <c r="AC18" s="7">
        <f>ROUND(47.58,2)</f>
        <v>47.58</v>
      </c>
      <c r="AD18" s="6"/>
      <c r="AE18" s="6"/>
      <c r="AF18" s="7">
        <f>ROUND(104.81,2)</f>
        <v>104.81</v>
      </c>
      <c r="AG18" s="7">
        <f>ROUND(0.67,2)</f>
        <v>0.67</v>
      </c>
      <c r="AH18" s="7">
        <f>ROUND(74,2)</f>
        <v>74</v>
      </c>
      <c r="AI18" s="6"/>
      <c r="AJ18" s="7">
        <f>ROUND(72,2)</f>
        <v>72</v>
      </c>
      <c r="AK18" s="6"/>
      <c r="AL18" s="7">
        <f>ROUND(8.5,2)</f>
        <v>8.5</v>
      </c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7">
        <f>ROUND(24,2)</f>
        <v>24</v>
      </c>
      <c r="BC18" s="7">
        <f>ROUND(824,2)</f>
        <v>824</v>
      </c>
      <c r="BD18" s="7">
        <f>ROUND(0.67,2)</f>
        <v>0.67</v>
      </c>
      <c r="BE18" s="6"/>
      <c r="BF18" s="7">
        <f>ROUND(16,2)</f>
        <v>16</v>
      </c>
      <c r="BG18" s="7">
        <f>ROUND(16,2)</f>
        <v>16</v>
      </c>
      <c r="BH18" s="7">
        <f>ROUND(16,2)</f>
        <v>16</v>
      </c>
      <c r="BI18" s="6"/>
      <c r="BJ18" s="6"/>
      <c r="BK18" s="6"/>
      <c r="BL18" s="6"/>
      <c r="BM18" s="7">
        <f>ROUND(24.97,2)</f>
        <v>24.97</v>
      </c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7">
        <f>ROUND(32,2)</f>
        <v>32</v>
      </c>
      <c r="CB18" s="7">
        <f>ROUND(2297.36,2)</f>
        <v>2297.36</v>
      </c>
      <c r="CC18" s="6"/>
      <c r="CD18" s="6"/>
      <c r="CE18" s="6"/>
      <c r="CF18" s="6"/>
      <c r="CG18" s="7">
        <f>ROUND(25608.81,2)</f>
        <v>25608.81</v>
      </c>
      <c r="CH18" s="6"/>
      <c r="CI18" s="6"/>
      <c r="CJ18" s="7">
        <f>ROUND(5973.61999999999,2)</f>
        <v>5973.62</v>
      </c>
      <c r="CK18" s="6"/>
      <c r="CL18" s="6"/>
      <c r="CM18" s="6"/>
      <c r="CN18" s="6"/>
      <c r="CO18" s="6"/>
      <c r="CP18" s="6"/>
      <c r="CQ18" s="7">
        <f>ROUND(32.98,2)</f>
        <v>32.979999999999997</v>
      </c>
      <c r="CR18" s="6"/>
      <c r="CS18" s="6"/>
      <c r="CT18" s="6"/>
      <c r="CU18" s="6"/>
      <c r="CV18" s="6"/>
      <c r="CW18" s="7">
        <f>ROUND(1323.50999999999,2)</f>
        <v>1323.51</v>
      </c>
      <c r="CX18" s="6"/>
      <c r="CY18" s="6"/>
      <c r="CZ18" s="6"/>
      <c r="DA18" s="7">
        <f>ROUND(2922.29,2)</f>
        <v>2922.29</v>
      </c>
      <c r="DB18" s="7">
        <f>ROUND(28.07,2)</f>
        <v>28.07</v>
      </c>
      <c r="DC18" s="7">
        <f>ROUND(2097.64,2)</f>
        <v>2097.64</v>
      </c>
      <c r="DD18" s="6"/>
      <c r="DE18" s="7">
        <f>ROUND(2000.16,2)</f>
        <v>2000.16</v>
      </c>
      <c r="DF18" s="6"/>
      <c r="DG18" s="6"/>
      <c r="DH18" s="6"/>
      <c r="DI18" s="7">
        <f>ROUND(236.13,2)</f>
        <v>236.13</v>
      </c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7">
        <f>ROUND(444.48,2)</f>
        <v>444.48</v>
      </c>
      <c r="ED18" s="6"/>
      <c r="EE18" s="7">
        <f>ROUND(150,2)</f>
        <v>150</v>
      </c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7">
        <f>ROUND(836.4,2)</f>
        <v>836.4</v>
      </c>
      <c r="ER18" s="6"/>
      <c r="ES18" s="6"/>
      <c r="ET18" s="6"/>
      <c r="EU18" s="7">
        <f>ROUND(972.8,2)</f>
        <v>972.8</v>
      </c>
      <c r="EV18" s="7">
        <f>ROUND(42626.89,2)</f>
        <v>42626.89</v>
      </c>
    </row>
    <row r="19" spans="1:152">
      <c r="A19" s="4" t="s">
        <v>189</v>
      </c>
      <c r="B19" s="4" t="s">
        <v>1058</v>
      </c>
      <c r="C19" s="5" t="s">
        <v>152</v>
      </c>
      <c r="D19" s="5" t="s">
        <v>190</v>
      </c>
      <c r="E19" s="5" t="s">
        <v>0</v>
      </c>
      <c r="F19" s="5" t="s">
        <v>0</v>
      </c>
      <c r="G19" s="5" t="s">
        <v>155</v>
      </c>
      <c r="H19" s="10">
        <v>30.4</v>
      </c>
      <c r="I19" s="6"/>
      <c r="J19" s="6"/>
      <c r="K19" s="6"/>
      <c r="L19" s="6"/>
      <c r="M19" s="7">
        <f>ROUND(1886.13999999999,2)</f>
        <v>1886.14</v>
      </c>
      <c r="N19" s="6"/>
      <c r="O19" s="6"/>
      <c r="P19" s="7">
        <f>ROUND(519.3,2)</f>
        <v>519.29999999999995</v>
      </c>
      <c r="Q19" s="6"/>
      <c r="R19" s="6"/>
      <c r="S19" s="6"/>
      <c r="T19" s="6"/>
      <c r="U19" s="7">
        <f>ROUND(18.48,2)</f>
        <v>18.48</v>
      </c>
      <c r="V19" s="6"/>
      <c r="W19" s="6"/>
      <c r="X19" s="6"/>
      <c r="Y19" s="6"/>
      <c r="Z19" s="6"/>
      <c r="AA19" s="6"/>
      <c r="AB19" s="6"/>
      <c r="AC19" s="7">
        <f>ROUND(2.75,2)</f>
        <v>2.75</v>
      </c>
      <c r="AD19" s="6"/>
      <c r="AE19" s="6"/>
      <c r="AF19" s="7">
        <f>ROUND(3.62,2)</f>
        <v>3.62</v>
      </c>
      <c r="AG19" s="6"/>
      <c r="AH19" s="7">
        <f>ROUND(88,2)</f>
        <v>88</v>
      </c>
      <c r="AI19" s="6"/>
      <c r="AJ19" s="7">
        <f>ROUND(80,2)</f>
        <v>80</v>
      </c>
      <c r="AK19" s="6"/>
      <c r="AL19" s="7">
        <f>ROUND(8,2)</f>
        <v>8</v>
      </c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7">
        <f>ROUND(2606.28999999999,2)</f>
        <v>2606.29</v>
      </c>
      <c r="CC19" s="6"/>
      <c r="CD19" s="6"/>
      <c r="CE19" s="6"/>
      <c r="CF19" s="6"/>
      <c r="CG19" s="7">
        <f>ROUND(53184.5799999999,2)</f>
        <v>53184.58</v>
      </c>
      <c r="CH19" s="6"/>
      <c r="CI19" s="6"/>
      <c r="CJ19" s="7">
        <f>ROUND(22043.19,2)</f>
        <v>22043.19</v>
      </c>
      <c r="CK19" s="6"/>
      <c r="CL19" s="6"/>
      <c r="CM19" s="6"/>
      <c r="CN19" s="6"/>
      <c r="CO19" s="7">
        <f>ROUND(516.14,2)</f>
        <v>516.14</v>
      </c>
      <c r="CP19" s="6"/>
      <c r="CQ19" s="6"/>
      <c r="CR19" s="6"/>
      <c r="CS19" s="6"/>
      <c r="CT19" s="6"/>
      <c r="CU19" s="6"/>
      <c r="CV19" s="6"/>
      <c r="CW19" s="7">
        <f>ROUND(76.4,2)</f>
        <v>76.400000000000006</v>
      </c>
      <c r="CX19" s="6"/>
      <c r="CY19" s="6"/>
      <c r="CZ19" s="6"/>
      <c r="DA19" s="7">
        <f>ROUND(100.56,2)</f>
        <v>100.56</v>
      </c>
      <c r="DB19" s="6"/>
      <c r="DC19" s="7">
        <f>ROUND(2486.56,2)</f>
        <v>2486.56</v>
      </c>
      <c r="DD19" s="6"/>
      <c r="DE19" s="7">
        <f>ROUND(2222.4,2)</f>
        <v>2222.4</v>
      </c>
      <c r="DF19" s="6"/>
      <c r="DG19" s="6"/>
      <c r="DH19" s="6"/>
      <c r="DI19" s="7">
        <f>ROUND(222.24,2)</f>
        <v>222.24</v>
      </c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7">
        <f>ROUND(1450,2)</f>
        <v>1450</v>
      </c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7">
        <f>ROUND(1250,2)</f>
        <v>1250</v>
      </c>
      <c r="ER19" s="6"/>
      <c r="ES19" s="6"/>
      <c r="ET19" s="6"/>
      <c r="EU19" s="6"/>
      <c r="EV19" s="7">
        <f>ROUND(83552.0699999999,2)</f>
        <v>83552.070000000007</v>
      </c>
    </row>
    <row r="20" spans="1:152">
      <c r="A20" s="4" t="s">
        <v>191</v>
      </c>
      <c r="B20" s="4" t="s">
        <v>1058</v>
      </c>
      <c r="C20" s="5" t="s">
        <v>152</v>
      </c>
      <c r="D20" s="5" t="s">
        <v>192</v>
      </c>
      <c r="E20" s="5" t="s">
        <v>0</v>
      </c>
      <c r="F20" s="5" t="s">
        <v>0</v>
      </c>
      <c r="G20" s="5" t="s">
        <v>155</v>
      </c>
      <c r="H20" s="10">
        <v>30.4</v>
      </c>
      <c r="I20" s="6"/>
      <c r="J20" s="6"/>
      <c r="K20" s="6"/>
      <c r="L20" s="6"/>
      <c r="M20" s="7">
        <f>ROUND(540.979999999999,2)</f>
        <v>540.98</v>
      </c>
      <c r="N20" s="6"/>
      <c r="O20" s="6"/>
      <c r="P20" s="7">
        <f>ROUND(95.69,2)</f>
        <v>95.69</v>
      </c>
      <c r="Q20" s="6"/>
      <c r="R20" s="6"/>
      <c r="S20" s="6"/>
      <c r="T20" s="6"/>
      <c r="U20" s="7">
        <f>ROUND(12.78,2)</f>
        <v>12.78</v>
      </c>
      <c r="V20" s="6"/>
      <c r="W20" s="7">
        <f>ROUND(1,2)</f>
        <v>1</v>
      </c>
      <c r="X20" s="6"/>
      <c r="Y20" s="6"/>
      <c r="Z20" s="6"/>
      <c r="AA20" s="6"/>
      <c r="AB20" s="6"/>
      <c r="AC20" s="7">
        <f>ROUND(137.26,2)</f>
        <v>137.26</v>
      </c>
      <c r="AD20" s="7">
        <f>ROUND(12.79,2)</f>
        <v>12.79</v>
      </c>
      <c r="AE20" s="6"/>
      <c r="AF20" s="7">
        <f>ROUND(67.0399999999999,2)</f>
        <v>67.040000000000006</v>
      </c>
      <c r="AG20" s="7">
        <f>ROUND(1.67,2)</f>
        <v>1.67</v>
      </c>
      <c r="AH20" s="7">
        <f>ROUND(56,2)</f>
        <v>56</v>
      </c>
      <c r="AI20" s="6"/>
      <c r="AJ20" s="7">
        <f>ROUND(24,2)</f>
        <v>24</v>
      </c>
      <c r="AK20" s="6"/>
      <c r="AL20" s="7">
        <f>ROUND(2,2)</f>
        <v>2</v>
      </c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7">
        <f>ROUND(16,2)</f>
        <v>16</v>
      </c>
      <c r="BC20" s="7">
        <f>ROUND(120,2)</f>
        <v>120</v>
      </c>
      <c r="BD20" s="7">
        <f>ROUND(10.05,2)</f>
        <v>10.050000000000001</v>
      </c>
      <c r="BE20" s="7">
        <f>ROUND(4.67,2)</f>
        <v>4.67</v>
      </c>
      <c r="BF20" s="6"/>
      <c r="BG20" s="6"/>
      <c r="BH20" s="7">
        <f>ROUND(32,2)</f>
        <v>32</v>
      </c>
      <c r="BI20" s="6"/>
      <c r="BJ20" s="6"/>
      <c r="BK20" s="7">
        <f>ROUND(1080,2)</f>
        <v>1080</v>
      </c>
      <c r="BL20" s="6"/>
      <c r="BM20" s="7">
        <f>ROUND(35.83,2)</f>
        <v>35.83</v>
      </c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7">
        <f>ROUND(96,2)</f>
        <v>96</v>
      </c>
      <c r="CB20" s="7">
        <f>ROUND(2345.76,2)</f>
        <v>2345.7600000000002</v>
      </c>
      <c r="CC20" s="6"/>
      <c r="CD20" s="6"/>
      <c r="CE20" s="6"/>
      <c r="CF20" s="6"/>
      <c r="CG20" s="7">
        <f>ROUND(15533.81,2)</f>
        <v>15533.81</v>
      </c>
      <c r="CH20" s="6"/>
      <c r="CI20" s="6"/>
      <c r="CJ20" s="7">
        <f>ROUND(4095.69,2)</f>
        <v>4095.69</v>
      </c>
      <c r="CK20" s="6"/>
      <c r="CL20" s="6"/>
      <c r="CM20" s="6"/>
      <c r="CN20" s="6"/>
      <c r="CO20" s="7">
        <f>ROUND(355.03,2)</f>
        <v>355.03</v>
      </c>
      <c r="CP20" s="6"/>
      <c r="CQ20" s="7">
        <f>ROUND(27.83,2)</f>
        <v>27.83</v>
      </c>
      <c r="CR20" s="6"/>
      <c r="CS20" s="6"/>
      <c r="CT20" s="6"/>
      <c r="CU20" s="6"/>
      <c r="CV20" s="6"/>
      <c r="CW20" s="7">
        <f>ROUND(3922.95,2)</f>
        <v>3922.95</v>
      </c>
      <c r="CX20" s="7">
        <f>ROUND(583.22,2)</f>
        <v>583.22</v>
      </c>
      <c r="CY20" s="6"/>
      <c r="CZ20" s="6"/>
      <c r="DA20" s="7">
        <f>ROUND(1883.2,2)</f>
        <v>1883.2</v>
      </c>
      <c r="DB20" s="7">
        <f>ROUND(69.59,2)</f>
        <v>69.59</v>
      </c>
      <c r="DC20" s="7">
        <f>ROUND(1597.6,2)</f>
        <v>1597.6</v>
      </c>
      <c r="DD20" s="6"/>
      <c r="DE20" s="7">
        <f>ROUND(687.68,2)</f>
        <v>687.68</v>
      </c>
      <c r="DF20" s="6"/>
      <c r="DG20" s="6"/>
      <c r="DH20" s="6"/>
      <c r="DI20" s="7">
        <f>ROUND(55.56,2)</f>
        <v>55.56</v>
      </c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7">
        <f>ROUND(150,2)</f>
        <v>150</v>
      </c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7">
        <f>ROUND(216.48,2)</f>
        <v>216.48</v>
      </c>
      <c r="ER20" s="6"/>
      <c r="ES20" s="6"/>
      <c r="ET20" s="6"/>
      <c r="EU20" s="7">
        <f>ROUND(2918.4,2)</f>
        <v>2918.4</v>
      </c>
      <c r="EV20" s="7">
        <f>ROUND(32097.04,2)</f>
        <v>32097.040000000001</v>
      </c>
    </row>
    <row r="21" spans="1:152">
      <c r="A21" s="4" t="s">
        <v>193</v>
      </c>
      <c r="B21" s="4" t="s">
        <v>1058</v>
      </c>
      <c r="C21" s="5" t="s">
        <v>152</v>
      </c>
      <c r="D21" s="5" t="s">
        <v>194</v>
      </c>
      <c r="E21" s="5" t="s">
        <v>0</v>
      </c>
      <c r="F21" s="5" t="s">
        <v>0</v>
      </c>
      <c r="G21" s="5" t="s">
        <v>155</v>
      </c>
      <c r="H21" s="10">
        <v>30.4</v>
      </c>
      <c r="I21" s="6"/>
      <c r="J21" s="6"/>
      <c r="K21" s="6"/>
      <c r="L21" s="6"/>
      <c r="M21" s="7">
        <f>ROUND(1321.6,2)</f>
        <v>1321.6</v>
      </c>
      <c r="N21" s="6"/>
      <c r="O21" s="6"/>
      <c r="P21" s="7">
        <f>ROUND(186.779999999999,2)</f>
        <v>186.78</v>
      </c>
      <c r="Q21" s="6"/>
      <c r="R21" s="6"/>
      <c r="S21" s="6"/>
      <c r="T21" s="7">
        <f>ROUND(2.73,2)</f>
        <v>2.73</v>
      </c>
      <c r="U21" s="6"/>
      <c r="V21" s="6"/>
      <c r="W21" s="7">
        <f>ROUND(4.19999999999999,2)</f>
        <v>4.2</v>
      </c>
      <c r="X21" s="7">
        <f>ROUND(0.33,2)</f>
        <v>0.33</v>
      </c>
      <c r="Y21" s="6"/>
      <c r="Z21" s="6"/>
      <c r="AA21" s="6"/>
      <c r="AB21" s="6"/>
      <c r="AC21" s="7">
        <f>ROUND(81.56,2)</f>
        <v>81.56</v>
      </c>
      <c r="AD21" s="7">
        <f>ROUND(3.27,2)</f>
        <v>3.27</v>
      </c>
      <c r="AE21" s="6"/>
      <c r="AF21" s="7">
        <f>ROUND(334.58,2)</f>
        <v>334.58</v>
      </c>
      <c r="AG21" s="7">
        <f>ROUND(4.32,2)</f>
        <v>4.32</v>
      </c>
      <c r="AH21" s="7">
        <f>ROUND(64,2)</f>
        <v>64</v>
      </c>
      <c r="AI21" s="6"/>
      <c r="AJ21" s="7">
        <f>ROUND(120,2)</f>
        <v>120</v>
      </c>
      <c r="AK21" s="6"/>
      <c r="AL21" s="7">
        <f>ROUND(8,2)</f>
        <v>8</v>
      </c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7">
        <f>ROUND(24,2)</f>
        <v>24</v>
      </c>
      <c r="BC21" s="7">
        <f>ROUND(119,2)</f>
        <v>119</v>
      </c>
      <c r="BD21" s="7">
        <f>ROUND(6.92,2)</f>
        <v>6.92</v>
      </c>
      <c r="BE21" s="7">
        <f>ROUND(1.68,2)</f>
        <v>1.68</v>
      </c>
      <c r="BF21" s="6"/>
      <c r="BG21" s="6"/>
      <c r="BH21" s="7">
        <f>ROUND(16,2)</f>
        <v>16</v>
      </c>
      <c r="BI21" s="6"/>
      <c r="BJ21" s="6"/>
      <c r="BK21" s="6"/>
      <c r="BL21" s="6"/>
      <c r="BM21" s="7">
        <f>ROUND(24,2)</f>
        <v>24</v>
      </c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7">
        <f>ROUND(2322.97,2)</f>
        <v>2322.9699999999998</v>
      </c>
      <c r="CC21" s="6"/>
      <c r="CD21" s="6"/>
      <c r="CE21" s="6"/>
      <c r="CF21" s="6"/>
      <c r="CG21" s="7">
        <f>ROUND(37258.66,2)</f>
        <v>37258.660000000003</v>
      </c>
      <c r="CH21" s="6"/>
      <c r="CI21" s="6"/>
      <c r="CJ21" s="7">
        <f>ROUND(7916.22999999999,2)</f>
        <v>7916.23</v>
      </c>
      <c r="CK21" s="6"/>
      <c r="CL21" s="6"/>
      <c r="CM21" s="6"/>
      <c r="CN21" s="7">
        <f>ROUND(152.5,2)</f>
        <v>152.5</v>
      </c>
      <c r="CO21" s="6"/>
      <c r="CP21" s="6"/>
      <c r="CQ21" s="7">
        <f>ROUND(120.789999999999,2)</f>
        <v>120.79</v>
      </c>
      <c r="CR21" s="7">
        <f>ROUND(13.75,2)</f>
        <v>13.75</v>
      </c>
      <c r="CS21" s="6"/>
      <c r="CT21" s="6"/>
      <c r="CU21" s="6"/>
      <c r="CV21" s="6"/>
      <c r="CW21" s="7">
        <f>ROUND(2380.95,2)</f>
        <v>2380.9499999999998</v>
      </c>
      <c r="CX21" s="7">
        <f>ROUND(149.11,2)</f>
        <v>149.11000000000001</v>
      </c>
      <c r="CY21" s="6"/>
      <c r="CZ21" s="6"/>
      <c r="DA21" s="7">
        <f>ROUND(9414.35,2)</f>
        <v>9414.35</v>
      </c>
      <c r="DB21" s="7">
        <f>ROUND(182.11,2)</f>
        <v>182.11</v>
      </c>
      <c r="DC21" s="7">
        <f>ROUND(1819.84,2)</f>
        <v>1819.84</v>
      </c>
      <c r="DD21" s="6"/>
      <c r="DE21" s="7">
        <f>ROUND(3333.59999999999,2)</f>
        <v>3333.6</v>
      </c>
      <c r="DF21" s="6"/>
      <c r="DG21" s="6"/>
      <c r="DH21" s="6"/>
      <c r="DI21" s="7">
        <f>ROUND(222.24,2)</f>
        <v>222.24</v>
      </c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7">
        <f>ROUND(825,2)</f>
        <v>825</v>
      </c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7">
        <f>ROUND(1250,2)</f>
        <v>1250</v>
      </c>
      <c r="ER21" s="6"/>
      <c r="ES21" s="6"/>
      <c r="ET21" s="6"/>
      <c r="EU21" s="6"/>
      <c r="EV21" s="7">
        <f>ROUND(65039.1299999999,2)</f>
        <v>65039.13</v>
      </c>
    </row>
    <row r="22" spans="1:152">
      <c r="A22" s="4" t="s">
        <v>195</v>
      </c>
      <c r="B22" s="4" t="s">
        <v>1058</v>
      </c>
      <c r="C22" s="5" t="s">
        <v>152</v>
      </c>
      <c r="D22" s="5" t="s">
        <v>173</v>
      </c>
      <c r="E22" s="5" t="s">
        <v>0</v>
      </c>
      <c r="F22" s="5" t="s">
        <v>0</v>
      </c>
      <c r="G22" s="5" t="s">
        <v>155</v>
      </c>
      <c r="H22" s="10">
        <v>24.32</v>
      </c>
      <c r="I22" s="6"/>
      <c r="J22" s="6"/>
      <c r="K22" s="6"/>
      <c r="L22" s="6"/>
      <c r="M22" s="7">
        <f>ROUND(234.409999999999,2)</f>
        <v>234.41</v>
      </c>
      <c r="N22" s="6"/>
      <c r="O22" s="6"/>
      <c r="P22" s="6"/>
      <c r="Q22" s="6"/>
      <c r="R22" s="6"/>
      <c r="S22" s="6"/>
      <c r="T22" s="6"/>
      <c r="U22" s="6"/>
      <c r="V22" s="6"/>
      <c r="W22" s="7">
        <f>ROUND(0.98,2)</f>
        <v>0.98</v>
      </c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7">
        <f>ROUND(10,2)</f>
        <v>10</v>
      </c>
      <c r="AI22" s="6"/>
      <c r="AJ22" s="6"/>
      <c r="AK22" s="6"/>
      <c r="AL22" s="7">
        <f>ROUND(238.68,2)</f>
        <v>238.68</v>
      </c>
      <c r="AM22" s="6"/>
      <c r="AN22" s="7">
        <f>ROUND(21.68,2)</f>
        <v>21.68</v>
      </c>
      <c r="AO22" s="6"/>
      <c r="AP22" s="6"/>
      <c r="AQ22" s="6"/>
      <c r="AR22" s="6"/>
      <c r="AS22" s="6"/>
      <c r="AT22" s="6"/>
      <c r="AU22" s="6"/>
      <c r="AV22" s="6"/>
      <c r="AW22" s="6"/>
      <c r="AX22" s="7">
        <f>ROUND(10.33,2)</f>
        <v>10.33</v>
      </c>
      <c r="AY22" s="6"/>
      <c r="AZ22" s="6"/>
      <c r="BA22" s="6"/>
      <c r="BB22" s="6"/>
      <c r="BC22" s="6"/>
      <c r="BD22" s="6"/>
      <c r="BE22" s="7">
        <f>ROUND(5,2)</f>
        <v>5</v>
      </c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7">
        <f>ROUND(24,2)</f>
        <v>24</v>
      </c>
      <c r="CB22" s="7">
        <f>ROUND(545.08,2)</f>
        <v>545.08000000000004</v>
      </c>
      <c r="CC22" s="6"/>
      <c r="CD22" s="6"/>
      <c r="CE22" s="6"/>
      <c r="CF22" s="6"/>
      <c r="CG22" s="7">
        <f>ROUND(5027.46,2)</f>
        <v>5027.46</v>
      </c>
      <c r="CH22" s="6"/>
      <c r="CI22" s="6"/>
      <c r="CJ22" s="6"/>
      <c r="CK22" s="6"/>
      <c r="CL22" s="6"/>
      <c r="CM22" s="6"/>
      <c r="CN22" s="6"/>
      <c r="CO22" s="6"/>
      <c r="CP22" s="6"/>
      <c r="CQ22" s="7">
        <f>ROUND(17.15,2)</f>
        <v>17.149999999999999</v>
      </c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7">
        <f>ROUND(225.78,2)</f>
        <v>225.78</v>
      </c>
      <c r="DD22" s="6"/>
      <c r="DE22" s="6"/>
      <c r="DF22" s="6"/>
      <c r="DG22" s="6"/>
      <c r="DH22" s="6"/>
      <c r="DI22" s="7">
        <f>ROUND(4176.9,2)</f>
        <v>4176.8999999999996</v>
      </c>
      <c r="DJ22" s="6"/>
      <c r="DK22" s="7">
        <f>ROUND(569.11,2)</f>
        <v>569.11</v>
      </c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7">
        <f>ROUND(251.23,2)</f>
        <v>251.23</v>
      </c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7">
        <f>ROUND(196.8,2)</f>
        <v>196.8</v>
      </c>
      <c r="ER22" s="6"/>
      <c r="ES22" s="6"/>
      <c r="ET22" s="6"/>
      <c r="EU22" s="7">
        <f>ROUND(583.68,2)</f>
        <v>583.67999999999995</v>
      </c>
      <c r="EV22" s="7">
        <f>ROUND(11048.11,2)</f>
        <v>11048.11</v>
      </c>
    </row>
    <row r="23" spans="1:152">
      <c r="A23" s="4" t="s">
        <v>196</v>
      </c>
      <c r="B23" s="4" t="s">
        <v>1058</v>
      </c>
      <c r="C23" s="5" t="s">
        <v>152</v>
      </c>
      <c r="D23" s="5" t="s">
        <v>197</v>
      </c>
      <c r="E23" s="5" t="s">
        <v>0</v>
      </c>
      <c r="F23" s="5" t="s">
        <v>0</v>
      </c>
      <c r="G23" s="5" t="s">
        <v>155</v>
      </c>
      <c r="H23" s="10">
        <v>30.4</v>
      </c>
      <c r="I23" s="6"/>
      <c r="J23" s="6"/>
      <c r="K23" s="6"/>
      <c r="L23" s="6"/>
      <c r="M23" s="7">
        <f>ROUND(1522.09,2)</f>
        <v>1522.09</v>
      </c>
      <c r="N23" s="6"/>
      <c r="O23" s="6"/>
      <c r="P23" s="7">
        <f>ROUND(169.7,2)</f>
        <v>169.7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7">
        <f>ROUND(88,2)</f>
        <v>88</v>
      </c>
      <c r="AI23" s="6"/>
      <c r="AJ23" s="7">
        <f>ROUND(120,2)</f>
        <v>120</v>
      </c>
      <c r="AK23" s="6"/>
      <c r="AL23" s="7">
        <f>ROUND(8.5,2)</f>
        <v>8.5</v>
      </c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7">
        <f>ROUND(16,2)</f>
        <v>16</v>
      </c>
      <c r="BC23" s="7">
        <f>ROUND(296,2)</f>
        <v>296</v>
      </c>
      <c r="BD23" s="6"/>
      <c r="BE23" s="6"/>
      <c r="BF23" s="6"/>
      <c r="BG23" s="6"/>
      <c r="BH23" s="7">
        <f>ROUND(8,2)</f>
        <v>8</v>
      </c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7">
        <f>ROUND(2228.29,2)</f>
        <v>2228.29</v>
      </c>
      <c r="CC23" s="6"/>
      <c r="CD23" s="6"/>
      <c r="CE23" s="6"/>
      <c r="CF23" s="6"/>
      <c r="CG23" s="7">
        <f>ROUND(43203.66,2)</f>
        <v>43203.66</v>
      </c>
      <c r="CH23" s="6"/>
      <c r="CI23" s="6"/>
      <c r="CJ23" s="7">
        <f>ROUND(7197.76999999999,2)</f>
        <v>7197.77</v>
      </c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7">
        <f>ROUND(2486.56,2)</f>
        <v>2486.56</v>
      </c>
      <c r="DD23" s="6"/>
      <c r="DE23" s="7">
        <f>ROUND(3333.59999999999,2)</f>
        <v>3333.6</v>
      </c>
      <c r="DF23" s="6"/>
      <c r="DG23" s="6"/>
      <c r="DH23" s="6"/>
      <c r="DI23" s="7">
        <f>ROUND(236.13,2)</f>
        <v>236.13</v>
      </c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7">
        <f>ROUND(975,2)</f>
        <v>975</v>
      </c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7">
        <f>ROUND(1250,2)</f>
        <v>1250</v>
      </c>
      <c r="ER23" s="6"/>
      <c r="ES23" s="6"/>
      <c r="ET23" s="6"/>
      <c r="EU23" s="6"/>
      <c r="EV23" s="7">
        <f>ROUND(58682.7199999999,2)</f>
        <v>58682.720000000001</v>
      </c>
    </row>
    <row r="24" spans="1:152">
      <c r="A24" s="4" t="s">
        <v>198</v>
      </c>
      <c r="B24" s="4" t="s">
        <v>1058</v>
      </c>
      <c r="C24" s="5" t="s">
        <v>152</v>
      </c>
      <c r="D24" s="5" t="s">
        <v>199</v>
      </c>
      <c r="E24" s="5" t="s">
        <v>0</v>
      </c>
      <c r="F24" s="5" t="s">
        <v>200</v>
      </c>
      <c r="G24" s="5" t="s">
        <v>155</v>
      </c>
      <c r="H24" s="10">
        <v>25.84</v>
      </c>
      <c r="I24" s="6"/>
      <c r="J24" s="6"/>
      <c r="K24" s="6"/>
      <c r="L24" s="6"/>
      <c r="M24" s="7">
        <f>ROUND(309.219999999999,2)</f>
        <v>309.22000000000003</v>
      </c>
      <c r="N24" s="6"/>
      <c r="O24" s="6"/>
      <c r="P24" s="7">
        <f>ROUND(2.4,2)</f>
        <v>2.4</v>
      </c>
      <c r="Q24" s="6"/>
      <c r="R24" s="6"/>
      <c r="S24" s="6"/>
      <c r="T24" s="6"/>
      <c r="U24" s="7">
        <f>ROUND(0.58,2)</f>
        <v>0.57999999999999996</v>
      </c>
      <c r="V24" s="7">
        <f>ROUND(11.87,2)</f>
        <v>11.87</v>
      </c>
      <c r="W24" s="7">
        <f>ROUND(1,2)</f>
        <v>1</v>
      </c>
      <c r="X24" s="7">
        <f>ROUND(0.5,2)</f>
        <v>0.5</v>
      </c>
      <c r="Y24" s="6"/>
      <c r="Z24" s="6"/>
      <c r="AA24" s="6"/>
      <c r="AB24" s="6"/>
      <c r="AC24" s="7">
        <f>ROUND(82.72,2)</f>
        <v>82.72</v>
      </c>
      <c r="AD24" s="6"/>
      <c r="AE24" s="6"/>
      <c r="AF24" s="7">
        <f>ROUND(110.16,2)</f>
        <v>110.16</v>
      </c>
      <c r="AG24" s="7">
        <f>ROUND(12.86,2)</f>
        <v>12.86</v>
      </c>
      <c r="AH24" s="7">
        <f>ROUND(37,2)</f>
        <v>37</v>
      </c>
      <c r="AI24" s="6"/>
      <c r="AJ24" s="6"/>
      <c r="AK24" s="6"/>
      <c r="AL24" s="7">
        <f>ROUND(104,2)</f>
        <v>104</v>
      </c>
      <c r="AM24" s="6"/>
      <c r="AN24" s="7">
        <f>ROUND(4.43,2)</f>
        <v>4.43</v>
      </c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7">
        <f>ROUND(23,2)</f>
        <v>23</v>
      </c>
      <c r="BF24" s="6"/>
      <c r="BG24" s="6"/>
      <c r="BH24" s="6"/>
      <c r="BI24" s="6"/>
      <c r="BJ24" s="7">
        <f>ROUND(8,2)</f>
        <v>8</v>
      </c>
      <c r="BK24" s="6"/>
      <c r="BL24" s="6"/>
      <c r="BM24" s="7">
        <f>ROUND(26,2)</f>
        <v>26</v>
      </c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7">
        <f>ROUND(24,2)</f>
        <v>24</v>
      </c>
      <c r="CB24" s="7">
        <f>ROUND(757.739999999999,2)</f>
        <v>757.74</v>
      </c>
      <c r="CC24" s="6"/>
      <c r="CD24" s="6"/>
      <c r="CE24" s="6"/>
      <c r="CF24" s="6"/>
      <c r="CG24" s="7">
        <f>ROUND(6877.26999999999,2)</f>
        <v>6877.27</v>
      </c>
      <c r="CH24" s="6"/>
      <c r="CI24" s="6"/>
      <c r="CJ24" s="7">
        <f>ROUND(87.55,2)</f>
        <v>87.55</v>
      </c>
      <c r="CK24" s="6"/>
      <c r="CL24" s="6"/>
      <c r="CM24" s="6"/>
      <c r="CN24" s="6"/>
      <c r="CO24" s="7">
        <f>ROUND(14.19,2)</f>
        <v>14.19</v>
      </c>
      <c r="CP24" s="7">
        <f>ROUND(401.61,2)</f>
        <v>401.61</v>
      </c>
      <c r="CQ24" s="7">
        <f>ROUND(24.48,2)</f>
        <v>24.48</v>
      </c>
      <c r="CR24" s="7">
        <f>ROUND(18.24,2)</f>
        <v>18.239999999999998</v>
      </c>
      <c r="CS24" s="6"/>
      <c r="CT24" s="6"/>
      <c r="CU24" s="6"/>
      <c r="CV24" s="6"/>
      <c r="CW24" s="7">
        <f>ROUND(1824.26999999999,2)</f>
        <v>1824.27</v>
      </c>
      <c r="CX24" s="6"/>
      <c r="CY24" s="6"/>
      <c r="CZ24" s="6"/>
      <c r="DA24" s="7">
        <f>ROUND(2549.56999999999,2)</f>
        <v>2549.5700000000002</v>
      </c>
      <c r="DB24" s="7">
        <f>ROUND(453.989999999999,2)</f>
        <v>453.99</v>
      </c>
      <c r="DC24" s="7">
        <f>ROUND(882.42,2)</f>
        <v>882.42</v>
      </c>
      <c r="DD24" s="6"/>
      <c r="DE24" s="6"/>
      <c r="DF24" s="6"/>
      <c r="DG24" s="6"/>
      <c r="DH24" s="6"/>
      <c r="DI24" s="7">
        <f>ROUND(1820,2)</f>
        <v>1820</v>
      </c>
      <c r="DJ24" s="6"/>
      <c r="DK24" s="7">
        <f>ROUND(116.289999999999,2)</f>
        <v>116.29</v>
      </c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7">
        <f>ROUND(619.92,2)</f>
        <v>619.91999999999996</v>
      </c>
      <c r="ER24" s="6"/>
      <c r="ES24" s="6"/>
      <c r="ET24" s="6"/>
      <c r="EU24" s="7">
        <f>ROUND(583.68,2)</f>
        <v>583.67999999999995</v>
      </c>
      <c r="EV24" s="7">
        <f>ROUND(16273.48,2)</f>
        <v>16273.48</v>
      </c>
    </row>
    <row r="25" spans="1:152" ht="24">
      <c r="A25" s="4" t="s">
        <v>201</v>
      </c>
      <c r="B25" s="4"/>
      <c r="C25" s="5" t="s">
        <v>178</v>
      </c>
      <c r="D25" s="5" t="s">
        <v>202</v>
      </c>
      <c r="E25" s="5" t="s">
        <v>0</v>
      </c>
      <c r="F25" s="5" t="s">
        <v>0</v>
      </c>
      <c r="G25" s="5" t="s">
        <v>180</v>
      </c>
      <c r="H25" s="10">
        <v>23.22</v>
      </c>
      <c r="I25" s="7">
        <f>ROUND(1743.5,2)</f>
        <v>1743.5</v>
      </c>
      <c r="J25" s="7">
        <f>ROUND(200.5,2)</f>
        <v>200.5</v>
      </c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7">
        <f>ROUND(8,2)</f>
        <v>8</v>
      </c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7">
        <f>ROUND(32,2)</f>
        <v>32</v>
      </c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7">
        <f>ROUND(24,2)</f>
        <v>24</v>
      </c>
      <c r="BU25" s="7">
        <f>ROUND(32,2)</f>
        <v>32</v>
      </c>
      <c r="BV25" s="7">
        <f>ROUND(18,2)</f>
        <v>18</v>
      </c>
      <c r="BW25" s="6"/>
      <c r="BX25" s="7">
        <f>ROUND(16,2)</f>
        <v>16</v>
      </c>
      <c r="BY25" s="7">
        <f>ROUND(208,2)</f>
        <v>208</v>
      </c>
      <c r="BZ25" s="6"/>
      <c r="CA25" s="6"/>
      <c r="CB25" s="7">
        <f>ROUND(2282,2)</f>
        <v>2282</v>
      </c>
      <c r="CC25" s="7">
        <f>ROUND(38585.06,2)</f>
        <v>38585.06</v>
      </c>
      <c r="CD25" s="7">
        <f>ROUND(6692.02,2)</f>
        <v>6692.02</v>
      </c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7">
        <f>ROUND(175.04,2)</f>
        <v>175.04</v>
      </c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7">
        <f>ROUND(710.88,2)</f>
        <v>710.88</v>
      </c>
      <c r="EE25" s="7">
        <f>ROUND(2229.12,2)</f>
        <v>2229.12</v>
      </c>
      <c r="EF25" s="6"/>
      <c r="EG25" s="7">
        <f>ROUND(525.12,2)</f>
        <v>525.12</v>
      </c>
      <c r="EH25" s="7">
        <f>ROUND(700.16,2)</f>
        <v>700.16</v>
      </c>
      <c r="EI25" s="7">
        <f>ROUND(609.86,2)</f>
        <v>609.86</v>
      </c>
      <c r="EJ25" s="6"/>
      <c r="EK25" s="6"/>
      <c r="EL25" s="6"/>
      <c r="EM25" s="6"/>
      <c r="EN25" s="7">
        <f>ROUND(350.08,2)</f>
        <v>350.08</v>
      </c>
      <c r="EO25" s="6"/>
      <c r="EP25" s="6"/>
      <c r="EQ25" s="6"/>
      <c r="ER25" s="6"/>
      <c r="ES25" s="7">
        <f>ROUND(5885.11999999999,2)</f>
        <v>5885.12</v>
      </c>
      <c r="ET25" s="6"/>
      <c r="EU25" s="6"/>
      <c r="EV25" s="7">
        <f>ROUND(56462.46,2)</f>
        <v>56462.46</v>
      </c>
    </row>
    <row r="26" spans="1:152">
      <c r="A26" s="4" t="s">
        <v>203</v>
      </c>
      <c r="B26" s="4" t="s">
        <v>1058</v>
      </c>
      <c r="C26" s="5" t="s">
        <v>152</v>
      </c>
      <c r="D26" s="5" t="s">
        <v>204</v>
      </c>
      <c r="E26" s="5" t="s">
        <v>0</v>
      </c>
      <c r="F26" s="5" t="s">
        <v>0</v>
      </c>
      <c r="G26" s="5" t="s">
        <v>155</v>
      </c>
      <c r="H26" s="10">
        <v>30.4</v>
      </c>
      <c r="I26" s="6"/>
      <c r="J26" s="6"/>
      <c r="K26" s="6"/>
      <c r="L26" s="6"/>
      <c r="M26" s="7">
        <f>ROUND(232.4,2)</f>
        <v>232.4</v>
      </c>
      <c r="N26" s="6"/>
      <c r="O26" s="6"/>
      <c r="P26" s="7">
        <f>ROUND(20.68,2)</f>
        <v>20.68</v>
      </c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7">
        <f>ROUND(1535.6,2)</f>
        <v>1535.6</v>
      </c>
      <c r="AD26" s="7">
        <f>ROUND(56.4,2)</f>
        <v>56.4</v>
      </c>
      <c r="AE26" s="6"/>
      <c r="AF26" s="6"/>
      <c r="AG26" s="6"/>
      <c r="AH26" s="7">
        <f>ROUND(88,2)</f>
        <v>88</v>
      </c>
      <c r="AI26" s="6"/>
      <c r="AJ26" s="7">
        <f>ROUND(200,2)</f>
        <v>200</v>
      </c>
      <c r="AK26" s="6"/>
      <c r="AL26" s="7">
        <f>ROUND(8,2)</f>
        <v>8</v>
      </c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7">
        <f>ROUND(16,2)</f>
        <v>16</v>
      </c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7">
        <f>ROUND(8,2)</f>
        <v>8</v>
      </c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7">
        <f>ROUND(2165.08,2)</f>
        <v>2165.08</v>
      </c>
      <c r="CC26" s="6"/>
      <c r="CD26" s="6"/>
      <c r="CE26" s="6"/>
      <c r="CF26" s="6"/>
      <c r="CG26" s="7">
        <f>ROUND(6459.49,2)</f>
        <v>6459.49</v>
      </c>
      <c r="CH26" s="6"/>
      <c r="CI26" s="6"/>
      <c r="CJ26" s="7">
        <f>ROUND(864.42,2)</f>
        <v>864.42</v>
      </c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7">
        <f>ROUND(43287.77,2)</f>
        <v>43287.77</v>
      </c>
      <c r="CX26" s="7">
        <f>ROUND(2381.63,2)</f>
        <v>2381.63</v>
      </c>
      <c r="CY26" s="6"/>
      <c r="CZ26" s="6"/>
      <c r="DA26" s="6"/>
      <c r="DB26" s="6"/>
      <c r="DC26" s="7">
        <f>ROUND(2528.48,2)</f>
        <v>2528.48</v>
      </c>
      <c r="DD26" s="6"/>
      <c r="DE26" s="7">
        <f>ROUND(5576.95999999999,2)</f>
        <v>5576.96</v>
      </c>
      <c r="DF26" s="6"/>
      <c r="DG26" s="6"/>
      <c r="DH26" s="6"/>
      <c r="DI26" s="7">
        <f>ROUND(222.24,2)</f>
        <v>222.24</v>
      </c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7">
        <f>ROUND(1350,2)</f>
        <v>1350</v>
      </c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7">
        <f>ROUND(1250,2)</f>
        <v>1250</v>
      </c>
      <c r="ER26" s="6"/>
      <c r="ES26" s="6"/>
      <c r="ET26" s="6"/>
      <c r="EU26" s="6"/>
      <c r="EV26" s="7">
        <f>ROUND(63920.9899999999,2)</f>
        <v>63920.99</v>
      </c>
    </row>
    <row r="27" spans="1:152">
      <c r="A27" s="4" t="s">
        <v>205</v>
      </c>
      <c r="B27" s="4" t="s">
        <v>1058</v>
      </c>
      <c r="C27" s="5" t="s">
        <v>152</v>
      </c>
      <c r="D27" s="5" t="s">
        <v>153</v>
      </c>
      <c r="E27" s="5" t="s">
        <v>0</v>
      </c>
      <c r="F27" s="5" t="s">
        <v>0</v>
      </c>
      <c r="G27" s="5" t="s">
        <v>155</v>
      </c>
      <c r="H27" s="10">
        <v>30.4</v>
      </c>
      <c r="I27" s="6"/>
      <c r="J27" s="6"/>
      <c r="K27" s="6"/>
      <c r="L27" s="6"/>
      <c r="M27" s="7">
        <f>ROUND(1019.7,2)</f>
        <v>1019.7</v>
      </c>
      <c r="N27" s="6"/>
      <c r="O27" s="6"/>
      <c r="P27" s="7">
        <f>ROUND(130.25,2)</f>
        <v>130.25</v>
      </c>
      <c r="Q27" s="6"/>
      <c r="R27" s="6"/>
      <c r="S27" s="6"/>
      <c r="T27" s="6"/>
      <c r="U27" s="7">
        <f>ROUND(77.31,2)</f>
        <v>77.31</v>
      </c>
      <c r="V27" s="7">
        <f>ROUND(14.4,2)</f>
        <v>14.4</v>
      </c>
      <c r="W27" s="7">
        <f>ROUND(13.15,2)</f>
        <v>13.15</v>
      </c>
      <c r="X27" s="7">
        <f>ROUND(2.23,2)</f>
        <v>2.23</v>
      </c>
      <c r="Y27" s="6"/>
      <c r="Z27" s="6"/>
      <c r="AA27" s="6"/>
      <c r="AB27" s="6"/>
      <c r="AC27" s="7">
        <f>ROUND(154.839999999999,2)</f>
        <v>154.84</v>
      </c>
      <c r="AD27" s="7">
        <f>ROUND(5,2)</f>
        <v>5</v>
      </c>
      <c r="AE27" s="6"/>
      <c r="AF27" s="7">
        <f>ROUND(474.61,2)</f>
        <v>474.61</v>
      </c>
      <c r="AG27" s="7">
        <f>ROUND(48.5199999999999,2)</f>
        <v>48.52</v>
      </c>
      <c r="AH27" s="7">
        <f>ROUND(88,2)</f>
        <v>88</v>
      </c>
      <c r="AI27" s="6"/>
      <c r="AJ27" s="7">
        <f>ROUND(80,2)</f>
        <v>80</v>
      </c>
      <c r="AK27" s="6"/>
      <c r="AL27" s="7">
        <f>ROUND(8.5,2)</f>
        <v>8.5</v>
      </c>
      <c r="AM27" s="6"/>
      <c r="AN27" s="6"/>
      <c r="AO27" s="6"/>
      <c r="AP27" s="7">
        <f>ROUND(41.15,2)</f>
        <v>41.15</v>
      </c>
      <c r="AQ27" s="6"/>
      <c r="AR27" s="6"/>
      <c r="AS27" s="6"/>
      <c r="AT27" s="6"/>
      <c r="AU27" s="6"/>
      <c r="AV27" s="7">
        <f>ROUND(13.67,2)</f>
        <v>13.67</v>
      </c>
      <c r="AW27" s="6"/>
      <c r="AX27" s="6"/>
      <c r="AY27" s="6"/>
      <c r="AZ27" s="6"/>
      <c r="BA27" s="6"/>
      <c r="BB27" s="7">
        <f>ROUND(8,2)</f>
        <v>8</v>
      </c>
      <c r="BC27" s="7">
        <f>ROUND(96,2)</f>
        <v>96</v>
      </c>
      <c r="BD27" s="6"/>
      <c r="BE27" s="7">
        <f>ROUND(8,2)</f>
        <v>8</v>
      </c>
      <c r="BF27" s="6"/>
      <c r="BG27" s="7">
        <f>ROUND(32.75,2)</f>
        <v>32.75</v>
      </c>
      <c r="BH27" s="6"/>
      <c r="BI27" s="6"/>
      <c r="BJ27" s="6"/>
      <c r="BK27" s="6"/>
      <c r="BL27" s="6"/>
      <c r="BM27" s="7">
        <f>ROUND(8,2)</f>
        <v>8</v>
      </c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7">
        <f>ROUND(2324.08,2)</f>
        <v>2324.08</v>
      </c>
      <c r="CC27" s="6"/>
      <c r="CD27" s="6"/>
      <c r="CE27" s="6"/>
      <c r="CF27" s="6"/>
      <c r="CG27" s="7">
        <f>ROUND(24553.01,2)</f>
        <v>24553.01</v>
      </c>
      <c r="CH27" s="6"/>
      <c r="CI27" s="6"/>
      <c r="CJ27" s="7">
        <f>ROUND(4712.67,2)</f>
        <v>4712.67</v>
      </c>
      <c r="CK27" s="6"/>
      <c r="CL27" s="6"/>
      <c r="CM27" s="6"/>
      <c r="CN27" s="6"/>
      <c r="CO27" s="7">
        <f>ROUND(1809.53,2)</f>
        <v>1809.53</v>
      </c>
      <c r="CP27" s="7">
        <f>ROUND(504.979999999999,2)</f>
        <v>504.98</v>
      </c>
      <c r="CQ27" s="7">
        <f>ROUND(311.089999999999,2)</f>
        <v>311.08999999999997</v>
      </c>
      <c r="CR27" s="7">
        <f>ROUND(78.05,2)</f>
        <v>78.05</v>
      </c>
      <c r="CS27" s="6"/>
      <c r="CT27" s="6"/>
      <c r="CU27" s="6"/>
      <c r="CV27" s="6"/>
      <c r="CW27" s="7">
        <f>ROUND(3713.64999999999,2)</f>
        <v>3713.65</v>
      </c>
      <c r="CX27" s="7">
        <f>ROUND(183.92,2)</f>
        <v>183.92</v>
      </c>
      <c r="CY27" s="6"/>
      <c r="CZ27" s="6"/>
      <c r="DA27" s="7">
        <f>ROUND(11770.08,2)</f>
        <v>11770.08</v>
      </c>
      <c r="DB27" s="7">
        <f>ROUND(1764.42,2)</f>
        <v>1764.42</v>
      </c>
      <c r="DC27" s="7">
        <f>ROUND(2166.52,2)</f>
        <v>2166.52</v>
      </c>
      <c r="DD27" s="6"/>
      <c r="DE27" s="7">
        <f>ROUND(1923.32,2)</f>
        <v>1923.32</v>
      </c>
      <c r="DF27" s="6"/>
      <c r="DG27" s="6"/>
      <c r="DH27" s="6"/>
      <c r="DI27" s="7">
        <f>ROUND(198.35,2)</f>
        <v>198.35</v>
      </c>
      <c r="DJ27" s="6"/>
      <c r="DK27" s="6"/>
      <c r="DL27" s="6"/>
      <c r="DM27" s="7">
        <f>ROUND(1250.96,2)</f>
        <v>1250.96</v>
      </c>
      <c r="DN27" s="6"/>
      <c r="DO27" s="6"/>
      <c r="DP27" s="6"/>
      <c r="DQ27" s="6"/>
      <c r="DR27" s="6"/>
      <c r="DS27" s="6"/>
      <c r="DT27" s="6"/>
      <c r="DU27" s="6"/>
      <c r="DV27" s="6"/>
      <c r="DW27" s="7">
        <f>ROUND(318.99,2)</f>
        <v>318.99</v>
      </c>
      <c r="DX27" s="6"/>
      <c r="DY27" s="6"/>
      <c r="DZ27" s="6"/>
      <c r="EA27" s="6"/>
      <c r="EB27" s="6"/>
      <c r="EC27" s="6"/>
      <c r="ED27" s="6"/>
      <c r="EE27" s="7">
        <f>ROUND(900,2)</f>
        <v>900</v>
      </c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7">
        <f>ROUND(1092.24,2)</f>
        <v>1092.24</v>
      </c>
      <c r="ER27" s="6"/>
      <c r="ES27" s="6"/>
      <c r="ET27" s="6"/>
      <c r="EU27" s="6"/>
      <c r="EV27" s="7">
        <f>ROUND(57251.78,2)</f>
        <v>57251.78</v>
      </c>
    </row>
    <row r="28" spans="1:152">
      <c r="A28" s="4" t="s">
        <v>206</v>
      </c>
      <c r="B28" s="4" t="s">
        <v>1058</v>
      </c>
      <c r="C28" s="5" t="s">
        <v>152</v>
      </c>
      <c r="D28" s="5" t="s">
        <v>207</v>
      </c>
      <c r="E28" s="5" t="s">
        <v>0</v>
      </c>
      <c r="F28" s="5" t="s">
        <v>0</v>
      </c>
      <c r="G28" s="5" t="s">
        <v>155</v>
      </c>
      <c r="H28" s="10">
        <v>30.4</v>
      </c>
      <c r="I28" s="6"/>
      <c r="J28" s="6"/>
      <c r="K28" s="6"/>
      <c r="L28" s="6"/>
      <c r="M28" s="7">
        <f>ROUND(1689.11,2)</f>
        <v>1689.11</v>
      </c>
      <c r="N28" s="6"/>
      <c r="O28" s="6"/>
      <c r="P28" s="7">
        <f>ROUND(307.64,2)</f>
        <v>307.64</v>
      </c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7">
        <f>ROUND(80,2)</f>
        <v>80</v>
      </c>
      <c r="AI28" s="6"/>
      <c r="AJ28" s="7">
        <f>ROUND(200,2)</f>
        <v>200</v>
      </c>
      <c r="AK28" s="6"/>
      <c r="AL28" s="7">
        <f>ROUND(10.67,2)</f>
        <v>10.67</v>
      </c>
      <c r="AM28" s="7">
        <f>ROUND(1.63,2)</f>
        <v>1.63</v>
      </c>
      <c r="AN28" s="7">
        <f>ROUND(6,2)</f>
        <v>6</v>
      </c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7">
        <f>ROUND(32,2)</f>
        <v>32</v>
      </c>
      <c r="BC28" s="7">
        <f>ROUND(24,2)</f>
        <v>24</v>
      </c>
      <c r="BD28" s="6"/>
      <c r="BE28" s="7">
        <f>ROUND(48,2)</f>
        <v>48</v>
      </c>
      <c r="BF28" s="6"/>
      <c r="BG28" s="6"/>
      <c r="BH28" s="7">
        <f>ROUND(8,2)</f>
        <v>8</v>
      </c>
      <c r="BI28" s="6"/>
      <c r="BJ28" s="6"/>
      <c r="BK28" s="6"/>
      <c r="BL28" s="7">
        <f>ROUND(21.42,2)</f>
        <v>21.42</v>
      </c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7">
        <f>ROUND(2428.47,2)</f>
        <v>2428.4699999999998</v>
      </c>
      <c r="CC28" s="6"/>
      <c r="CD28" s="6"/>
      <c r="CE28" s="6"/>
      <c r="CF28" s="6"/>
      <c r="CG28" s="7">
        <f>ROUND(47592.1099999999,2)</f>
        <v>47592.11</v>
      </c>
      <c r="CH28" s="6"/>
      <c r="CI28" s="6"/>
      <c r="CJ28" s="7">
        <f>ROUND(12971.3,2)</f>
        <v>12971.3</v>
      </c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7">
        <f>ROUND(2264.32,2)</f>
        <v>2264.3200000000002</v>
      </c>
      <c r="DD28" s="6"/>
      <c r="DE28" s="7">
        <f>ROUND(5556,2)</f>
        <v>5556</v>
      </c>
      <c r="DF28" s="6"/>
      <c r="DG28" s="6"/>
      <c r="DH28" s="6"/>
      <c r="DI28" s="7">
        <f>ROUND(312.13,2)</f>
        <v>312.13</v>
      </c>
      <c r="DJ28" s="7">
        <f>ROUND(45.28,2)</f>
        <v>45.28</v>
      </c>
      <c r="DK28" s="7">
        <f>ROUND(260.51,2)</f>
        <v>260.51</v>
      </c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7">
        <f>ROUND(1200,2)</f>
        <v>1200</v>
      </c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7">
        <f>ROUND(1131.6,2)</f>
        <v>1131.5999999999999</v>
      </c>
      <c r="ER28" s="6"/>
      <c r="ES28" s="6"/>
      <c r="ET28" s="6"/>
      <c r="EU28" s="6"/>
      <c r="EV28" s="7">
        <f>ROUND(71333.25,2)</f>
        <v>71333.25</v>
      </c>
    </row>
    <row r="29" spans="1:152">
      <c r="A29" s="4" t="s">
        <v>208</v>
      </c>
      <c r="B29" s="4" t="s">
        <v>1058</v>
      </c>
      <c r="C29" s="5" t="s">
        <v>152</v>
      </c>
      <c r="D29" s="5" t="s">
        <v>209</v>
      </c>
      <c r="E29" s="5" t="s">
        <v>0</v>
      </c>
      <c r="F29" s="5" t="s">
        <v>0</v>
      </c>
      <c r="G29" s="5" t="s">
        <v>155</v>
      </c>
      <c r="H29" s="10">
        <v>30.4</v>
      </c>
      <c r="I29" s="6"/>
      <c r="J29" s="6"/>
      <c r="K29" s="6"/>
      <c r="L29" s="6"/>
      <c r="M29" s="7">
        <f>ROUND(1808.02,2)</f>
        <v>1808.02</v>
      </c>
      <c r="N29" s="6"/>
      <c r="O29" s="6"/>
      <c r="P29" s="7">
        <f>ROUND(223.82,2)</f>
        <v>223.82</v>
      </c>
      <c r="Q29" s="6"/>
      <c r="R29" s="6"/>
      <c r="S29" s="6"/>
      <c r="T29" s="6"/>
      <c r="U29" s="6"/>
      <c r="V29" s="6"/>
      <c r="W29" s="7">
        <f>ROUND(0.75,2)</f>
        <v>0.75</v>
      </c>
      <c r="X29" s="6"/>
      <c r="Y29" s="6"/>
      <c r="Z29" s="6"/>
      <c r="AA29" s="6"/>
      <c r="AB29" s="6"/>
      <c r="AC29" s="7">
        <f>ROUND(104.55,2)</f>
        <v>104.55</v>
      </c>
      <c r="AD29" s="7">
        <f>ROUND(7.45,2)</f>
        <v>7.45</v>
      </c>
      <c r="AE29" s="6"/>
      <c r="AF29" s="6"/>
      <c r="AG29" s="6"/>
      <c r="AH29" s="7">
        <f>ROUND(88,2)</f>
        <v>88</v>
      </c>
      <c r="AI29" s="6"/>
      <c r="AJ29" s="7">
        <f>ROUND(56,2)</f>
        <v>56</v>
      </c>
      <c r="AK29" s="6"/>
      <c r="AL29" s="7">
        <f>ROUND(8.5,2)</f>
        <v>8.5</v>
      </c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7">
        <f>ROUND(24,2)</f>
        <v>24</v>
      </c>
      <c r="BC29" s="7">
        <f>ROUND(8,2)</f>
        <v>8</v>
      </c>
      <c r="BD29" s="7">
        <f>ROUND(5.02,2)</f>
        <v>5.0199999999999996</v>
      </c>
      <c r="BE29" s="7">
        <f>ROUND(8,2)</f>
        <v>8</v>
      </c>
      <c r="BF29" s="6"/>
      <c r="BG29" s="6"/>
      <c r="BH29" s="6"/>
      <c r="BI29" s="6"/>
      <c r="BJ29" s="6"/>
      <c r="BK29" s="6"/>
      <c r="BL29" s="6"/>
      <c r="BM29" s="7">
        <f>ROUND(8,2)</f>
        <v>8</v>
      </c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7">
        <f>ROUND(64,2)</f>
        <v>64</v>
      </c>
      <c r="CB29" s="7">
        <f>ROUND(2414.10999999999,2)</f>
        <v>2414.11</v>
      </c>
      <c r="CC29" s="6"/>
      <c r="CD29" s="6"/>
      <c r="CE29" s="6"/>
      <c r="CF29" s="6"/>
      <c r="CG29" s="7">
        <f>ROUND(51248.35,2)</f>
        <v>51248.35</v>
      </c>
      <c r="CH29" s="6"/>
      <c r="CI29" s="6"/>
      <c r="CJ29" s="7">
        <f>ROUND(9580.18,2)</f>
        <v>9580.18</v>
      </c>
      <c r="CK29" s="6"/>
      <c r="CL29" s="6"/>
      <c r="CM29" s="6"/>
      <c r="CN29" s="6"/>
      <c r="CO29" s="6"/>
      <c r="CP29" s="6"/>
      <c r="CQ29" s="7">
        <f>ROUND(20.84,2)</f>
        <v>20.84</v>
      </c>
      <c r="CR29" s="6"/>
      <c r="CS29" s="6"/>
      <c r="CT29" s="6"/>
      <c r="CU29" s="6"/>
      <c r="CV29" s="6"/>
      <c r="CW29" s="7">
        <f>ROUND(2904.39999999999,2)</f>
        <v>2904.4</v>
      </c>
      <c r="CX29" s="7">
        <f>ROUND(310.44,2)</f>
        <v>310.44</v>
      </c>
      <c r="CY29" s="6"/>
      <c r="CZ29" s="6"/>
      <c r="DA29" s="6"/>
      <c r="DB29" s="6"/>
      <c r="DC29" s="7">
        <f>ROUND(2486.56,2)</f>
        <v>2486.56</v>
      </c>
      <c r="DD29" s="6"/>
      <c r="DE29" s="7">
        <f>ROUND(1597.6,2)</f>
        <v>1597.6</v>
      </c>
      <c r="DF29" s="6"/>
      <c r="DG29" s="6"/>
      <c r="DH29" s="6"/>
      <c r="DI29" s="7">
        <f>ROUND(236.13,2)</f>
        <v>236.13</v>
      </c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7">
        <f>ROUND(1025,2)</f>
        <v>1025</v>
      </c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7">
        <f>ROUND(1250,2)</f>
        <v>1250</v>
      </c>
      <c r="ER29" s="6"/>
      <c r="ES29" s="6"/>
      <c r="ET29" s="6"/>
      <c r="EU29" s="7">
        <f>ROUND(1945.6,2)</f>
        <v>1945.6</v>
      </c>
      <c r="EV29" s="7">
        <f>ROUND(72605.1,2)</f>
        <v>72605.100000000006</v>
      </c>
    </row>
    <row r="30" spans="1:152">
      <c r="A30" s="4" t="s">
        <v>210</v>
      </c>
      <c r="B30" s="4" t="s">
        <v>1058</v>
      </c>
      <c r="C30" s="5" t="s">
        <v>211</v>
      </c>
      <c r="D30" s="5" t="s">
        <v>212</v>
      </c>
      <c r="E30" s="5" t="s">
        <v>0</v>
      </c>
      <c r="F30" s="5" t="s">
        <v>0</v>
      </c>
      <c r="G30" s="5" t="s">
        <v>213</v>
      </c>
      <c r="H30" s="10">
        <v>17.5</v>
      </c>
      <c r="I30" s="6"/>
      <c r="J30" s="6"/>
      <c r="K30" s="6"/>
      <c r="L30" s="6"/>
      <c r="M30" s="6"/>
      <c r="N30" s="6"/>
      <c r="O30" s="6"/>
      <c r="P30" s="6"/>
      <c r="Q30" s="7">
        <f>ROUND(72,2)</f>
        <v>72</v>
      </c>
      <c r="R30" s="7">
        <f>ROUND(24,2)</f>
        <v>24</v>
      </c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7">
        <f>ROUND(8,2)</f>
        <v>8</v>
      </c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7">
        <f>ROUND(104,2)</f>
        <v>104</v>
      </c>
      <c r="CC30" s="6"/>
      <c r="CD30" s="6"/>
      <c r="CE30" s="6"/>
      <c r="CF30" s="6"/>
      <c r="CG30" s="6"/>
      <c r="CH30" s="6"/>
      <c r="CI30" s="6"/>
      <c r="CJ30" s="6"/>
      <c r="CK30" s="7">
        <f>ROUND(1270.8,2)</f>
        <v>1270.8</v>
      </c>
      <c r="CL30" s="7">
        <f>ROUND(635.4,2)</f>
        <v>635.4</v>
      </c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7">
        <f>ROUND(140,2)</f>
        <v>140</v>
      </c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7">
        <f>ROUND(2046.2,2)</f>
        <v>2046.2</v>
      </c>
    </row>
    <row r="31" spans="1:152">
      <c r="A31" s="4" t="s">
        <v>214</v>
      </c>
      <c r="B31" s="4" t="s">
        <v>1058</v>
      </c>
      <c r="C31" s="5" t="s">
        <v>152</v>
      </c>
      <c r="D31" s="5" t="s">
        <v>215</v>
      </c>
      <c r="E31" s="5" t="s">
        <v>0</v>
      </c>
      <c r="F31" s="5" t="s">
        <v>0</v>
      </c>
      <c r="G31" s="5" t="s">
        <v>155</v>
      </c>
      <c r="H31" s="10">
        <v>30.4</v>
      </c>
      <c r="I31" s="6"/>
      <c r="J31" s="6"/>
      <c r="K31" s="6"/>
      <c r="L31" s="6"/>
      <c r="M31" s="7">
        <f>ROUND(1144.88999999999,2)</f>
        <v>1144.8900000000001</v>
      </c>
      <c r="N31" s="6"/>
      <c r="O31" s="6"/>
      <c r="P31" s="7">
        <f>ROUND(169.609999999999,2)</f>
        <v>169.61</v>
      </c>
      <c r="Q31" s="6"/>
      <c r="R31" s="6"/>
      <c r="S31" s="6"/>
      <c r="T31" s="6"/>
      <c r="U31" s="7">
        <f>ROUND(34.25,2)</f>
        <v>34.25</v>
      </c>
      <c r="V31" s="7">
        <f>ROUND(2.72,2)</f>
        <v>2.72</v>
      </c>
      <c r="W31" s="7">
        <f>ROUND(8.22,2)</f>
        <v>8.2200000000000006</v>
      </c>
      <c r="X31" s="7">
        <f>ROUND(2.97,2)</f>
        <v>2.97</v>
      </c>
      <c r="Y31" s="6"/>
      <c r="Z31" s="6"/>
      <c r="AA31" s="6"/>
      <c r="AB31" s="6"/>
      <c r="AC31" s="7">
        <f>ROUND(131.48,2)</f>
        <v>131.47999999999999</v>
      </c>
      <c r="AD31" s="7">
        <f>ROUND(28.07,2)</f>
        <v>28.07</v>
      </c>
      <c r="AE31" s="6"/>
      <c r="AF31" s="7">
        <f>ROUND(600.37,2)</f>
        <v>600.37</v>
      </c>
      <c r="AG31" s="7">
        <f>ROUND(54.45,2)</f>
        <v>54.45</v>
      </c>
      <c r="AH31" s="7">
        <f>ROUND(88,2)</f>
        <v>88</v>
      </c>
      <c r="AI31" s="6"/>
      <c r="AJ31" s="7">
        <f>ROUND(64,2)</f>
        <v>64</v>
      </c>
      <c r="AK31" s="6"/>
      <c r="AL31" s="7">
        <f>ROUND(8,2)</f>
        <v>8</v>
      </c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7">
        <f>ROUND(8,2)</f>
        <v>8</v>
      </c>
      <c r="BC31" s="6"/>
      <c r="BD31" s="6"/>
      <c r="BE31" s="7">
        <f>ROUND(3.82,2)</f>
        <v>3.82</v>
      </c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7">
        <f>ROUND(56,2)</f>
        <v>56</v>
      </c>
      <c r="CB31" s="7">
        <f>ROUND(2404.84999999999,2)</f>
        <v>2404.85</v>
      </c>
      <c r="CC31" s="6"/>
      <c r="CD31" s="6"/>
      <c r="CE31" s="6"/>
      <c r="CF31" s="6"/>
      <c r="CG31" s="7">
        <f>ROUND(32310.3299999999,2)</f>
        <v>32310.33</v>
      </c>
      <c r="CH31" s="6"/>
      <c r="CI31" s="6"/>
      <c r="CJ31" s="7">
        <f>ROUND(7116.85,2)</f>
        <v>7116.85</v>
      </c>
      <c r="CK31" s="6"/>
      <c r="CL31" s="6"/>
      <c r="CM31" s="6"/>
      <c r="CN31" s="6"/>
      <c r="CO31" s="7">
        <f>ROUND(954.02,2)</f>
        <v>954.02</v>
      </c>
      <c r="CP31" s="7">
        <f>ROUND(113.95,2)</f>
        <v>113.95</v>
      </c>
      <c r="CQ31" s="7">
        <f>ROUND(234.809999999999,2)</f>
        <v>234.81</v>
      </c>
      <c r="CR31" s="7">
        <f>ROUND(123.76,2)</f>
        <v>123.76</v>
      </c>
      <c r="CS31" s="6"/>
      <c r="CT31" s="6"/>
      <c r="CU31" s="6"/>
      <c r="CV31" s="6"/>
      <c r="CW31" s="7">
        <f>ROUND(3707.3,2)</f>
        <v>3707.3</v>
      </c>
      <c r="CX31" s="7">
        <f>ROUND(1228.6,2)</f>
        <v>1228.5999999999999</v>
      </c>
      <c r="CY31" s="6"/>
      <c r="CZ31" s="6"/>
      <c r="DA31" s="7">
        <f>ROUND(16918.53,2)</f>
        <v>16918.53</v>
      </c>
      <c r="DB31" s="7">
        <f>ROUND(2275.1,2)</f>
        <v>2275.1</v>
      </c>
      <c r="DC31" s="7">
        <f>ROUND(2486.56,2)</f>
        <v>2486.56</v>
      </c>
      <c r="DD31" s="6"/>
      <c r="DE31" s="7">
        <f>ROUND(1798.88,2)</f>
        <v>1798.88</v>
      </c>
      <c r="DF31" s="6"/>
      <c r="DG31" s="6"/>
      <c r="DH31" s="6"/>
      <c r="DI31" s="7">
        <f>ROUND(222.24,2)</f>
        <v>222.24</v>
      </c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7">
        <f>ROUND(1350,2)</f>
        <v>1350</v>
      </c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7">
        <f>ROUND(1250,2)</f>
        <v>1250</v>
      </c>
      <c r="ER31" s="6"/>
      <c r="ES31" s="6"/>
      <c r="ET31" s="6"/>
      <c r="EU31" s="7">
        <f>ROUND(1702.4,2)</f>
        <v>1702.4</v>
      </c>
      <c r="EV31" s="7">
        <f>ROUND(73793.33,2)</f>
        <v>73793.33</v>
      </c>
    </row>
    <row r="32" spans="1:152">
      <c r="A32" s="4" t="s">
        <v>216</v>
      </c>
      <c r="B32" s="4" t="s">
        <v>1058</v>
      </c>
      <c r="C32" s="5" t="s">
        <v>211</v>
      </c>
      <c r="D32" s="5" t="s">
        <v>217</v>
      </c>
      <c r="E32" s="5" t="s">
        <v>0</v>
      </c>
      <c r="F32" s="5" t="s">
        <v>0</v>
      </c>
      <c r="G32" s="5" t="s">
        <v>218</v>
      </c>
      <c r="H32" s="10">
        <v>34</v>
      </c>
      <c r="I32" s="6"/>
      <c r="J32" s="6"/>
      <c r="K32" s="7">
        <f>ROUND(1728,2)</f>
        <v>1728</v>
      </c>
      <c r="L32" s="7">
        <f>ROUND(16.33,2)</f>
        <v>16.329999999999998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7">
        <f>ROUND(92,2)</f>
        <v>92</v>
      </c>
      <c r="AI32" s="6"/>
      <c r="AJ32" s="7">
        <f>ROUND(192,2)</f>
        <v>192</v>
      </c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7">
        <f>ROUND(4,2)</f>
        <v>4</v>
      </c>
      <c r="AV32" s="6"/>
      <c r="AW32" s="6"/>
      <c r="AX32" s="6"/>
      <c r="AY32" s="6"/>
      <c r="AZ32" s="6"/>
      <c r="BA32" s="6"/>
      <c r="BB32" s="6"/>
      <c r="BC32" s="6"/>
      <c r="BD32" s="6"/>
      <c r="BE32" s="7">
        <f>ROUND(16,2)</f>
        <v>16</v>
      </c>
      <c r="BF32" s="6"/>
      <c r="BG32" s="6"/>
      <c r="BH32" s="6"/>
      <c r="BI32" s="6"/>
      <c r="BJ32" s="6"/>
      <c r="BK32" s="6"/>
      <c r="BL32" s="6"/>
      <c r="BM32" s="6"/>
      <c r="BN32" s="7">
        <f>ROUND(8,2)</f>
        <v>8</v>
      </c>
      <c r="BO32" s="7">
        <f>ROUND(56,2)</f>
        <v>56</v>
      </c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7">
        <f>ROUND(56,2)</f>
        <v>56</v>
      </c>
      <c r="CB32" s="7">
        <f>ROUND(2168.33,2)</f>
        <v>2168.33</v>
      </c>
      <c r="CC32" s="6"/>
      <c r="CD32" s="6"/>
      <c r="CE32" s="7">
        <f>ROUND(53812,2)</f>
        <v>53812</v>
      </c>
      <c r="CF32" s="7">
        <f>ROUND(792.22,2)</f>
        <v>792.22</v>
      </c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7">
        <f>ROUND(2933,2)</f>
        <v>2933</v>
      </c>
      <c r="DD32" s="6"/>
      <c r="DE32" s="7">
        <f>ROUND(5982,2)</f>
        <v>5982</v>
      </c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7">
        <f>ROUND(194.25,2)</f>
        <v>194.25</v>
      </c>
      <c r="DW32" s="6"/>
      <c r="DX32" s="6"/>
      <c r="DY32" s="6"/>
      <c r="DZ32" s="6"/>
      <c r="EA32" s="6"/>
      <c r="EB32" s="6"/>
      <c r="EC32" s="6"/>
      <c r="ED32" s="6"/>
      <c r="EE32" s="7">
        <f>ROUND(2000,2)</f>
        <v>2000</v>
      </c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7">
        <f>ROUND(1250,2)</f>
        <v>1250</v>
      </c>
      <c r="ER32" s="6"/>
      <c r="ES32" s="6"/>
      <c r="ET32" s="6"/>
      <c r="EU32" s="7">
        <f>ROUND(1904,2)</f>
        <v>1904</v>
      </c>
      <c r="EV32" s="7">
        <f>ROUND(68867.47,2)</f>
        <v>68867.47</v>
      </c>
    </row>
    <row r="33" spans="1:152">
      <c r="A33" s="4" t="s">
        <v>219</v>
      </c>
      <c r="B33" s="4" t="s">
        <v>1058</v>
      </c>
      <c r="C33" s="5" t="s">
        <v>152</v>
      </c>
      <c r="D33" s="5" t="s">
        <v>220</v>
      </c>
      <c r="E33" s="5" t="s">
        <v>0</v>
      </c>
      <c r="F33" s="5" t="s">
        <v>0</v>
      </c>
      <c r="G33" s="5" t="s">
        <v>155</v>
      </c>
      <c r="H33" s="10">
        <v>30.4</v>
      </c>
      <c r="I33" s="6"/>
      <c r="J33" s="6"/>
      <c r="K33" s="6"/>
      <c r="L33" s="6"/>
      <c r="M33" s="7">
        <f>ROUND(1093.83,2)</f>
        <v>1093.83</v>
      </c>
      <c r="N33" s="6"/>
      <c r="O33" s="6"/>
      <c r="P33" s="7">
        <f>ROUND(84.03,2)</f>
        <v>84.03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7">
        <f>ROUND(456.92,2)</f>
        <v>456.92</v>
      </c>
      <c r="AD33" s="7">
        <f>ROUND(1.33,2)</f>
        <v>1.33</v>
      </c>
      <c r="AE33" s="6"/>
      <c r="AF33" s="7">
        <f>ROUND(92.55,2)</f>
        <v>92.55</v>
      </c>
      <c r="AG33" s="7">
        <f>ROUND(5.92,2)</f>
        <v>5.92</v>
      </c>
      <c r="AH33" s="7">
        <f>ROUND(96,2)</f>
        <v>96</v>
      </c>
      <c r="AI33" s="6"/>
      <c r="AJ33" s="7">
        <f>ROUND(120,2)</f>
        <v>120</v>
      </c>
      <c r="AK33" s="6"/>
      <c r="AL33" s="7">
        <f>ROUND(8,2)</f>
        <v>8</v>
      </c>
      <c r="AM33" s="6"/>
      <c r="AN33" s="6"/>
      <c r="AO33" s="6"/>
      <c r="AP33" s="7">
        <f>ROUND(24,2)</f>
        <v>24</v>
      </c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7">
        <f>ROUND(24,2)</f>
        <v>24</v>
      </c>
      <c r="BC33" s="7">
        <f>ROUND(152,2)</f>
        <v>152</v>
      </c>
      <c r="BD33" s="6"/>
      <c r="BE33" s="6"/>
      <c r="BF33" s="6"/>
      <c r="BG33" s="6"/>
      <c r="BH33" s="7">
        <f>ROUND(8,2)</f>
        <v>8</v>
      </c>
      <c r="BI33" s="6"/>
      <c r="BJ33" s="6"/>
      <c r="BK33" s="6"/>
      <c r="BL33" s="6"/>
      <c r="BM33" s="7">
        <f>ROUND(48,2)</f>
        <v>48</v>
      </c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7">
        <f>ROUND(40,2)</f>
        <v>40</v>
      </c>
      <c r="CB33" s="7">
        <f>ROUND(2254.57999999999,2)</f>
        <v>2254.58</v>
      </c>
      <c r="CC33" s="6"/>
      <c r="CD33" s="6"/>
      <c r="CE33" s="6"/>
      <c r="CF33" s="6"/>
      <c r="CG33" s="7">
        <f>ROUND(30429.04,2)</f>
        <v>30429.040000000001</v>
      </c>
      <c r="CH33" s="6"/>
      <c r="CI33" s="6"/>
      <c r="CJ33" s="7">
        <f>ROUND(3509.79999999999,2)</f>
        <v>3509.8</v>
      </c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7">
        <f>ROUND(13217.8,2)</f>
        <v>13217.8</v>
      </c>
      <c r="CX33" s="7">
        <f>ROUND(55.42,2)</f>
        <v>55.42</v>
      </c>
      <c r="CY33" s="6"/>
      <c r="CZ33" s="6"/>
      <c r="DA33" s="7">
        <f>ROUND(2577.47,2)</f>
        <v>2577.4699999999998</v>
      </c>
      <c r="DB33" s="7">
        <f>ROUND(248.02,2)</f>
        <v>248.02</v>
      </c>
      <c r="DC33" s="7">
        <f>ROUND(2750.72,2)</f>
        <v>2750.72</v>
      </c>
      <c r="DD33" s="6"/>
      <c r="DE33" s="7">
        <f>ROUND(3354.56,2)</f>
        <v>3354.56</v>
      </c>
      <c r="DF33" s="6"/>
      <c r="DG33" s="6"/>
      <c r="DH33" s="6"/>
      <c r="DI33" s="7">
        <f>ROUND(222.24,2)</f>
        <v>222.24</v>
      </c>
      <c r="DJ33" s="6"/>
      <c r="DK33" s="6"/>
      <c r="DL33" s="6"/>
      <c r="DM33" s="7">
        <f>ROUND(729.599999999999,2)</f>
        <v>729.6</v>
      </c>
      <c r="DN33" s="6"/>
      <c r="DO33" s="6"/>
      <c r="DP33" s="6"/>
      <c r="DQ33" s="6"/>
      <c r="DR33" s="7">
        <f>ROUND(500,2)</f>
        <v>500</v>
      </c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7">
        <f>ROUND(650,2)</f>
        <v>650</v>
      </c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7">
        <f>ROUND(1141.44,2)</f>
        <v>1141.44</v>
      </c>
      <c r="ER33" s="6"/>
      <c r="ES33" s="6"/>
      <c r="ET33" s="6"/>
      <c r="EU33" s="7">
        <f>ROUND(1216,2)</f>
        <v>1216</v>
      </c>
      <c r="EV33" s="7">
        <f>ROUND(60602.11,2)</f>
        <v>60602.11</v>
      </c>
    </row>
    <row r="34" spans="1:152">
      <c r="A34" s="4" t="s">
        <v>221</v>
      </c>
      <c r="B34" s="4" t="s">
        <v>1058</v>
      </c>
      <c r="C34" s="5" t="s">
        <v>152</v>
      </c>
      <c r="D34" s="5" t="s">
        <v>222</v>
      </c>
      <c r="E34" s="5" t="s">
        <v>0</v>
      </c>
      <c r="F34" s="5" t="s">
        <v>0</v>
      </c>
      <c r="G34" s="5" t="s">
        <v>155</v>
      </c>
      <c r="H34" s="10">
        <v>30.4</v>
      </c>
      <c r="I34" s="6"/>
      <c r="J34" s="6"/>
      <c r="K34" s="6"/>
      <c r="L34" s="6"/>
      <c r="M34" s="7">
        <f>ROUND(1388.09999999999,2)</f>
        <v>1388.1</v>
      </c>
      <c r="N34" s="6"/>
      <c r="O34" s="6"/>
      <c r="P34" s="7">
        <f>ROUND(131.38,2)</f>
        <v>131.38</v>
      </c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7">
        <f>ROUND(98,2)</f>
        <v>98</v>
      </c>
      <c r="AI34" s="6"/>
      <c r="AJ34" s="7">
        <f>ROUND(152,2)</f>
        <v>152</v>
      </c>
      <c r="AK34" s="6"/>
      <c r="AL34" s="7">
        <f>ROUND(8,2)</f>
        <v>8</v>
      </c>
      <c r="AM34" s="7">
        <f>ROUND(0.73,2)</f>
        <v>0.73</v>
      </c>
      <c r="AN34" s="6"/>
      <c r="AO34" s="6"/>
      <c r="AP34" s="6"/>
      <c r="AQ34" s="6"/>
      <c r="AR34" s="6"/>
      <c r="AS34" s="6"/>
      <c r="AT34" s="7">
        <f>ROUND(305.03,2)</f>
        <v>305.02999999999997</v>
      </c>
      <c r="AU34" s="7">
        <f>ROUND(0.58,2)</f>
        <v>0.57999999999999996</v>
      </c>
      <c r="AV34" s="6"/>
      <c r="AW34" s="6"/>
      <c r="AX34" s="6"/>
      <c r="AY34" s="6"/>
      <c r="AZ34" s="6"/>
      <c r="BA34" s="6"/>
      <c r="BB34" s="7">
        <f>ROUND(8,2)</f>
        <v>8</v>
      </c>
      <c r="BC34" s="6"/>
      <c r="BD34" s="6"/>
      <c r="BE34" s="6"/>
      <c r="BF34" s="7">
        <f>ROUND(125.37,2)</f>
        <v>125.37</v>
      </c>
      <c r="BG34" s="7">
        <f>ROUND(2.33,2)</f>
        <v>2.33</v>
      </c>
      <c r="BH34" s="6"/>
      <c r="BI34" s="6"/>
      <c r="BJ34" s="6"/>
      <c r="BK34" s="6"/>
      <c r="BL34" s="6"/>
      <c r="BM34" s="7">
        <f>ROUND(28.67,2)</f>
        <v>28.67</v>
      </c>
      <c r="BN34" s="7">
        <f>ROUND(49.17,2)</f>
        <v>49.17</v>
      </c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7">
        <f>ROUND(2297.36,2)</f>
        <v>2297.36</v>
      </c>
      <c r="CC34" s="6"/>
      <c r="CD34" s="6"/>
      <c r="CE34" s="6"/>
      <c r="CF34" s="6"/>
      <c r="CG34" s="7">
        <f>ROUND(39065.6599999999,2)</f>
        <v>39065.660000000003</v>
      </c>
      <c r="CH34" s="6"/>
      <c r="CI34" s="6"/>
      <c r="CJ34" s="7">
        <f>ROUND(5525.36999999999,2)</f>
        <v>5525.37</v>
      </c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7">
        <f>ROUND(2806.27999999999,2)</f>
        <v>2806.28</v>
      </c>
      <c r="DD34" s="6"/>
      <c r="DE34" s="7">
        <f>ROUND(4243.51999999999,2)</f>
        <v>4243.5200000000004</v>
      </c>
      <c r="DF34" s="6"/>
      <c r="DG34" s="6"/>
      <c r="DH34" s="6"/>
      <c r="DI34" s="7">
        <f>ROUND(222.24,2)</f>
        <v>222.24</v>
      </c>
      <c r="DJ34" s="7">
        <f>ROUND(20.28,2)</f>
        <v>20.28</v>
      </c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7">
        <f>ROUND(8557.94,2)</f>
        <v>8557.94</v>
      </c>
      <c r="DV34" s="7">
        <f>ROUND(24.17,2)</f>
        <v>24.17</v>
      </c>
      <c r="DW34" s="6"/>
      <c r="DX34" s="6"/>
      <c r="DY34" s="6"/>
      <c r="DZ34" s="6"/>
      <c r="EA34" s="6"/>
      <c r="EB34" s="6"/>
      <c r="EC34" s="7">
        <f>ROUND(2889.12,2)</f>
        <v>2889.12</v>
      </c>
      <c r="ED34" s="6"/>
      <c r="EE34" s="7">
        <f>ROUND(425,2)</f>
        <v>425</v>
      </c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7">
        <f>ROUND(1250,2)</f>
        <v>1250</v>
      </c>
      <c r="ER34" s="6"/>
      <c r="ES34" s="6"/>
      <c r="ET34" s="6"/>
      <c r="EU34" s="6"/>
      <c r="EV34" s="7">
        <f>ROUND(65029.5799999999,2)</f>
        <v>65029.58</v>
      </c>
    </row>
    <row r="35" spans="1:152">
      <c r="A35" s="4" t="s">
        <v>223</v>
      </c>
      <c r="B35" s="4" t="s">
        <v>1058</v>
      </c>
      <c r="C35" s="5" t="s">
        <v>152</v>
      </c>
      <c r="D35" s="5" t="s">
        <v>224</v>
      </c>
      <c r="E35" s="5" t="s">
        <v>0</v>
      </c>
      <c r="F35" s="5" t="s">
        <v>0</v>
      </c>
      <c r="G35" s="5" t="s">
        <v>155</v>
      </c>
      <c r="H35" s="10">
        <v>30.4</v>
      </c>
      <c r="I35" s="6"/>
      <c r="J35" s="6"/>
      <c r="K35" s="6"/>
      <c r="L35" s="6"/>
      <c r="M35" s="7">
        <f>ROUND(1016.16,2)</f>
        <v>1016.16</v>
      </c>
      <c r="N35" s="6"/>
      <c r="O35" s="6"/>
      <c r="P35" s="7">
        <f>ROUND(156.09,2)</f>
        <v>156.09</v>
      </c>
      <c r="Q35" s="6"/>
      <c r="R35" s="6"/>
      <c r="S35" s="6"/>
      <c r="T35" s="6"/>
      <c r="U35" s="7">
        <f>ROUND(95.62,2)</f>
        <v>95.62</v>
      </c>
      <c r="V35" s="7">
        <f>ROUND(29.28,2)</f>
        <v>29.28</v>
      </c>
      <c r="W35" s="7">
        <f>ROUND(8.81,2)</f>
        <v>8.81</v>
      </c>
      <c r="X35" s="7">
        <f>ROUND(3.49,2)</f>
        <v>3.49</v>
      </c>
      <c r="Y35" s="6"/>
      <c r="Z35" s="6"/>
      <c r="AA35" s="6"/>
      <c r="AB35" s="6"/>
      <c r="AC35" s="7">
        <f>ROUND(176.58,2)</f>
        <v>176.58</v>
      </c>
      <c r="AD35" s="7">
        <f>ROUND(12.32,2)</f>
        <v>12.32</v>
      </c>
      <c r="AE35" s="6"/>
      <c r="AF35" s="7">
        <f>ROUND(597.19,2)</f>
        <v>597.19000000000005</v>
      </c>
      <c r="AG35" s="7">
        <f>ROUND(54.34,2)</f>
        <v>54.34</v>
      </c>
      <c r="AH35" s="7">
        <f>ROUND(88,2)</f>
        <v>88</v>
      </c>
      <c r="AI35" s="6"/>
      <c r="AJ35" s="7">
        <f>ROUND(72,2)</f>
        <v>72</v>
      </c>
      <c r="AK35" s="6"/>
      <c r="AL35" s="7">
        <f>ROUND(16,2)</f>
        <v>16</v>
      </c>
      <c r="AM35" s="7">
        <f>ROUND(1.03,2)</f>
        <v>1.03</v>
      </c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7">
        <f>ROUND(8.07,2)</f>
        <v>8.07</v>
      </c>
      <c r="AZ35" s="7">
        <f>ROUND(5.42,2)</f>
        <v>5.42</v>
      </c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7">
        <f>ROUND(6.62,2)</f>
        <v>6.62</v>
      </c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7">
        <f>ROUND(8,2)</f>
        <v>8</v>
      </c>
      <c r="CB35" s="7">
        <f>ROUND(2355.02,2)</f>
        <v>2355.02</v>
      </c>
      <c r="CC35" s="6"/>
      <c r="CD35" s="6"/>
      <c r="CE35" s="6"/>
      <c r="CF35" s="6"/>
      <c r="CG35" s="7">
        <f>ROUND(25577.51,2)</f>
        <v>25577.51</v>
      </c>
      <c r="CH35" s="6"/>
      <c r="CI35" s="6"/>
      <c r="CJ35" s="7">
        <f>ROUND(6034.92999999999,2)</f>
        <v>6034.93</v>
      </c>
      <c r="CK35" s="6"/>
      <c r="CL35" s="6"/>
      <c r="CM35" s="6"/>
      <c r="CN35" s="6"/>
      <c r="CO35" s="7">
        <f>ROUND(2316.18,2)</f>
        <v>2316.1799999999998</v>
      </c>
      <c r="CP35" s="7">
        <f>ROUND(1065.78,2)</f>
        <v>1065.78</v>
      </c>
      <c r="CQ35" s="7">
        <f>ROUND(218.469999999999,2)</f>
        <v>218.47</v>
      </c>
      <c r="CR35" s="7">
        <f>ROUND(130.05,2)</f>
        <v>130.05000000000001</v>
      </c>
      <c r="CS35" s="6"/>
      <c r="CT35" s="6"/>
      <c r="CU35" s="6"/>
      <c r="CV35" s="6"/>
      <c r="CW35" s="7">
        <f>ROUND(4449.94999999999,2)</f>
        <v>4449.95</v>
      </c>
      <c r="CX35" s="7">
        <f>ROUND(447.63,2)</f>
        <v>447.63</v>
      </c>
      <c r="CY35" s="6"/>
      <c r="CZ35" s="6"/>
      <c r="DA35" s="7">
        <f>ROUND(15066.65,2)</f>
        <v>15066.65</v>
      </c>
      <c r="DB35" s="7">
        <f>ROUND(2057.12,2)</f>
        <v>2057.12</v>
      </c>
      <c r="DC35" s="7">
        <f>ROUND(2276.31999999999,2)</f>
        <v>2276.3200000000002</v>
      </c>
      <c r="DD35" s="6"/>
      <c r="DE35" s="7">
        <f>ROUND(1740.08,2)</f>
        <v>1740.08</v>
      </c>
      <c r="DF35" s="6"/>
      <c r="DG35" s="6"/>
      <c r="DH35" s="6"/>
      <c r="DI35" s="7">
        <f>ROUND(436.539999999999,2)</f>
        <v>436.54</v>
      </c>
      <c r="DJ35" s="7">
        <f>ROUND(24.89,2)</f>
        <v>24.89</v>
      </c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7">
        <f>ROUND(293.539999999999,2)</f>
        <v>293.54000000000002</v>
      </c>
      <c r="EA35" s="7">
        <f>ROUND(139.93,2)</f>
        <v>139.93</v>
      </c>
      <c r="EB35" s="6"/>
      <c r="EC35" s="6"/>
      <c r="ED35" s="6"/>
      <c r="EE35" s="7">
        <f>ROUND(1450,2)</f>
        <v>1450</v>
      </c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7">
        <f>ROUND(1250,2)</f>
        <v>1250</v>
      </c>
      <c r="ER35" s="6"/>
      <c r="ES35" s="6"/>
      <c r="ET35" s="6"/>
      <c r="EU35" s="7">
        <f>ROUND(243.2,2)</f>
        <v>243.2</v>
      </c>
      <c r="EV35" s="7">
        <f>ROUND(65218.77,2)</f>
        <v>65218.77</v>
      </c>
    </row>
    <row r="36" spans="1:152" ht="24">
      <c r="A36" s="4" t="s">
        <v>225</v>
      </c>
      <c r="B36" s="4"/>
      <c r="C36" s="5" t="s">
        <v>211</v>
      </c>
      <c r="D36" s="5" t="s">
        <v>226</v>
      </c>
      <c r="E36" s="5" t="s">
        <v>0</v>
      </c>
      <c r="F36" s="5" t="s">
        <v>0</v>
      </c>
      <c r="G36" s="5" t="s">
        <v>227</v>
      </c>
      <c r="H36" s="10">
        <v>1066.43</v>
      </c>
      <c r="I36" s="7">
        <f>ROUND(301.5,2)</f>
        <v>301.5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7">
        <f>ROUND(6,2)</f>
        <v>6</v>
      </c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7">
        <f>ROUND(24,2)</f>
        <v>24</v>
      </c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7">
        <f>ROUND(32,2)</f>
        <v>32</v>
      </c>
      <c r="BU36" s="7">
        <f>ROUND(32,2)</f>
        <v>32</v>
      </c>
      <c r="BV36" s="6"/>
      <c r="BW36" s="6"/>
      <c r="BX36" s="7">
        <f>ROUND(65.25,2)</f>
        <v>65.25</v>
      </c>
      <c r="BY36" s="7">
        <f>ROUND(76,2)</f>
        <v>76</v>
      </c>
      <c r="BZ36" s="6"/>
      <c r="CA36" s="6"/>
      <c r="CB36" s="7">
        <f>ROUND(536.75,2)</f>
        <v>536.75</v>
      </c>
      <c r="CC36" s="7">
        <f>ROUND(52390.9699999999,2)</f>
        <v>52390.97</v>
      </c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7">
        <f>ROUND(2250,2)</f>
        <v>2250</v>
      </c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7">
        <f>ROUND(2559.36,2)</f>
        <v>2559.36</v>
      </c>
      <c r="EF36" s="6"/>
      <c r="EG36" s="6"/>
      <c r="EH36" s="6"/>
      <c r="EI36" s="6"/>
      <c r="EJ36" s="6"/>
      <c r="EK36" s="6"/>
      <c r="EL36" s="6"/>
      <c r="EM36" s="6"/>
      <c r="EN36" s="7">
        <f>ROUND(311.07,2)</f>
        <v>311.07</v>
      </c>
      <c r="EO36" s="7">
        <f>ROUND(87.87,2)</f>
        <v>87.87</v>
      </c>
      <c r="EP36" s="6"/>
      <c r="EQ36" s="6"/>
      <c r="ER36" s="6"/>
      <c r="ES36" s="6"/>
      <c r="ET36" s="6"/>
      <c r="EU36" s="6"/>
      <c r="EV36" s="7">
        <f>ROUND(57599.27,2)</f>
        <v>57599.27</v>
      </c>
    </row>
    <row r="37" spans="1:152">
      <c r="A37" s="4" t="s">
        <v>228</v>
      </c>
      <c r="B37" s="4"/>
      <c r="C37" s="5" t="s">
        <v>152</v>
      </c>
      <c r="D37" s="5" t="s">
        <v>229</v>
      </c>
      <c r="E37" s="5" t="s">
        <v>230</v>
      </c>
      <c r="F37" s="5" t="s">
        <v>0</v>
      </c>
      <c r="G37" s="5" t="s">
        <v>231</v>
      </c>
      <c r="H37" s="10">
        <v>24.46</v>
      </c>
      <c r="I37" s="7">
        <f>ROUND(456,2)</f>
        <v>456</v>
      </c>
      <c r="J37" s="7">
        <f>ROUND(5,2)</f>
        <v>5</v>
      </c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7">
        <f>ROUND(8,2)</f>
        <v>8</v>
      </c>
      <c r="BV37" s="6"/>
      <c r="BW37" s="6"/>
      <c r="BX37" s="6"/>
      <c r="BY37" s="6"/>
      <c r="BZ37" s="6"/>
      <c r="CA37" s="6"/>
      <c r="CB37" s="7">
        <f>ROUND(469,2)</f>
        <v>469</v>
      </c>
      <c r="CC37" s="7">
        <f>ROUND(11152.8499999999,2)</f>
        <v>11152.85</v>
      </c>
      <c r="CD37" s="7">
        <f>ROUND(183.44,2)</f>
        <v>183.44</v>
      </c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7">
        <f>ROUND(684.82,2)</f>
        <v>684.82</v>
      </c>
      <c r="EF37" s="6"/>
      <c r="EG37" s="6"/>
      <c r="EH37" s="7">
        <f>ROUND(195.66,2)</f>
        <v>195.66</v>
      </c>
      <c r="EI37" s="6"/>
      <c r="EJ37" s="6"/>
      <c r="EK37" s="6"/>
      <c r="EL37" s="6"/>
      <c r="EM37" s="6"/>
      <c r="EN37" s="7">
        <f>ROUND(1956.64,2)</f>
        <v>1956.64</v>
      </c>
      <c r="EO37" s="6"/>
      <c r="EP37" s="6"/>
      <c r="EQ37" s="6"/>
      <c r="ER37" s="6"/>
      <c r="ES37" s="7">
        <f>ROUND(1956.64,2)</f>
        <v>1956.64</v>
      </c>
      <c r="ET37" s="6"/>
      <c r="EU37" s="6"/>
      <c r="EV37" s="7">
        <f>ROUND(16130.05,2)</f>
        <v>16130.05</v>
      </c>
    </row>
    <row r="38" spans="1:152" ht="24">
      <c r="A38" s="4" t="s">
        <v>232</v>
      </c>
      <c r="B38" s="4"/>
      <c r="C38" s="5" t="s">
        <v>233</v>
      </c>
      <c r="D38" s="5" t="s">
        <v>234</v>
      </c>
      <c r="E38" s="5" t="s">
        <v>235</v>
      </c>
      <c r="F38" s="5" t="s">
        <v>0</v>
      </c>
      <c r="G38" s="5" t="s">
        <v>236</v>
      </c>
      <c r="H38" s="10">
        <v>15</v>
      </c>
      <c r="I38" s="7">
        <f>ROUND(54.5,2)</f>
        <v>54.5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7">
        <f>ROUND(54.5,2)</f>
        <v>54.5</v>
      </c>
      <c r="CC38" s="7">
        <f>ROUND(817.5,2)</f>
        <v>817.5</v>
      </c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7">
        <f>ROUND(817.5,2)</f>
        <v>817.5</v>
      </c>
    </row>
    <row r="39" spans="1:152" ht="24">
      <c r="A39" s="4" t="s">
        <v>237</v>
      </c>
      <c r="B39" s="4"/>
      <c r="C39" s="5" t="s">
        <v>178</v>
      </c>
      <c r="D39" s="5" t="s">
        <v>238</v>
      </c>
      <c r="E39" s="5" t="s">
        <v>239</v>
      </c>
      <c r="F39" s="5" t="s">
        <v>0</v>
      </c>
      <c r="G39" s="5" t="s">
        <v>180</v>
      </c>
      <c r="H39" s="10">
        <v>15.97</v>
      </c>
      <c r="I39" s="7">
        <f>ROUND(16,2)</f>
        <v>16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7">
        <f>ROUND(16,2)</f>
        <v>16</v>
      </c>
      <c r="CC39" s="7">
        <f>ROUND(255.44,2)</f>
        <v>255.44</v>
      </c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7">
        <f>ROUND(255.44,2)</f>
        <v>255.44</v>
      </c>
    </row>
    <row r="40" spans="1:152">
      <c r="A40" s="4" t="s">
        <v>240</v>
      </c>
      <c r="B40" s="4" t="s">
        <v>1058</v>
      </c>
      <c r="C40" s="5" t="s">
        <v>152</v>
      </c>
      <c r="D40" s="5" t="s">
        <v>241</v>
      </c>
      <c r="E40" s="5" t="s">
        <v>0</v>
      </c>
      <c r="F40" s="5" t="s">
        <v>0</v>
      </c>
      <c r="G40" s="5" t="s">
        <v>155</v>
      </c>
      <c r="H40" s="10">
        <v>30.4</v>
      </c>
      <c r="I40" s="6"/>
      <c r="J40" s="6"/>
      <c r="K40" s="6"/>
      <c r="L40" s="6"/>
      <c r="M40" s="7">
        <f>ROUND(1675.06999999999,2)</f>
        <v>1675.07</v>
      </c>
      <c r="N40" s="6"/>
      <c r="O40" s="6"/>
      <c r="P40" s="7">
        <f>ROUND(237.959999999999,2)</f>
        <v>237.96</v>
      </c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7">
        <f>ROUND(88.68,2)</f>
        <v>88.68</v>
      </c>
      <c r="AD40" s="7">
        <f>ROUND(30.32,2)</f>
        <v>30.32</v>
      </c>
      <c r="AE40" s="6"/>
      <c r="AF40" s="6"/>
      <c r="AG40" s="6"/>
      <c r="AH40" s="7">
        <f>ROUND(80,2)</f>
        <v>80</v>
      </c>
      <c r="AI40" s="6"/>
      <c r="AJ40" s="7">
        <f>ROUND(160,2)</f>
        <v>160</v>
      </c>
      <c r="AK40" s="6"/>
      <c r="AL40" s="7">
        <f>ROUND(8,2)</f>
        <v>8</v>
      </c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7">
        <f>ROUND(24,2)</f>
        <v>24</v>
      </c>
      <c r="BC40" s="7">
        <f>ROUND(16,2)</f>
        <v>16</v>
      </c>
      <c r="BD40" s="7">
        <f>ROUND(8,2)</f>
        <v>8</v>
      </c>
      <c r="BE40" s="6"/>
      <c r="BF40" s="6"/>
      <c r="BG40" s="6"/>
      <c r="BH40" s="6"/>
      <c r="BI40" s="6"/>
      <c r="BJ40" s="7">
        <f>ROUND(8,2)</f>
        <v>8</v>
      </c>
      <c r="BK40" s="6"/>
      <c r="BL40" s="6"/>
      <c r="BM40" s="7">
        <f>ROUND(32,2)</f>
        <v>32</v>
      </c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7">
        <f>ROUND(2368.02999999999,2)</f>
        <v>2368.0300000000002</v>
      </c>
      <c r="CC40" s="6"/>
      <c r="CD40" s="6"/>
      <c r="CE40" s="6"/>
      <c r="CF40" s="6"/>
      <c r="CG40" s="7">
        <f>ROUND(47305.2399999999,2)</f>
        <v>47305.24</v>
      </c>
      <c r="CH40" s="6"/>
      <c r="CI40" s="6"/>
      <c r="CJ40" s="7">
        <f>ROUND(10192.2099999999,2)</f>
        <v>10192.209999999999</v>
      </c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7">
        <f>ROUND(2463.52,2)</f>
        <v>2463.52</v>
      </c>
      <c r="CX40" s="7">
        <f>ROUND(1263.42999999999,2)</f>
        <v>1263.43</v>
      </c>
      <c r="CY40" s="6"/>
      <c r="CZ40" s="6"/>
      <c r="DA40" s="6"/>
      <c r="DB40" s="6"/>
      <c r="DC40" s="7">
        <f>ROUND(2264.32,2)</f>
        <v>2264.3200000000002</v>
      </c>
      <c r="DD40" s="6"/>
      <c r="DE40" s="7">
        <f>ROUND(4465.75999999999,2)</f>
        <v>4465.76</v>
      </c>
      <c r="DF40" s="6"/>
      <c r="DG40" s="6"/>
      <c r="DH40" s="6"/>
      <c r="DI40" s="7">
        <f>ROUND(222.24,2)</f>
        <v>222.24</v>
      </c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7">
        <f>ROUND(775,2)</f>
        <v>775</v>
      </c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7">
        <f>ROUND(1250,2)</f>
        <v>1250</v>
      </c>
      <c r="ER40" s="6"/>
      <c r="ES40" s="6"/>
      <c r="ET40" s="6"/>
      <c r="EU40" s="6"/>
      <c r="EV40" s="7">
        <f>ROUND(70201.72,2)</f>
        <v>70201.72</v>
      </c>
    </row>
    <row r="41" spans="1:152">
      <c r="A41" s="4" t="s">
        <v>242</v>
      </c>
      <c r="B41" s="4" t="s">
        <v>1058</v>
      </c>
      <c r="C41" s="5" t="s">
        <v>152</v>
      </c>
      <c r="D41" s="5" t="s">
        <v>243</v>
      </c>
      <c r="E41" s="5" t="s">
        <v>0</v>
      </c>
      <c r="F41" s="5" t="s">
        <v>0</v>
      </c>
      <c r="G41" s="5" t="s">
        <v>155</v>
      </c>
      <c r="H41" s="10">
        <v>30.4</v>
      </c>
      <c r="I41" s="6"/>
      <c r="J41" s="6"/>
      <c r="K41" s="6"/>
      <c r="L41" s="6"/>
      <c r="M41" s="7">
        <f>ROUND(1542,2)</f>
        <v>1542</v>
      </c>
      <c r="N41" s="6"/>
      <c r="O41" s="6"/>
      <c r="P41" s="7">
        <f>ROUND(199.629999999999,2)</f>
        <v>199.63</v>
      </c>
      <c r="Q41" s="6"/>
      <c r="R41" s="6"/>
      <c r="S41" s="6"/>
      <c r="T41" s="6"/>
      <c r="U41" s="6"/>
      <c r="V41" s="6"/>
      <c r="W41" s="6"/>
      <c r="X41" s="6"/>
      <c r="Y41" s="7">
        <f>ROUND(0.08,2)</f>
        <v>0.08</v>
      </c>
      <c r="Z41" s="6"/>
      <c r="AA41" s="6"/>
      <c r="AB41" s="6"/>
      <c r="AC41" s="7">
        <f>ROUND(317.59,2)</f>
        <v>317.58999999999997</v>
      </c>
      <c r="AD41" s="7">
        <f>ROUND(52.41,2)</f>
        <v>52.41</v>
      </c>
      <c r="AE41" s="6"/>
      <c r="AF41" s="6"/>
      <c r="AG41" s="6"/>
      <c r="AH41" s="7">
        <f>ROUND(90,2)</f>
        <v>90</v>
      </c>
      <c r="AI41" s="6"/>
      <c r="AJ41" s="7">
        <f>ROUND(104,2)</f>
        <v>104</v>
      </c>
      <c r="AK41" s="6"/>
      <c r="AL41" s="7">
        <f>ROUND(16,2)</f>
        <v>16</v>
      </c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7">
        <f>ROUND(8,2)</f>
        <v>8</v>
      </c>
      <c r="BC41" s="6"/>
      <c r="BD41" s="7">
        <f>ROUND(2.75,2)</f>
        <v>2.75</v>
      </c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7">
        <f>ROUND(56,2)</f>
        <v>56</v>
      </c>
      <c r="CB41" s="7">
        <f>ROUND(2388.46,2)</f>
        <v>2388.46</v>
      </c>
      <c r="CC41" s="6"/>
      <c r="CD41" s="6"/>
      <c r="CE41" s="6"/>
      <c r="CF41" s="6"/>
      <c r="CG41" s="7">
        <f>ROUND(43408.68,2)</f>
        <v>43408.68</v>
      </c>
      <c r="CH41" s="6"/>
      <c r="CI41" s="6"/>
      <c r="CJ41" s="7">
        <f>ROUND(8393.06,2)</f>
        <v>8393.06</v>
      </c>
      <c r="CK41" s="6"/>
      <c r="CL41" s="6"/>
      <c r="CM41" s="6"/>
      <c r="CN41" s="6"/>
      <c r="CO41" s="6"/>
      <c r="CP41" s="6"/>
      <c r="CQ41" s="6"/>
      <c r="CR41" s="6"/>
      <c r="CS41" s="7">
        <f>ROUND(4.44,2)</f>
        <v>4.4400000000000004</v>
      </c>
      <c r="CT41" s="6"/>
      <c r="CU41" s="6"/>
      <c r="CV41" s="6"/>
      <c r="CW41" s="7">
        <f>ROUND(8885.53,2)</f>
        <v>8885.5300000000007</v>
      </c>
      <c r="CX41" s="7">
        <f>ROUND(2215.37,2)</f>
        <v>2215.37</v>
      </c>
      <c r="CY41" s="6"/>
      <c r="CZ41" s="6"/>
      <c r="DA41" s="6"/>
      <c r="DB41" s="6"/>
      <c r="DC41" s="7">
        <f>ROUND(2584.03999999999,2)</f>
        <v>2584.04</v>
      </c>
      <c r="DD41" s="6"/>
      <c r="DE41" s="7">
        <f>ROUND(2889.12,2)</f>
        <v>2889.12</v>
      </c>
      <c r="DF41" s="6"/>
      <c r="DG41" s="6"/>
      <c r="DH41" s="6"/>
      <c r="DI41" s="7">
        <f>ROUND(465.44,2)</f>
        <v>465.44</v>
      </c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7">
        <f>ROUND(1400,2)</f>
        <v>1400</v>
      </c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7">
        <f>ROUND(1250,2)</f>
        <v>1250</v>
      </c>
      <c r="ER41" s="6"/>
      <c r="ES41" s="6"/>
      <c r="ET41" s="6"/>
      <c r="EU41" s="7">
        <f>ROUND(1702.4,2)</f>
        <v>1702.4</v>
      </c>
      <c r="EV41" s="7">
        <f>ROUND(73198.0799999999,2)</f>
        <v>73198.080000000002</v>
      </c>
    </row>
    <row r="42" spans="1:152">
      <c r="A42" s="4" t="s">
        <v>244</v>
      </c>
      <c r="B42" s="4" t="s">
        <v>1058</v>
      </c>
      <c r="C42" s="5" t="s">
        <v>152</v>
      </c>
      <c r="D42" s="5" t="s">
        <v>245</v>
      </c>
      <c r="E42" s="5" t="s">
        <v>173</v>
      </c>
      <c r="F42" s="5" t="s">
        <v>0</v>
      </c>
      <c r="G42" s="5" t="s">
        <v>155</v>
      </c>
      <c r="H42" s="10">
        <v>27.93</v>
      </c>
      <c r="I42" s="6"/>
      <c r="J42" s="6"/>
      <c r="K42" s="6"/>
      <c r="L42" s="6"/>
      <c r="M42" s="7">
        <f>ROUND(1071.98,2)</f>
        <v>1071.98</v>
      </c>
      <c r="N42" s="6"/>
      <c r="O42" s="6"/>
      <c r="P42" s="7">
        <f>ROUND(93.08,2)</f>
        <v>93.08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7">
        <f>ROUND(32,2)</f>
        <v>32</v>
      </c>
      <c r="AD42" s="6"/>
      <c r="AE42" s="6"/>
      <c r="AF42" s="6"/>
      <c r="AG42" s="6"/>
      <c r="AH42" s="7">
        <f>ROUND(48,2)</f>
        <v>48</v>
      </c>
      <c r="AI42" s="6"/>
      <c r="AJ42" s="7">
        <f>ROUND(128,2)</f>
        <v>128</v>
      </c>
      <c r="AK42" s="6"/>
      <c r="AL42" s="7">
        <f>ROUND(8,2)</f>
        <v>8</v>
      </c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7">
        <f>ROUND(24,2)</f>
        <v>24</v>
      </c>
      <c r="BC42" s="7">
        <f>ROUND(72,2)</f>
        <v>72</v>
      </c>
      <c r="BD42" s="7">
        <f>ROUND(0.67,2)</f>
        <v>0.67</v>
      </c>
      <c r="BE42" s="7">
        <f>ROUND(0.67,2)</f>
        <v>0.67</v>
      </c>
      <c r="BF42" s="7">
        <f>ROUND(81.08,2)</f>
        <v>81.08</v>
      </c>
      <c r="BG42" s="7">
        <f>ROUND(48,2)</f>
        <v>48</v>
      </c>
      <c r="BH42" s="7">
        <f>ROUND(8,2)</f>
        <v>8</v>
      </c>
      <c r="BI42" s="6"/>
      <c r="BJ42" s="7">
        <f>ROUND(8,2)</f>
        <v>8</v>
      </c>
      <c r="BK42" s="6"/>
      <c r="BL42" s="6"/>
      <c r="BM42" s="7">
        <f>ROUND(16,2)</f>
        <v>16</v>
      </c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7">
        <f>ROUND(1639.48,2)</f>
        <v>1639.48</v>
      </c>
      <c r="CC42" s="6"/>
      <c r="CD42" s="6"/>
      <c r="CE42" s="6"/>
      <c r="CF42" s="6"/>
      <c r="CG42" s="7">
        <f>ROUND(29863.3,2)</f>
        <v>29863.3</v>
      </c>
      <c r="CH42" s="6"/>
      <c r="CI42" s="6"/>
      <c r="CJ42" s="7">
        <f>ROUND(3886.21,2)</f>
        <v>3886.21</v>
      </c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7">
        <f>ROUND(888.96,2)</f>
        <v>888.96</v>
      </c>
      <c r="CX42" s="6"/>
      <c r="CY42" s="6"/>
      <c r="CZ42" s="6"/>
      <c r="DA42" s="6"/>
      <c r="DB42" s="6"/>
      <c r="DC42" s="7">
        <f>ROUND(1333.44,2)</f>
        <v>1333.44</v>
      </c>
      <c r="DD42" s="6"/>
      <c r="DE42" s="7">
        <f>ROUND(3555.84,2)</f>
        <v>3555.84</v>
      </c>
      <c r="DF42" s="6"/>
      <c r="DG42" s="6"/>
      <c r="DH42" s="6"/>
      <c r="DI42" s="7">
        <f>ROUND(222.24,2)</f>
        <v>222.24</v>
      </c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7">
        <f>ROUND(2000.16,2)</f>
        <v>2000.16</v>
      </c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7">
        <f>ROUND(41750.1499999999,2)</f>
        <v>41750.15</v>
      </c>
    </row>
    <row r="43" spans="1:152" ht="24">
      <c r="A43" s="4" t="s">
        <v>246</v>
      </c>
      <c r="B43" s="4"/>
      <c r="C43" s="5" t="s">
        <v>178</v>
      </c>
      <c r="D43" s="5" t="s">
        <v>247</v>
      </c>
      <c r="E43" s="5" t="s">
        <v>0</v>
      </c>
      <c r="F43" s="5" t="s">
        <v>0</v>
      </c>
      <c r="G43" s="5" t="s">
        <v>248</v>
      </c>
      <c r="H43" s="10">
        <v>1050.5</v>
      </c>
      <c r="I43" s="7">
        <f>ROUND(1444,2)</f>
        <v>1444</v>
      </c>
      <c r="J43" s="7">
        <f>ROUND(89.5,2)</f>
        <v>89.5</v>
      </c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7">
        <f>ROUND(8,2)</f>
        <v>8</v>
      </c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7">
        <f>ROUND(32,2)</f>
        <v>32</v>
      </c>
      <c r="BU43" s="6"/>
      <c r="BV43" s="6"/>
      <c r="BW43" s="6"/>
      <c r="BX43" s="7">
        <f>ROUND(19.5,2)</f>
        <v>19.5</v>
      </c>
      <c r="BY43" s="7">
        <f>ROUND(40,2)</f>
        <v>40</v>
      </c>
      <c r="BZ43" s="7">
        <f>ROUND(8,2)</f>
        <v>8</v>
      </c>
      <c r="CA43" s="6"/>
      <c r="CB43" s="7">
        <f>ROUND(1641,2)</f>
        <v>1641</v>
      </c>
      <c r="CC43" s="7">
        <f>ROUND(26330.4199999999,2)</f>
        <v>26330.42</v>
      </c>
      <c r="CD43" s="7">
        <f>ROUND(2445.93,2)</f>
        <v>2445.9299999999998</v>
      </c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7">
        <f>ROUND(144,2)</f>
        <v>144</v>
      </c>
      <c r="EE43" s="7">
        <f>ROUND(1014,2)</f>
        <v>1014</v>
      </c>
      <c r="EF43" s="6"/>
      <c r="EG43" s="7">
        <f>ROUND(584.8,2)</f>
        <v>584.79999999999995</v>
      </c>
      <c r="EH43" s="6"/>
      <c r="EI43" s="6"/>
      <c r="EJ43" s="6"/>
      <c r="EK43" s="6"/>
      <c r="EL43" s="6"/>
      <c r="EM43" s="6"/>
      <c r="EN43" s="7">
        <f>ROUND(357.21,2)</f>
        <v>357.21</v>
      </c>
      <c r="EO43" s="6"/>
      <c r="EP43" s="6"/>
      <c r="EQ43" s="6"/>
      <c r="ER43" s="6"/>
      <c r="ES43" s="7">
        <f>ROUND(755.04,2)</f>
        <v>755.04</v>
      </c>
      <c r="ET43" s="7">
        <f>ROUND(152.8,2)</f>
        <v>152.80000000000001</v>
      </c>
      <c r="EU43" s="6"/>
      <c r="EV43" s="7">
        <f>ROUND(31784.1999999999,2)</f>
        <v>31784.2</v>
      </c>
    </row>
    <row r="44" spans="1:152">
      <c r="A44" s="4" t="s">
        <v>249</v>
      </c>
      <c r="B44" s="4" t="s">
        <v>1058</v>
      </c>
      <c r="C44" s="5" t="s">
        <v>152</v>
      </c>
      <c r="D44" s="5" t="s">
        <v>250</v>
      </c>
      <c r="E44" s="5" t="s">
        <v>251</v>
      </c>
      <c r="F44" s="5" t="s">
        <v>0</v>
      </c>
      <c r="G44" s="5" t="s">
        <v>155</v>
      </c>
      <c r="H44" s="10">
        <v>24.17</v>
      </c>
      <c r="I44" s="6"/>
      <c r="J44" s="6"/>
      <c r="K44" s="6"/>
      <c r="L44" s="6"/>
      <c r="M44" s="7">
        <f>ROUND(407.72,2)</f>
        <v>407.72</v>
      </c>
      <c r="N44" s="6"/>
      <c r="O44" s="6"/>
      <c r="P44" s="6"/>
      <c r="Q44" s="6"/>
      <c r="R44" s="6"/>
      <c r="S44" s="6"/>
      <c r="T44" s="7">
        <f>ROUND(0.17,2)</f>
        <v>0.17</v>
      </c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7">
        <f>ROUND(8,2)</f>
        <v>8</v>
      </c>
      <c r="AG44" s="6"/>
      <c r="AH44" s="7">
        <f>ROUND(15,2)</f>
        <v>15</v>
      </c>
      <c r="AI44" s="6"/>
      <c r="AJ44" s="7">
        <f>ROUND(15,2)</f>
        <v>15</v>
      </c>
      <c r="AK44" s="6"/>
      <c r="AL44" s="6"/>
      <c r="AM44" s="7">
        <f>ROUND(6,2)</f>
        <v>6</v>
      </c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7">
        <f>ROUND(15,2)</f>
        <v>15</v>
      </c>
      <c r="BC44" s="7">
        <f>ROUND(15,2)</f>
        <v>15</v>
      </c>
      <c r="BD44" s="7">
        <f>ROUND(4.51,2)</f>
        <v>4.51</v>
      </c>
      <c r="BE44" s="7">
        <f>ROUND(3.92,2)</f>
        <v>3.92</v>
      </c>
      <c r="BF44" s="7">
        <f>ROUND(129.399999999999,2)</f>
        <v>129.4</v>
      </c>
      <c r="BG44" s="6"/>
      <c r="BH44" s="7">
        <f>ROUND(5,2)</f>
        <v>5</v>
      </c>
      <c r="BI44" s="6"/>
      <c r="BJ44" s="7">
        <f>ROUND(45,2)</f>
        <v>45</v>
      </c>
      <c r="BK44" s="6"/>
      <c r="BL44" s="7">
        <f>ROUND(45,2)</f>
        <v>45</v>
      </c>
      <c r="BM44" s="7">
        <f>ROUND(50.4,2)</f>
        <v>50.4</v>
      </c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7">
        <f>ROUND(765.12,2)</f>
        <v>765.12</v>
      </c>
      <c r="CC44" s="6"/>
      <c r="CD44" s="6"/>
      <c r="CE44" s="6"/>
      <c r="CF44" s="6"/>
      <c r="CG44" s="7">
        <f>ROUND(9853.77,2)</f>
        <v>9853.77</v>
      </c>
      <c r="CH44" s="6"/>
      <c r="CI44" s="6"/>
      <c r="CJ44" s="6"/>
      <c r="CK44" s="6"/>
      <c r="CL44" s="6"/>
      <c r="CM44" s="6"/>
      <c r="CN44" s="7">
        <f>ROUND(8.22,2)</f>
        <v>8.2200000000000006</v>
      </c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7">
        <f>ROUND(193.34,2)</f>
        <v>193.34</v>
      </c>
      <c r="DB44" s="6"/>
      <c r="DC44" s="7">
        <f>ROUND(362.52,2)</f>
        <v>362.52</v>
      </c>
      <c r="DD44" s="6"/>
      <c r="DE44" s="7">
        <f>ROUND(362.52,2)</f>
        <v>362.52</v>
      </c>
      <c r="DF44" s="6"/>
      <c r="DG44" s="6"/>
      <c r="DH44" s="6"/>
      <c r="DI44" s="6"/>
      <c r="DJ44" s="7">
        <f>ROUND(145.01,2)</f>
        <v>145.01</v>
      </c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7">
        <f>ROUND(10925.38,2)</f>
        <v>10925.38</v>
      </c>
    </row>
    <row r="45" spans="1:152">
      <c r="A45" s="4" t="s">
        <v>252</v>
      </c>
      <c r="B45" s="4"/>
      <c r="C45" s="5" t="s">
        <v>253</v>
      </c>
      <c r="D45" s="5" t="s">
        <v>254</v>
      </c>
      <c r="E45" s="5" t="s">
        <v>212</v>
      </c>
      <c r="F45" s="5" t="s">
        <v>0</v>
      </c>
      <c r="G45" s="5" t="s">
        <v>255</v>
      </c>
      <c r="H45" s="10">
        <v>21.15</v>
      </c>
      <c r="I45" s="7">
        <f>ROUND(192,2)</f>
        <v>192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7">
        <f>ROUND(192,2)</f>
        <v>192</v>
      </c>
      <c r="CC45" s="7">
        <f>ROUND(4060.8,2)</f>
        <v>4060.8</v>
      </c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7">
        <f>ROUND(225,2)</f>
        <v>225</v>
      </c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7">
        <f>ROUND(4285.8,2)</f>
        <v>4285.8</v>
      </c>
    </row>
    <row r="46" spans="1:152">
      <c r="A46" s="4" t="s">
        <v>256</v>
      </c>
      <c r="B46" s="4" t="s">
        <v>1058</v>
      </c>
      <c r="C46" s="5" t="s">
        <v>152</v>
      </c>
      <c r="D46" s="5" t="s">
        <v>257</v>
      </c>
      <c r="E46" s="5" t="s">
        <v>0</v>
      </c>
      <c r="F46" s="5" t="s">
        <v>0</v>
      </c>
      <c r="G46" s="5" t="s">
        <v>155</v>
      </c>
      <c r="H46" s="10">
        <v>30.4</v>
      </c>
      <c r="I46" s="6"/>
      <c r="J46" s="6"/>
      <c r="K46" s="6"/>
      <c r="L46" s="6"/>
      <c r="M46" s="7">
        <f>ROUND(1017.67,2)</f>
        <v>1017.67</v>
      </c>
      <c r="N46" s="6"/>
      <c r="O46" s="6"/>
      <c r="P46" s="7">
        <f>ROUND(238.7,2)</f>
        <v>238.7</v>
      </c>
      <c r="Q46" s="6"/>
      <c r="R46" s="6"/>
      <c r="S46" s="6"/>
      <c r="T46" s="6"/>
      <c r="U46" s="7">
        <f>ROUND(26.8199999999999,2)</f>
        <v>26.82</v>
      </c>
      <c r="V46" s="7">
        <f>ROUND(20.62,2)</f>
        <v>20.62</v>
      </c>
      <c r="W46" s="7">
        <f>ROUND(7.38,2)</f>
        <v>7.38</v>
      </c>
      <c r="X46" s="7">
        <f>ROUND(1.42,2)</f>
        <v>1.42</v>
      </c>
      <c r="Y46" s="6"/>
      <c r="Z46" s="6"/>
      <c r="AA46" s="6"/>
      <c r="AB46" s="6"/>
      <c r="AC46" s="7">
        <f>ROUND(325.84,2)</f>
        <v>325.83999999999997</v>
      </c>
      <c r="AD46" s="7">
        <f>ROUND(14.34,2)</f>
        <v>14.34</v>
      </c>
      <c r="AE46" s="6"/>
      <c r="AF46" s="7">
        <f>ROUND(537.37,2)</f>
        <v>537.37</v>
      </c>
      <c r="AG46" s="7">
        <f>ROUND(67.1499999999999,2)</f>
        <v>67.150000000000006</v>
      </c>
      <c r="AH46" s="7">
        <f>ROUND(88,2)</f>
        <v>88</v>
      </c>
      <c r="AI46" s="6"/>
      <c r="AJ46" s="7">
        <f>ROUND(80,2)</f>
        <v>80</v>
      </c>
      <c r="AK46" s="6"/>
      <c r="AL46" s="7">
        <f>ROUND(5.38,2)</f>
        <v>5.38</v>
      </c>
      <c r="AM46" s="6"/>
      <c r="AN46" s="7">
        <f>ROUND(2.62,2)</f>
        <v>2.62</v>
      </c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7">
        <f>ROUND(3,2)</f>
        <v>3</v>
      </c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7">
        <f>ROUND(2436.31,2)</f>
        <v>2436.31</v>
      </c>
      <c r="CC46" s="6"/>
      <c r="CD46" s="6"/>
      <c r="CE46" s="6"/>
      <c r="CF46" s="6"/>
      <c r="CG46" s="7">
        <f>ROUND(28902.91,2)</f>
        <v>28902.91</v>
      </c>
      <c r="CH46" s="6"/>
      <c r="CI46" s="6"/>
      <c r="CJ46" s="7">
        <f>ROUND(10082.88,2)</f>
        <v>10082.879999999999</v>
      </c>
      <c r="CK46" s="6"/>
      <c r="CL46" s="6"/>
      <c r="CM46" s="6"/>
      <c r="CN46" s="6"/>
      <c r="CO46" s="7">
        <f>ROUND(746.09,2)</f>
        <v>746.09</v>
      </c>
      <c r="CP46" s="7">
        <f>ROUND(859.24,2)</f>
        <v>859.24</v>
      </c>
      <c r="CQ46" s="7">
        <f>ROUND(205.32,2)</f>
        <v>205.32</v>
      </c>
      <c r="CR46" s="7">
        <f>ROUND(59.17,2)</f>
        <v>59.17</v>
      </c>
      <c r="CS46" s="6"/>
      <c r="CT46" s="6"/>
      <c r="CU46" s="6"/>
      <c r="CV46" s="6"/>
      <c r="CW46" s="7">
        <f>ROUND(9054.58,2)</f>
        <v>9054.58</v>
      </c>
      <c r="CX46" s="7">
        <f>ROUND(597.54,2)</f>
        <v>597.54</v>
      </c>
      <c r="CY46" s="6"/>
      <c r="CZ46" s="6"/>
      <c r="DA46" s="7">
        <f>ROUND(14979.82,2)</f>
        <v>14979.82</v>
      </c>
      <c r="DB46" s="7">
        <f>ROUND(2809.09,2)</f>
        <v>2809.09</v>
      </c>
      <c r="DC46" s="7">
        <f>ROUND(2486.56,2)</f>
        <v>2486.56</v>
      </c>
      <c r="DD46" s="6"/>
      <c r="DE46" s="7">
        <f>ROUND(2469.76,2)</f>
        <v>2469.7600000000002</v>
      </c>
      <c r="DF46" s="6"/>
      <c r="DG46" s="6"/>
      <c r="DH46" s="6"/>
      <c r="DI46" s="7">
        <f>ROUND(149.46,2)</f>
        <v>149.46</v>
      </c>
      <c r="DJ46" s="6"/>
      <c r="DK46" s="7">
        <f>ROUND(109.18,2)</f>
        <v>109.18</v>
      </c>
      <c r="DL46" s="6"/>
      <c r="DM46" s="6"/>
      <c r="DN46" s="6"/>
      <c r="DO46" s="6"/>
      <c r="DP46" s="6"/>
      <c r="DQ46" s="6"/>
      <c r="DR46" s="7">
        <f>ROUND(500,2)</f>
        <v>500</v>
      </c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7">
        <f>ROUND(2000,2)</f>
        <v>2000</v>
      </c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7">
        <f>ROUND(1250,2)</f>
        <v>1250</v>
      </c>
      <c r="ER46" s="6"/>
      <c r="ES46" s="6"/>
      <c r="ET46" s="6"/>
      <c r="EU46" s="6"/>
      <c r="EV46" s="7">
        <f>ROUND(77261.5999999999,2)</f>
        <v>77261.600000000006</v>
      </c>
    </row>
    <row r="47" spans="1:152">
      <c r="A47" s="4" t="s">
        <v>258</v>
      </c>
      <c r="B47" s="4"/>
      <c r="C47" s="5" t="s">
        <v>259</v>
      </c>
      <c r="D47" s="5" t="s">
        <v>260</v>
      </c>
      <c r="E47" s="5" t="s">
        <v>0</v>
      </c>
      <c r="F47" s="5" t="s">
        <v>0</v>
      </c>
      <c r="G47" s="5" t="s">
        <v>261</v>
      </c>
      <c r="H47" s="10">
        <v>16</v>
      </c>
      <c r="I47" s="7">
        <f>ROUND(474.5,2)</f>
        <v>474.5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7">
        <f>ROUND(474.5,2)</f>
        <v>474.5</v>
      </c>
      <c r="CC47" s="7">
        <f>ROUND(7592,2)</f>
        <v>7592</v>
      </c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7">
        <f>ROUND(7592,2)</f>
        <v>7592</v>
      </c>
    </row>
    <row r="48" spans="1:152" ht="24">
      <c r="A48" s="4" t="s">
        <v>262</v>
      </c>
      <c r="B48" s="4"/>
      <c r="C48" s="5" t="s">
        <v>253</v>
      </c>
      <c r="D48" s="5" t="s">
        <v>263</v>
      </c>
      <c r="E48" s="5" t="s">
        <v>0</v>
      </c>
      <c r="F48" s="5" t="s">
        <v>0</v>
      </c>
      <c r="G48" s="5" t="s">
        <v>264</v>
      </c>
      <c r="H48" s="10">
        <v>1307.31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7">
        <f>ROUND(20,2)</f>
        <v>20</v>
      </c>
      <c r="BI48" s="6"/>
      <c r="BJ48" s="6"/>
      <c r="BK48" s="6"/>
      <c r="BL48" s="6"/>
      <c r="BM48" s="6"/>
      <c r="BN48" s="6"/>
      <c r="BO48" s="6"/>
      <c r="BP48" s="6"/>
      <c r="BQ48" s="6"/>
      <c r="BR48" s="7">
        <f>ROUND(40,2)</f>
        <v>40</v>
      </c>
      <c r="BS48" s="6"/>
      <c r="BT48" s="7">
        <f>ROUND(32,2)</f>
        <v>32</v>
      </c>
      <c r="BU48" s="7">
        <f>ROUND(16,2)</f>
        <v>16</v>
      </c>
      <c r="BV48" s="6"/>
      <c r="BW48" s="6"/>
      <c r="BX48" s="6"/>
      <c r="BY48" s="7">
        <f>ROUND(40,2)</f>
        <v>40</v>
      </c>
      <c r="BZ48" s="6"/>
      <c r="CA48" s="6"/>
      <c r="CB48" s="7">
        <f>ROUND(148,2)</f>
        <v>148</v>
      </c>
      <c r="CC48" s="7">
        <f>ROUND(58013.2999999999,2)</f>
        <v>58013.3</v>
      </c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7">
        <f>ROUND(3137.28,2)</f>
        <v>3137.28</v>
      </c>
      <c r="EF48" s="6"/>
      <c r="EG48" s="6"/>
      <c r="EH48" s="6"/>
      <c r="EI48" s="6"/>
      <c r="EJ48" s="6"/>
      <c r="EK48" s="6"/>
      <c r="EL48" s="6"/>
      <c r="EM48" s="7">
        <f>ROUND(375,2)</f>
        <v>375</v>
      </c>
      <c r="EN48" s="6"/>
      <c r="EO48" s="6"/>
      <c r="EP48" s="6"/>
      <c r="EQ48" s="6"/>
      <c r="ER48" s="6"/>
      <c r="ES48" s="6"/>
      <c r="ET48" s="6"/>
      <c r="EU48" s="6"/>
      <c r="EV48" s="7">
        <f>ROUND(61525.5799999999,2)</f>
        <v>61525.58</v>
      </c>
    </row>
    <row r="49" spans="1:152" ht="24">
      <c r="A49" s="4" t="s">
        <v>265</v>
      </c>
      <c r="B49" s="4"/>
      <c r="C49" s="5" t="s">
        <v>233</v>
      </c>
      <c r="D49" s="5" t="s">
        <v>266</v>
      </c>
      <c r="E49" s="5" t="s">
        <v>0</v>
      </c>
      <c r="F49" s="5" t="s">
        <v>0</v>
      </c>
      <c r="G49" s="5" t="s">
        <v>236</v>
      </c>
      <c r="H49" s="10">
        <v>18.54</v>
      </c>
      <c r="I49" s="7">
        <f>ROUND(589.75,2)</f>
        <v>589.75</v>
      </c>
      <c r="J49" s="7">
        <f>ROUND(9.75,2)</f>
        <v>9.75</v>
      </c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7">
        <f>ROUND(40,2)</f>
        <v>40</v>
      </c>
      <c r="BS49" s="6"/>
      <c r="BT49" s="7">
        <f>ROUND(16,2)</f>
        <v>16</v>
      </c>
      <c r="BU49" s="6"/>
      <c r="BV49" s="6"/>
      <c r="BW49" s="6"/>
      <c r="BX49" s="6"/>
      <c r="BY49" s="7">
        <f>ROUND(56,2)</f>
        <v>56</v>
      </c>
      <c r="BZ49" s="6"/>
      <c r="CA49" s="6"/>
      <c r="CB49" s="7">
        <f>ROUND(711.5,2)</f>
        <v>711.5</v>
      </c>
      <c r="CC49" s="7">
        <f>ROUND(10672.62,2)</f>
        <v>10672.62</v>
      </c>
      <c r="CD49" s="7">
        <f>ROUND(265.48,2)</f>
        <v>265.48</v>
      </c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7">
        <f>ROUND(225,2)</f>
        <v>225</v>
      </c>
      <c r="EF49" s="7">
        <f>ROUND(732.96,2)</f>
        <v>732.96</v>
      </c>
      <c r="EG49" s="7">
        <f>ROUND(292.32,2)</f>
        <v>292.32</v>
      </c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7">
        <f>ROUND(1038.24,2)</f>
        <v>1038.24</v>
      </c>
      <c r="ET49" s="6"/>
      <c r="EU49" s="6"/>
      <c r="EV49" s="7">
        <f>ROUND(13226.6199999999,2)</f>
        <v>13226.62</v>
      </c>
    </row>
    <row r="50" spans="1:152">
      <c r="A50" s="4" t="s">
        <v>267</v>
      </c>
      <c r="B50" s="4" t="s">
        <v>1058</v>
      </c>
      <c r="C50" s="5" t="s">
        <v>152</v>
      </c>
      <c r="D50" s="5" t="s">
        <v>268</v>
      </c>
      <c r="E50" s="5" t="s">
        <v>0</v>
      </c>
      <c r="F50" s="5" t="s">
        <v>0</v>
      </c>
      <c r="G50" s="5" t="s">
        <v>155</v>
      </c>
      <c r="H50" s="10">
        <v>30.4</v>
      </c>
      <c r="I50" s="6"/>
      <c r="J50" s="6"/>
      <c r="K50" s="6"/>
      <c r="L50" s="6"/>
      <c r="M50" s="7">
        <f>ROUND(1780.81,2)</f>
        <v>1780.81</v>
      </c>
      <c r="N50" s="6"/>
      <c r="O50" s="6"/>
      <c r="P50" s="7">
        <f>ROUND(282.129999999999,2)</f>
        <v>282.13</v>
      </c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7">
        <f>ROUND(74,2)</f>
        <v>74</v>
      </c>
      <c r="AI50" s="6"/>
      <c r="AJ50" s="7">
        <f>ROUND(120,2)</f>
        <v>120</v>
      </c>
      <c r="AK50" s="6"/>
      <c r="AL50" s="7">
        <f>ROUND(8,2)</f>
        <v>8</v>
      </c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7">
        <f>ROUND(24,2)</f>
        <v>24</v>
      </c>
      <c r="BC50" s="7">
        <f>ROUND(40,2)</f>
        <v>40</v>
      </c>
      <c r="BD50" s="7">
        <f>ROUND(4.58,2)</f>
        <v>4.58</v>
      </c>
      <c r="BE50" s="6"/>
      <c r="BF50" s="6"/>
      <c r="BG50" s="6"/>
      <c r="BH50" s="7">
        <f>ROUND(8,2)</f>
        <v>8</v>
      </c>
      <c r="BI50" s="6"/>
      <c r="BJ50" s="6"/>
      <c r="BK50" s="6"/>
      <c r="BL50" s="6"/>
      <c r="BM50" s="7">
        <f>ROUND(96,2)</f>
        <v>96</v>
      </c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7">
        <f>ROUND(2437.51999999999,2)</f>
        <v>2437.52</v>
      </c>
      <c r="CC50" s="6"/>
      <c r="CD50" s="6"/>
      <c r="CE50" s="6"/>
      <c r="CF50" s="6"/>
      <c r="CG50" s="7">
        <f>ROUND(50288.3199999999,2)</f>
        <v>50288.32</v>
      </c>
      <c r="CH50" s="6"/>
      <c r="CI50" s="6"/>
      <c r="CJ50" s="7">
        <f>ROUND(11916.67,2)</f>
        <v>11916.67</v>
      </c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7">
        <f>ROUND(2076.68,2)</f>
        <v>2076.6799999999998</v>
      </c>
      <c r="DD50" s="6"/>
      <c r="DE50" s="7">
        <f>ROUND(3333.6,2)</f>
        <v>3333.6</v>
      </c>
      <c r="DF50" s="6"/>
      <c r="DG50" s="6"/>
      <c r="DH50" s="6"/>
      <c r="DI50" s="7">
        <f>ROUND(222.24,2)</f>
        <v>222.24</v>
      </c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7">
        <f>ROUND(575,2)</f>
        <v>575</v>
      </c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7">
        <f>ROUND(1250,2)</f>
        <v>1250</v>
      </c>
      <c r="ER50" s="6"/>
      <c r="ES50" s="6"/>
      <c r="ET50" s="6"/>
      <c r="EU50" s="6"/>
      <c r="EV50" s="7">
        <f>ROUND(69662.51,2)</f>
        <v>69662.509999999995</v>
      </c>
    </row>
    <row r="51" spans="1:152">
      <c r="A51" s="4" t="s">
        <v>269</v>
      </c>
      <c r="B51" s="4" t="s">
        <v>1058</v>
      </c>
      <c r="C51" s="5" t="s">
        <v>152</v>
      </c>
      <c r="D51" s="5" t="s">
        <v>270</v>
      </c>
      <c r="E51" s="5" t="s">
        <v>0</v>
      </c>
      <c r="F51" s="5" t="s">
        <v>0</v>
      </c>
      <c r="G51" s="5" t="s">
        <v>155</v>
      </c>
      <c r="H51" s="10">
        <v>28.88</v>
      </c>
      <c r="I51" s="6"/>
      <c r="J51" s="6"/>
      <c r="K51" s="6"/>
      <c r="L51" s="6"/>
      <c r="M51" s="7">
        <f>ROUND(970.05,2)</f>
        <v>970.05</v>
      </c>
      <c r="N51" s="6"/>
      <c r="O51" s="6"/>
      <c r="P51" s="7">
        <f>ROUND(145.41,2)</f>
        <v>145.41</v>
      </c>
      <c r="Q51" s="6"/>
      <c r="R51" s="6"/>
      <c r="S51" s="6"/>
      <c r="T51" s="7">
        <f>ROUND(0.17,2)</f>
        <v>0.17</v>
      </c>
      <c r="U51" s="7">
        <f>ROUND(61,2)</f>
        <v>61</v>
      </c>
      <c r="V51" s="7">
        <f>ROUND(26.35,2)</f>
        <v>26.35</v>
      </c>
      <c r="W51" s="7">
        <f>ROUND(11.91,2)</f>
        <v>11.91</v>
      </c>
      <c r="X51" s="7">
        <f>ROUND(1.07,2)</f>
        <v>1.07</v>
      </c>
      <c r="Y51" s="7">
        <f>ROUND(0.45,2)</f>
        <v>0.45</v>
      </c>
      <c r="Z51" s="6"/>
      <c r="AA51" s="6"/>
      <c r="AB51" s="6"/>
      <c r="AC51" s="7">
        <f>ROUND(139.09,2)</f>
        <v>139.09</v>
      </c>
      <c r="AD51" s="7">
        <f>ROUND(8,2)</f>
        <v>8</v>
      </c>
      <c r="AE51" s="6"/>
      <c r="AF51" s="7">
        <f>ROUND(692.52,2)</f>
        <v>692.52</v>
      </c>
      <c r="AG51" s="7">
        <f>ROUND(166.45,2)</f>
        <v>166.45</v>
      </c>
      <c r="AH51" s="7">
        <f>ROUND(104,2)</f>
        <v>104</v>
      </c>
      <c r="AI51" s="6"/>
      <c r="AJ51" s="7">
        <f>ROUND(56,2)</f>
        <v>56</v>
      </c>
      <c r="AK51" s="6"/>
      <c r="AL51" s="7">
        <f>ROUND(10.5,2)</f>
        <v>10.5</v>
      </c>
      <c r="AM51" s="7">
        <f>ROUND(1.08,2)</f>
        <v>1.08</v>
      </c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7">
        <f>ROUND(16,2)</f>
        <v>16</v>
      </c>
      <c r="BC51" s="7">
        <f>ROUND(8,2)</f>
        <v>8</v>
      </c>
      <c r="BD51" s="7">
        <f>ROUND(3.09,2)</f>
        <v>3.09</v>
      </c>
      <c r="BE51" s="7">
        <f>ROUND(32,2)</f>
        <v>32</v>
      </c>
      <c r="BF51" s="6"/>
      <c r="BG51" s="6"/>
      <c r="BH51" s="6"/>
      <c r="BI51" s="6"/>
      <c r="BJ51" s="6"/>
      <c r="BK51" s="6"/>
      <c r="BL51" s="6"/>
      <c r="BM51" s="7">
        <f>ROUND(32,2)</f>
        <v>32</v>
      </c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7">
        <f>ROUND(2485.14,2)</f>
        <v>2485.14</v>
      </c>
      <c r="CC51" s="6"/>
      <c r="CD51" s="6"/>
      <c r="CE51" s="6"/>
      <c r="CF51" s="6"/>
      <c r="CG51" s="7">
        <f>ROUND(21105.17,2)</f>
        <v>21105.17</v>
      </c>
      <c r="CH51" s="6"/>
      <c r="CI51" s="6"/>
      <c r="CJ51" s="7">
        <f>ROUND(4772.54,2)</f>
        <v>4772.54</v>
      </c>
      <c r="CK51" s="6"/>
      <c r="CL51" s="6"/>
      <c r="CM51" s="6"/>
      <c r="CN51" s="7">
        <f>ROUND(7.08,2)</f>
        <v>7.08</v>
      </c>
      <c r="CO51" s="7">
        <f>ROUND(1368.86,2)</f>
        <v>1368.86</v>
      </c>
      <c r="CP51" s="7">
        <f>ROUND(905.869999999999,2)</f>
        <v>905.87</v>
      </c>
      <c r="CQ51" s="7">
        <f>ROUND(254.659999999999,2)</f>
        <v>254.66</v>
      </c>
      <c r="CR51" s="7">
        <f>ROUND(33.43,2)</f>
        <v>33.43</v>
      </c>
      <c r="CS51" s="7">
        <f>ROUND(18.75,2)</f>
        <v>18.75</v>
      </c>
      <c r="CT51" s="6"/>
      <c r="CU51" s="6"/>
      <c r="CV51" s="6"/>
      <c r="CW51" s="7">
        <f>ROUND(3098.20999999999,2)</f>
        <v>3098.21</v>
      </c>
      <c r="CX51" s="7">
        <f>ROUND(251.82,2)</f>
        <v>251.82</v>
      </c>
      <c r="CY51" s="6"/>
      <c r="CZ51" s="6"/>
      <c r="DA51" s="7">
        <f>ROUND(14910.73,2)</f>
        <v>14910.73</v>
      </c>
      <c r="DB51" s="7">
        <f>ROUND(5324.77,2)</f>
        <v>5324.77</v>
      </c>
      <c r="DC51" s="7">
        <f>ROUND(2427.84,2)</f>
        <v>2427.84</v>
      </c>
      <c r="DD51" s="6"/>
      <c r="DE51" s="7">
        <f>ROUND(1218.96,2)</f>
        <v>1218.96</v>
      </c>
      <c r="DF51" s="6"/>
      <c r="DG51" s="6"/>
      <c r="DH51" s="6"/>
      <c r="DI51" s="7">
        <f>ROUND(219.07,2)</f>
        <v>219.07</v>
      </c>
      <c r="DJ51" s="7">
        <f>ROUND(22.5,2)</f>
        <v>22.5</v>
      </c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7">
        <f>ROUND(1150,2)</f>
        <v>1150</v>
      </c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7">
        <f>ROUND(1500,2)</f>
        <v>1500</v>
      </c>
      <c r="ER51" s="6"/>
      <c r="ES51" s="6"/>
      <c r="ET51" s="6"/>
      <c r="EU51" s="6"/>
      <c r="EV51" s="7">
        <f>ROUND(58590.2599999999,2)</f>
        <v>58590.26</v>
      </c>
    </row>
    <row r="52" spans="1:152">
      <c r="A52" s="4" t="s">
        <v>271</v>
      </c>
      <c r="B52" s="4" t="s">
        <v>1058</v>
      </c>
      <c r="C52" s="5" t="s">
        <v>152</v>
      </c>
      <c r="D52" s="5" t="s">
        <v>243</v>
      </c>
      <c r="E52" s="5" t="s">
        <v>0</v>
      </c>
      <c r="F52" s="5" t="s">
        <v>0</v>
      </c>
      <c r="G52" s="5" t="s">
        <v>155</v>
      </c>
      <c r="H52" s="10">
        <v>30.4</v>
      </c>
      <c r="I52" s="6"/>
      <c r="J52" s="6"/>
      <c r="K52" s="6"/>
      <c r="L52" s="6"/>
      <c r="M52" s="7">
        <f>ROUND(1201.12,2)</f>
        <v>1201.1199999999999</v>
      </c>
      <c r="N52" s="6"/>
      <c r="O52" s="6"/>
      <c r="P52" s="7">
        <f>ROUND(186.74,2)</f>
        <v>186.74</v>
      </c>
      <c r="Q52" s="6"/>
      <c r="R52" s="6"/>
      <c r="S52" s="6"/>
      <c r="T52" s="6"/>
      <c r="U52" s="6"/>
      <c r="V52" s="6"/>
      <c r="W52" s="7">
        <f>ROUND(2.49,2)</f>
        <v>2.4900000000000002</v>
      </c>
      <c r="X52" s="7">
        <f>ROUND(0.33,2)</f>
        <v>0.33</v>
      </c>
      <c r="Y52" s="6"/>
      <c r="Z52" s="6"/>
      <c r="AA52" s="6"/>
      <c r="AB52" s="6"/>
      <c r="AC52" s="7">
        <f>ROUND(401.45,2)</f>
        <v>401.45</v>
      </c>
      <c r="AD52" s="7">
        <f>ROUND(4.35,2)</f>
        <v>4.3499999999999996</v>
      </c>
      <c r="AE52" s="6"/>
      <c r="AF52" s="7">
        <f>ROUND(222.42,2)</f>
        <v>222.42</v>
      </c>
      <c r="AG52" s="7">
        <f>ROUND(16.04,2)</f>
        <v>16.04</v>
      </c>
      <c r="AH52" s="7">
        <f>ROUND(80,2)</f>
        <v>80</v>
      </c>
      <c r="AI52" s="6"/>
      <c r="AJ52" s="7">
        <f>ROUND(120,2)</f>
        <v>120</v>
      </c>
      <c r="AK52" s="6"/>
      <c r="AL52" s="7">
        <f>ROUND(8,2)</f>
        <v>8</v>
      </c>
      <c r="AM52" s="6"/>
      <c r="AN52" s="6"/>
      <c r="AO52" s="6"/>
      <c r="AP52" s="7">
        <f>ROUND(41.97,2)</f>
        <v>41.97</v>
      </c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7">
        <f>ROUND(5.25,2)</f>
        <v>5.25</v>
      </c>
      <c r="BF52" s="6"/>
      <c r="BG52" s="6"/>
      <c r="BH52" s="6"/>
      <c r="BI52" s="6"/>
      <c r="BJ52" s="7">
        <f>ROUND(8,2)</f>
        <v>8</v>
      </c>
      <c r="BK52" s="6"/>
      <c r="BL52" s="7">
        <f>ROUND(32,2)</f>
        <v>32</v>
      </c>
      <c r="BM52" s="7">
        <f>ROUND(8,2)</f>
        <v>8</v>
      </c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7">
        <f>ROUND(40,2)</f>
        <v>40</v>
      </c>
      <c r="CB52" s="7">
        <f>ROUND(2378.15999999999,2)</f>
        <v>2378.16</v>
      </c>
      <c r="CC52" s="6"/>
      <c r="CD52" s="6"/>
      <c r="CE52" s="6"/>
      <c r="CF52" s="6"/>
      <c r="CG52" s="7">
        <f>ROUND(34095.12,2)</f>
        <v>34095.120000000003</v>
      </c>
      <c r="CH52" s="6"/>
      <c r="CI52" s="6"/>
      <c r="CJ52" s="7">
        <f>ROUND(7936.56,2)</f>
        <v>7936.56</v>
      </c>
      <c r="CK52" s="6"/>
      <c r="CL52" s="6"/>
      <c r="CM52" s="6"/>
      <c r="CN52" s="6"/>
      <c r="CO52" s="6"/>
      <c r="CP52" s="6"/>
      <c r="CQ52" s="7">
        <f>ROUND(69.36,2)</f>
        <v>69.36</v>
      </c>
      <c r="CR52" s="7">
        <f>ROUND(13.75,2)</f>
        <v>13.75</v>
      </c>
      <c r="CS52" s="6"/>
      <c r="CT52" s="6"/>
      <c r="CU52" s="6"/>
      <c r="CV52" s="6"/>
      <c r="CW52" s="7">
        <f>ROUND(11166.84,2)</f>
        <v>11166.84</v>
      </c>
      <c r="CX52" s="7">
        <f>ROUND(181.26,2)</f>
        <v>181.26</v>
      </c>
      <c r="CY52" s="6"/>
      <c r="CZ52" s="6"/>
      <c r="DA52" s="7">
        <f>ROUND(6193.15999999999,2)</f>
        <v>6193.16</v>
      </c>
      <c r="DB52" s="7">
        <f>ROUND(669.389999999999,2)</f>
        <v>669.39</v>
      </c>
      <c r="DC52" s="7">
        <f>ROUND(2264.32,2)</f>
        <v>2264.3200000000002</v>
      </c>
      <c r="DD52" s="6"/>
      <c r="DE52" s="7">
        <f>ROUND(3354.55999999999,2)</f>
        <v>3354.56</v>
      </c>
      <c r="DF52" s="6"/>
      <c r="DG52" s="6"/>
      <c r="DH52" s="6"/>
      <c r="DI52" s="7">
        <f>ROUND(222.24,2)</f>
        <v>222.24</v>
      </c>
      <c r="DJ52" s="6"/>
      <c r="DK52" s="6"/>
      <c r="DL52" s="6"/>
      <c r="DM52" s="7">
        <f>ROUND(1189.43,2)</f>
        <v>1189.43</v>
      </c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7">
        <f>ROUND(1200,2)</f>
        <v>1200</v>
      </c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7">
        <f>ROUND(1250,2)</f>
        <v>1250</v>
      </c>
      <c r="ER52" s="6"/>
      <c r="ES52" s="6"/>
      <c r="ET52" s="6"/>
      <c r="EU52" s="7">
        <f>ROUND(1216,2)</f>
        <v>1216</v>
      </c>
      <c r="EV52" s="7">
        <f>ROUND(71021.99,2)</f>
        <v>71021.990000000005</v>
      </c>
    </row>
    <row r="53" spans="1:152" ht="24">
      <c r="A53" s="4" t="s">
        <v>272</v>
      </c>
      <c r="B53" s="4"/>
      <c r="C53" s="5" t="s">
        <v>273</v>
      </c>
      <c r="D53" s="5" t="s">
        <v>274</v>
      </c>
      <c r="E53" s="5" t="s">
        <v>0</v>
      </c>
      <c r="F53" s="5" t="s">
        <v>0</v>
      </c>
      <c r="G53" s="5" t="s">
        <v>275</v>
      </c>
      <c r="H53" s="10">
        <v>2809.35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7">
        <f>ROUND(8,2)</f>
        <v>8</v>
      </c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7">
        <f>ROUND(24,2)</f>
        <v>24</v>
      </c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7">
        <f>ROUND(32,2)</f>
        <v>32</v>
      </c>
      <c r="BU53" s="7">
        <f>ROUND(32,2)</f>
        <v>32</v>
      </c>
      <c r="BV53" s="6"/>
      <c r="BW53" s="6"/>
      <c r="BX53" s="6"/>
      <c r="BY53" s="7">
        <f>ROUND(128,2)</f>
        <v>128</v>
      </c>
      <c r="BZ53" s="6"/>
      <c r="CA53" s="6"/>
      <c r="CB53" s="7">
        <f>ROUND(224,2)</f>
        <v>224</v>
      </c>
      <c r="CC53" s="7">
        <f>ROUND(146086.2,2)</f>
        <v>146086.20000000001</v>
      </c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7">
        <f>ROUND(6000,2)</f>
        <v>6000</v>
      </c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7">
        <f>ROUND(6742.08,2)</f>
        <v>6742.08</v>
      </c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7">
        <f>ROUND(2809.35,2)</f>
        <v>2809.35</v>
      </c>
      <c r="ET53" s="6"/>
      <c r="EU53" s="6"/>
      <c r="EV53" s="7">
        <f>ROUND(161637.63,2)</f>
        <v>161637.63</v>
      </c>
    </row>
    <row r="54" spans="1:152">
      <c r="A54" s="4" t="s">
        <v>276</v>
      </c>
      <c r="B54" s="4"/>
      <c r="C54" s="5" t="s">
        <v>277</v>
      </c>
      <c r="D54" s="5" t="s">
        <v>278</v>
      </c>
      <c r="E54" s="5" t="s">
        <v>0</v>
      </c>
      <c r="F54" s="5" t="s">
        <v>0</v>
      </c>
      <c r="G54" s="5" t="s">
        <v>279</v>
      </c>
      <c r="H54" s="10">
        <v>23.89</v>
      </c>
      <c r="I54" s="7">
        <f>ROUND(1811.25,2)</f>
        <v>1811.25</v>
      </c>
      <c r="J54" s="7">
        <f>ROUND(14,2)</f>
        <v>14</v>
      </c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7">
        <f>ROUND(24,2)</f>
        <v>24</v>
      </c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7">
        <f>ROUND(32,2)</f>
        <v>32</v>
      </c>
      <c r="BU54" s="7">
        <f>ROUND(40,2)</f>
        <v>40</v>
      </c>
      <c r="BV54" s="6"/>
      <c r="BW54" s="6"/>
      <c r="BX54" s="7">
        <f>ROUND(45,2)</f>
        <v>45</v>
      </c>
      <c r="BY54" s="7">
        <f>ROUND(128,2)</f>
        <v>128</v>
      </c>
      <c r="BZ54" s="6"/>
      <c r="CA54" s="6"/>
      <c r="CB54" s="7">
        <f>ROUND(2094.25,2)</f>
        <v>2094.25</v>
      </c>
      <c r="CC54" s="7">
        <f>ROUND(41193.01,2)</f>
        <v>41193.01</v>
      </c>
      <c r="CD54" s="7">
        <f>ROUND(473.239999999999,2)</f>
        <v>473.24</v>
      </c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7">
        <f>ROUND(500,2)</f>
        <v>500</v>
      </c>
      <c r="DT54" s="7">
        <f>ROUND(0,2)</f>
        <v>0</v>
      </c>
      <c r="DU54" s="6"/>
      <c r="DV54" s="6"/>
      <c r="DW54" s="6"/>
      <c r="DX54" s="6"/>
      <c r="DY54" s="6"/>
      <c r="DZ54" s="6"/>
      <c r="EA54" s="6"/>
      <c r="EB54" s="6"/>
      <c r="EC54" s="6"/>
      <c r="ED54" s="7">
        <f>ROUND(540.27,2)</f>
        <v>540.27</v>
      </c>
      <c r="EE54" s="7">
        <f>ROUND(2293.44,2)</f>
        <v>2293.44</v>
      </c>
      <c r="EF54" s="6"/>
      <c r="EG54" s="7">
        <f>ROUND(731.39,2)</f>
        <v>731.39</v>
      </c>
      <c r="EH54" s="7">
        <f>ROUND(922.519999999999,2)</f>
        <v>922.52</v>
      </c>
      <c r="EI54" s="6"/>
      <c r="EJ54" s="6"/>
      <c r="EK54" s="6"/>
      <c r="EL54" s="6"/>
      <c r="EM54" s="6"/>
      <c r="EN54" s="7">
        <f>ROUND(1032.19,2)</f>
        <v>1032.19</v>
      </c>
      <c r="EO54" s="6"/>
      <c r="EP54" s="6"/>
      <c r="EQ54" s="6"/>
      <c r="ER54" s="6"/>
      <c r="ES54" s="7">
        <f>ROUND(2903.51,2)</f>
        <v>2903.51</v>
      </c>
      <c r="ET54" s="6"/>
      <c r="EU54" s="6"/>
      <c r="EV54" s="7">
        <f>ROUND(50589.5699999999,2)</f>
        <v>50589.57</v>
      </c>
    </row>
    <row r="55" spans="1:152">
      <c r="A55" s="4" t="s">
        <v>280</v>
      </c>
      <c r="B55" s="4" t="s">
        <v>1058</v>
      </c>
      <c r="C55" s="5" t="s">
        <v>152</v>
      </c>
      <c r="D55" s="5" t="s">
        <v>281</v>
      </c>
      <c r="E55" s="5" t="s">
        <v>0</v>
      </c>
      <c r="F55" s="5" t="s">
        <v>0</v>
      </c>
      <c r="G55" s="5" t="s">
        <v>155</v>
      </c>
      <c r="H55" s="10">
        <v>24.32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7">
        <f>ROUND(6,2)</f>
        <v>6</v>
      </c>
      <c r="AD55" s="6"/>
      <c r="AE55" s="6"/>
      <c r="AF55" s="6"/>
      <c r="AG55" s="6"/>
      <c r="AH55" s="7">
        <f>ROUND(10,2)</f>
        <v>10</v>
      </c>
      <c r="AI55" s="6"/>
      <c r="AJ55" s="6"/>
      <c r="AK55" s="6"/>
      <c r="AL55" s="7">
        <f>ROUND(213.649999999999,2)</f>
        <v>213.65</v>
      </c>
      <c r="AM55" s="6"/>
      <c r="AN55" s="7">
        <f>ROUND(4.44999999999999,2)</f>
        <v>4.45</v>
      </c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7">
        <f>ROUND(234.1,2)</f>
        <v>234.1</v>
      </c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7">
        <f>ROUND(105,2)</f>
        <v>105</v>
      </c>
      <c r="CX55" s="6"/>
      <c r="CY55" s="6"/>
      <c r="CZ55" s="6"/>
      <c r="DA55" s="6"/>
      <c r="DB55" s="6"/>
      <c r="DC55" s="7">
        <f>ROUND(175,2)</f>
        <v>175</v>
      </c>
      <c r="DD55" s="6"/>
      <c r="DE55" s="6"/>
      <c r="DF55" s="6"/>
      <c r="DG55" s="6"/>
      <c r="DH55" s="6"/>
      <c r="DI55" s="7">
        <f>ROUND(3738.88,2)</f>
        <v>3738.88</v>
      </c>
      <c r="DJ55" s="6"/>
      <c r="DK55" s="7">
        <f>ROUND(116.82,2)</f>
        <v>116.82</v>
      </c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7">
        <f>ROUND(4135.7,2)</f>
        <v>4135.7</v>
      </c>
    </row>
    <row r="56" spans="1:152">
      <c r="A56" s="4" t="s">
        <v>282</v>
      </c>
      <c r="B56" s="4" t="s">
        <v>1058</v>
      </c>
      <c r="C56" s="5" t="s">
        <v>152</v>
      </c>
      <c r="D56" s="5" t="s">
        <v>281</v>
      </c>
      <c r="E56" s="5" t="s">
        <v>283</v>
      </c>
      <c r="F56" s="5" t="s">
        <v>0</v>
      </c>
      <c r="G56" s="5" t="s">
        <v>155</v>
      </c>
      <c r="H56" s="10">
        <v>17.5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7">
        <f>ROUND(5,2)</f>
        <v>5</v>
      </c>
      <c r="AI56" s="6"/>
      <c r="AJ56" s="6"/>
      <c r="AK56" s="6"/>
      <c r="AL56" s="7">
        <f>ROUND(163.5,2)</f>
        <v>163.5</v>
      </c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7">
        <f>ROUND(168.5,2)</f>
        <v>168.5</v>
      </c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7">
        <f>ROUND(87.5,2)</f>
        <v>87.5</v>
      </c>
      <c r="DD56" s="6"/>
      <c r="DE56" s="6"/>
      <c r="DF56" s="6"/>
      <c r="DG56" s="6"/>
      <c r="DH56" s="6"/>
      <c r="DI56" s="7">
        <f>ROUND(2861.25,2)</f>
        <v>2861.25</v>
      </c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7">
        <f>ROUND(2948.75,2)</f>
        <v>2948.75</v>
      </c>
    </row>
    <row r="57" spans="1:152" ht="24">
      <c r="A57" s="4" t="s">
        <v>284</v>
      </c>
      <c r="B57" s="4"/>
      <c r="C57" s="5" t="s">
        <v>285</v>
      </c>
      <c r="D57" s="5" t="s">
        <v>286</v>
      </c>
      <c r="E57" s="5" t="s">
        <v>0</v>
      </c>
      <c r="F57" s="5" t="s">
        <v>0</v>
      </c>
      <c r="G57" s="5" t="s">
        <v>287</v>
      </c>
      <c r="H57" s="10">
        <v>2277.88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7">
        <f>ROUND(6,2)</f>
        <v>6</v>
      </c>
      <c r="AB57" s="7">
        <f>ROUND(9,2)</f>
        <v>9</v>
      </c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7">
        <f>ROUND(24,2)</f>
        <v>24</v>
      </c>
      <c r="BI57" s="6"/>
      <c r="BJ57" s="6"/>
      <c r="BK57" s="6"/>
      <c r="BL57" s="6"/>
      <c r="BM57" s="6"/>
      <c r="BN57" s="6"/>
      <c r="BO57" s="6"/>
      <c r="BP57" s="6"/>
      <c r="BQ57" s="6"/>
      <c r="BR57" s="7">
        <f>ROUND(56,2)</f>
        <v>56</v>
      </c>
      <c r="BS57" s="6"/>
      <c r="BT57" s="7">
        <f>ROUND(32,2)</f>
        <v>32</v>
      </c>
      <c r="BU57" s="7">
        <f>ROUND(32,2)</f>
        <v>32</v>
      </c>
      <c r="BV57" s="6"/>
      <c r="BW57" s="6"/>
      <c r="BX57" s="6"/>
      <c r="BY57" s="7">
        <f>ROUND(80,2)</f>
        <v>80</v>
      </c>
      <c r="BZ57" s="7">
        <f>ROUND(8,2)</f>
        <v>8</v>
      </c>
      <c r="CA57" s="6"/>
      <c r="CB57" s="7">
        <f>ROUND(247,2)</f>
        <v>247</v>
      </c>
      <c r="CC57" s="7">
        <f>ROUND(97817.86,2)</f>
        <v>97817.86</v>
      </c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7">
        <f>ROUND(2250,2)</f>
        <v>2250</v>
      </c>
      <c r="CV57" s="7">
        <f>ROUND(3375,2)</f>
        <v>3375</v>
      </c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7">
        <f>ROUND(5467.2,2)</f>
        <v>5467.2</v>
      </c>
      <c r="EF57" s="6"/>
      <c r="EG57" s="6"/>
      <c r="EH57" s="6"/>
      <c r="EI57" s="6"/>
      <c r="EJ57" s="6"/>
      <c r="EK57" s="6"/>
      <c r="EL57" s="6"/>
      <c r="EM57" s="7">
        <f>ROUND(3750,2)</f>
        <v>3750</v>
      </c>
      <c r="EN57" s="6"/>
      <c r="EO57" s="6"/>
      <c r="EP57" s="6"/>
      <c r="EQ57" s="6"/>
      <c r="ER57" s="6"/>
      <c r="ES57" s="7">
        <f>ROUND(1583.68,2)</f>
        <v>1583.68</v>
      </c>
      <c r="ET57" s="6"/>
      <c r="EU57" s="6"/>
      <c r="EV57" s="7">
        <f>ROUND(114243.74,2)</f>
        <v>114243.74</v>
      </c>
    </row>
    <row r="58" spans="1:152">
      <c r="A58" s="4" t="s">
        <v>288</v>
      </c>
      <c r="B58" s="4" t="s">
        <v>1058</v>
      </c>
      <c r="C58" s="5" t="s">
        <v>152</v>
      </c>
      <c r="D58" s="5" t="s">
        <v>289</v>
      </c>
      <c r="E58" s="5" t="s">
        <v>0</v>
      </c>
      <c r="F58" s="5" t="s">
        <v>0</v>
      </c>
      <c r="G58" s="5" t="s">
        <v>155</v>
      </c>
      <c r="H58" s="10">
        <v>30.4</v>
      </c>
      <c r="I58" s="6"/>
      <c r="J58" s="6"/>
      <c r="K58" s="6"/>
      <c r="L58" s="6"/>
      <c r="M58" s="7">
        <f>ROUND(1812.58,2)</f>
        <v>1812.58</v>
      </c>
      <c r="N58" s="6"/>
      <c r="O58" s="6"/>
      <c r="P58" s="7">
        <f>ROUND(307.559999999999,2)</f>
        <v>307.56</v>
      </c>
      <c r="Q58" s="6"/>
      <c r="R58" s="6"/>
      <c r="S58" s="6"/>
      <c r="T58" s="6"/>
      <c r="U58" s="6"/>
      <c r="V58" s="7">
        <f>ROUND(6.5,2)</f>
        <v>6.5</v>
      </c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7">
        <f>ROUND(96,2)</f>
        <v>96</v>
      </c>
      <c r="AI58" s="6"/>
      <c r="AJ58" s="7">
        <f>ROUND(160,2)</f>
        <v>160</v>
      </c>
      <c r="AK58" s="6"/>
      <c r="AL58" s="7">
        <f>ROUND(8.5,2)</f>
        <v>8.5</v>
      </c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7">
        <f>ROUND(5.42,2)</f>
        <v>5.42</v>
      </c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7">
        <f>ROUND(2396.56,2)</f>
        <v>2396.56</v>
      </c>
      <c r="CC58" s="6"/>
      <c r="CD58" s="6"/>
      <c r="CE58" s="6"/>
      <c r="CF58" s="6"/>
      <c r="CG58" s="7">
        <f>ROUND(51246.2099999999,2)</f>
        <v>51246.21</v>
      </c>
      <c r="CH58" s="6"/>
      <c r="CI58" s="6"/>
      <c r="CJ58" s="7">
        <f>ROUND(13049.4699999999,2)</f>
        <v>13049.47</v>
      </c>
      <c r="CK58" s="6"/>
      <c r="CL58" s="6"/>
      <c r="CM58" s="6"/>
      <c r="CN58" s="6"/>
      <c r="CO58" s="6"/>
      <c r="CP58" s="7">
        <f>ROUND(296.4,2)</f>
        <v>296.39999999999998</v>
      </c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7">
        <f>ROUND(2730.95999999999,2)</f>
        <v>2730.96</v>
      </c>
      <c r="DD58" s="6"/>
      <c r="DE58" s="7">
        <f>ROUND(4465.75999999999,2)</f>
        <v>4465.76</v>
      </c>
      <c r="DF58" s="6"/>
      <c r="DG58" s="6"/>
      <c r="DH58" s="6"/>
      <c r="DI58" s="7">
        <f>ROUND(236.13,2)</f>
        <v>236.13</v>
      </c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7">
        <f>ROUND(1450,2)</f>
        <v>1450</v>
      </c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7">
        <f>ROUND(1250,2)</f>
        <v>1250</v>
      </c>
      <c r="ER58" s="6"/>
      <c r="ES58" s="6"/>
      <c r="ET58" s="6"/>
      <c r="EU58" s="6"/>
      <c r="EV58" s="7">
        <f>ROUND(74724.93,2)</f>
        <v>74724.929999999993</v>
      </c>
    </row>
    <row r="59" spans="1:152">
      <c r="A59" s="4" t="s">
        <v>290</v>
      </c>
      <c r="B59" s="4" t="s">
        <v>1058</v>
      </c>
      <c r="C59" s="5" t="s">
        <v>152</v>
      </c>
      <c r="D59" s="5" t="s">
        <v>291</v>
      </c>
      <c r="E59" s="5" t="s">
        <v>292</v>
      </c>
      <c r="F59" s="5" t="s">
        <v>0</v>
      </c>
      <c r="G59" s="5" t="s">
        <v>155</v>
      </c>
      <c r="H59" s="10">
        <v>27.78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7">
        <f>ROUND(1359.5,2)</f>
        <v>1359.5</v>
      </c>
      <c r="AD59" s="7">
        <f>ROUND(17.57,2)</f>
        <v>17.57</v>
      </c>
      <c r="AE59" s="6"/>
      <c r="AF59" s="6"/>
      <c r="AG59" s="6"/>
      <c r="AH59" s="7">
        <f>ROUND(64,2)</f>
        <v>64</v>
      </c>
      <c r="AI59" s="6"/>
      <c r="AJ59" s="7">
        <f>ROUND(240,2)</f>
        <v>240</v>
      </c>
      <c r="AK59" s="6"/>
      <c r="AL59" s="7">
        <f>ROUND(8.5,2)</f>
        <v>8.5</v>
      </c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>
        <f>ROUND(8,2)</f>
        <v>8</v>
      </c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7">
        <f>ROUND(1697.57,2)</f>
        <v>1697.57</v>
      </c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7">
        <f>ROUND(37766.9099999999,2)</f>
        <v>37766.910000000003</v>
      </c>
      <c r="CX59" s="7">
        <f>ROUND(732.14,2)</f>
        <v>732.14</v>
      </c>
      <c r="CY59" s="6"/>
      <c r="CZ59" s="6"/>
      <c r="DA59" s="6"/>
      <c r="DB59" s="6"/>
      <c r="DC59" s="7">
        <f>ROUND(1777.92,2)</f>
        <v>1777.92</v>
      </c>
      <c r="DD59" s="6"/>
      <c r="DE59" s="7">
        <f>ROUND(6667.2,2)</f>
        <v>6667.2</v>
      </c>
      <c r="DF59" s="7">
        <f>ROUND(1075,2)</f>
        <v>1075</v>
      </c>
      <c r="DG59" s="6"/>
      <c r="DH59" s="6"/>
      <c r="DI59" s="7">
        <f>ROUND(236.13,2)</f>
        <v>236.13</v>
      </c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7">
        <f>ROUND(48255.2999999999,2)</f>
        <v>48255.3</v>
      </c>
    </row>
    <row r="60" spans="1:152">
      <c r="A60" s="4" t="s">
        <v>293</v>
      </c>
      <c r="B60" s="4"/>
      <c r="C60" s="5" t="s">
        <v>294</v>
      </c>
      <c r="D60" s="5" t="s">
        <v>295</v>
      </c>
      <c r="E60" s="5" t="s">
        <v>0</v>
      </c>
      <c r="F60" s="5" t="s">
        <v>0</v>
      </c>
      <c r="G60" s="5" t="s">
        <v>296</v>
      </c>
      <c r="H60" s="10">
        <v>2534.59</v>
      </c>
      <c r="I60" s="7">
        <f>ROUND(400,2)</f>
        <v>400</v>
      </c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7">
        <f>ROUND(8,2)</f>
        <v>8</v>
      </c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7">
        <f>ROUND(24,2)</f>
        <v>24</v>
      </c>
      <c r="BI60" s="6"/>
      <c r="BJ60" s="6"/>
      <c r="BK60" s="6"/>
      <c r="BL60" s="6"/>
      <c r="BM60" s="6"/>
      <c r="BN60" s="6"/>
      <c r="BO60" s="6"/>
      <c r="BP60" s="6"/>
      <c r="BQ60" s="7">
        <f>ROUND(8,2)</f>
        <v>8</v>
      </c>
      <c r="BR60" s="6"/>
      <c r="BS60" s="6"/>
      <c r="BT60" s="7">
        <f>ROUND(32,2)</f>
        <v>32</v>
      </c>
      <c r="BU60" s="7">
        <f>ROUND(40,2)</f>
        <v>40</v>
      </c>
      <c r="BV60" s="6"/>
      <c r="BW60" s="6"/>
      <c r="BX60" s="6"/>
      <c r="BY60" s="7">
        <f>ROUND(64,2)</f>
        <v>64</v>
      </c>
      <c r="BZ60" s="6"/>
      <c r="CA60" s="6"/>
      <c r="CB60" s="7">
        <f>ROUND(576,2)</f>
        <v>576</v>
      </c>
      <c r="CC60" s="7">
        <f>ROUND(123587.92,2)</f>
        <v>123587.92</v>
      </c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7">
        <f>ROUND(159,2)</f>
        <v>159</v>
      </c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7">
        <f>ROUND(6082.56,2)</f>
        <v>6082.56</v>
      </c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7">
        <f>ROUND(129829.48,2)</f>
        <v>129829.48</v>
      </c>
    </row>
    <row r="61" spans="1:152">
      <c r="A61" s="4" t="s">
        <v>297</v>
      </c>
      <c r="B61" s="4" t="s">
        <v>1058</v>
      </c>
      <c r="C61" s="5" t="s">
        <v>152</v>
      </c>
      <c r="D61" s="5" t="s">
        <v>298</v>
      </c>
      <c r="E61" s="5" t="s">
        <v>0</v>
      </c>
      <c r="F61" s="5" t="s">
        <v>0</v>
      </c>
      <c r="G61" s="5" t="s">
        <v>155</v>
      </c>
      <c r="H61" s="10">
        <v>30.4</v>
      </c>
      <c r="I61" s="6"/>
      <c r="J61" s="6"/>
      <c r="K61" s="6"/>
      <c r="L61" s="6"/>
      <c r="M61" s="7">
        <f>ROUND(1155.5,2)</f>
        <v>1155.5</v>
      </c>
      <c r="N61" s="6"/>
      <c r="O61" s="6"/>
      <c r="P61" s="7">
        <f>ROUND(153.82,2)</f>
        <v>153.82</v>
      </c>
      <c r="Q61" s="6"/>
      <c r="R61" s="6"/>
      <c r="S61" s="6"/>
      <c r="T61" s="6"/>
      <c r="U61" s="7">
        <f>ROUND(32.21,2)</f>
        <v>32.21</v>
      </c>
      <c r="V61" s="6"/>
      <c r="W61" s="7">
        <f>ROUND(11.3799999999999,2)</f>
        <v>11.38</v>
      </c>
      <c r="X61" s="7">
        <f>ROUND(1.94,2)</f>
        <v>1.94</v>
      </c>
      <c r="Y61" s="6"/>
      <c r="Z61" s="6"/>
      <c r="AA61" s="6"/>
      <c r="AB61" s="6"/>
      <c r="AC61" s="7">
        <f>ROUND(102.68,2)</f>
        <v>102.68</v>
      </c>
      <c r="AD61" s="7">
        <f>ROUND(12.43,2)</f>
        <v>12.43</v>
      </c>
      <c r="AE61" s="6"/>
      <c r="AF61" s="7">
        <f>ROUND(451.31,2)</f>
        <v>451.31</v>
      </c>
      <c r="AG61" s="7">
        <f>ROUND(34.6699999999999,2)</f>
        <v>34.67</v>
      </c>
      <c r="AH61" s="7">
        <f>ROUND(88,2)</f>
        <v>88</v>
      </c>
      <c r="AI61" s="6"/>
      <c r="AJ61" s="7">
        <f>ROUND(80,2)</f>
        <v>80</v>
      </c>
      <c r="AK61" s="6"/>
      <c r="AL61" s="7">
        <f>ROUND(16.5,2)</f>
        <v>16.5</v>
      </c>
      <c r="AM61" s="6"/>
      <c r="AN61" s="6"/>
      <c r="AO61" s="6"/>
      <c r="AP61" s="6"/>
      <c r="AQ61" s="6"/>
      <c r="AR61" s="6"/>
      <c r="AS61" s="6"/>
      <c r="AT61" s="6"/>
      <c r="AU61" s="6"/>
      <c r="AV61" s="7">
        <f>ROUND(1.67,2)</f>
        <v>1.67</v>
      </c>
      <c r="AW61" s="7">
        <f>ROUND(9.75,2)</f>
        <v>9.75</v>
      </c>
      <c r="AX61" s="6"/>
      <c r="AY61" s="6"/>
      <c r="AZ61" s="6"/>
      <c r="BA61" s="6"/>
      <c r="BB61" s="7">
        <f>ROUND(24,2)</f>
        <v>24</v>
      </c>
      <c r="BC61" s="7">
        <f>ROUND(88,2)</f>
        <v>88</v>
      </c>
      <c r="BD61" s="7">
        <f>ROUND(0.1,2)</f>
        <v>0.1</v>
      </c>
      <c r="BE61" s="7">
        <f>ROUND(12.82,2)</f>
        <v>12.82</v>
      </c>
      <c r="BF61" s="6"/>
      <c r="BG61" s="6"/>
      <c r="BH61" s="6"/>
      <c r="BI61" s="6"/>
      <c r="BJ61" s="7">
        <f>ROUND(40,2)</f>
        <v>40</v>
      </c>
      <c r="BK61" s="6"/>
      <c r="BL61" s="6"/>
      <c r="BM61" s="7">
        <f>ROUND(52.82,2)</f>
        <v>52.82</v>
      </c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7">
        <f>ROUND(2369.6,2)</f>
        <v>2369.6</v>
      </c>
      <c r="CC61" s="6"/>
      <c r="CD61" s="6"/>
      <c r="CE61" s="6"/>
      <c r="CF61" s="6"/>
      <c r="CG61" s="7">
        <f>ROUND(28574.4,2)</f>
        <v>28574.400000000001</v>
      </c>
      <c r="CH61" s="6"/>
      <c r="CI61" s="6"/>
      <c r="CJ61" s="7">
        <f>ROUND(5884.60999999999,2)</f>
        <v>5884.61</v>
      </c>
      <c r="CK61" s="6"/>
      <c r="CL61" s="6"/>
      <c r="CM61" s="6"/>
      <c r="CN61" s="6"/>
      <c r="CO61" s="7">
        <f>ROUND(754.37,2)</f>
        <v>754.37</v>
      </c>
      <c r="CP61" s="6"/>
      <c r="CQ61" s="7">
        <f>ROUND(266.13,2)</f>
        <v>266.13</v>
      </c>
      <c r="CR61" s="7">
        <f>ROUND(67.9,2)</f>
        <v>67.900000000000006</v>
      </c>
      <c r="CS61" s="6"/>
      <c r="CT61" s="6"/>
      <c r="CU61" s="6"/>
      <c r="CV61" s="6"/>
      <c r="CW61" s="7">
        <f>ROUND(2397.55,2)</f>
        <v>2397.5500000000002</v>
      </c>
      <c r="CX61" s="7">
        <f>ROUND(435.08,2)</f>
        <v>435.08</v>
      </c>
      <c r="CY61" s="6"/>
      <c r="CZ61" s="6"/>
      <c r="DA61" s="7">
        <f>ROUND(10626.82,2)</f>
        <v>10626.82</v>
      </c>
      <c r="DB61" s="7">
        <f>ROUND(1218.97,2)</f>
        <v>1218.97</v>
      </c>
      <c r="DC61" s="7">
        <f>ROUND(2166.52,2)</f>
        <v>2166.52</v>
      </c>
      <c r="DD61" s="6"/>
      <c r="DE61" s="7">
        <f>ROUND(2036.36,2)</f>
        <v>2036.36</v>
      </c>
      <c r="DF61" s="6"/>
      <c r="DG61" s="6"/>
      <c r="DH61" s="6"/>
      <c r="DI61" s="7">
        <f>ROUND(441.549999999999,2)</f>
        <v>441.55</v>
      </c>
      <c r="DJ61" s="6"/>
      <c r="DK61" s="6"/>
      <c r="DL61" s="6"/>
      <c r="DM61" s="6"/>
      <c r="DN61" s="6"/>
      <c r="DO61" s="6"/>
      <c r="DP61" s="6"/>
      <c r="DQ61" s="6"/>
      <c r="DR61" s="7">
        <f>ROUND(500,2)</f>
        <v>500</v>
      </c>
      <c r="DS61" s="6"/>
      <c r="DT61" s="6"/>
      <c r="DU61" s="6"/>
      <c r="DV61" s="6"/>
      <c r="DW61" s="7">
        <f>ROUND(38.97,2)</f>
        <v>38.97</v>
      </c>
      <c r="DX61" s="7">
        <f>ROUND(341.27,2)</f>
        <v>341.27</v>
      </c>
      <c r="DY61" s="6"/>
      <c r="DZ61" s="6"/>
      <c r="EA61" s="6"/>
      <c r="EB61" s="6"/>
      <c r="EC61" s="6"/>
      <c r="ED61" s="6"/>
      <c r="EE61" s="7">
        <f>ROUND(75,2)</f>
        <v>75</v>
      </c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7">
        <f>ROUND(1250,2)</f>
        <v>1250</v>
      </c>
      <c r="ER61" s="6"/>
      <c r="ES61" s="6"/>
      <c r="ET61" s="6"/>
      <c r="EU61" s="6"/>
      <c r="EV61" s="7">
        <f>ROUND(57075.5,2)</f>
        <v>57075.5</v>
      </c>
    </row>
    <row r="62" spans="1:152" ht="24">
      <c r="A62" s="4" t="s">
        <v>299</v>
      </c>
      <c r="B62" s="4"/>
      <c r="C62" s="5" t="s">
        <v>152</v>
      </c>
      <c r="D62" s="5" t="s">
        <v>286</v>
      </c>
      <c r="E62" s="5" t="s">
        <v>0</v>
      </c>
      <c r="F62" s="5" t="s">
        <v>0</v>
      </c>
      <c r="G62" s="5" t="s">
        <v>300</v>
      </c>
      <c r="H62" s="10">
        <v>1419.7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7">
        <f>ROUND(2,2)</f>
        <v>2</v>
      </c>
      <c r="AB62" s="7">
        <f>ROUND(18,2)</f>
        <v>18</v>
      </c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7">
        <f>ROUND(8,2)</f>
        <v>8</v>
      </c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7">
        <f>ROUND(32,2)</f>
        <v>32</v>
      </c>
      <c r="BU62" s="7">
        <f>ROUND(32,2)</f>
        <v>32</v>
      </c>
      <c r="BV62" s="6"/>
      <c r="BW62" s="6"/>
      <c r="BX62" s="6"/>
      <c r="BY62" s="7">
        <f>ROUND(144,2)</f>
        <v>144</v>
      </c>
      <c r="BZ62" s="6"/>
      <c r="CA62" s="6"/>
      <c r="CB62" s="7">
        <f>ROUND(236,2)</f>
        <v>236</v>
      </c>
      <c r="CC62" s="7">
        <f>ROUND(67639.8999999999,2)</f>
        <v>67639.899999999994</v>
      </c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7">
        <f>ROUND(750,2)</f>
        <v>750</v>
      </c>
      <c r="CV62" s="7">
        <f>ROUND(6750,2)</f>
        <v>6750</v>
      </c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7">
        <f>ROUND(3407.04,2)</f>
        <v>3407.04</v>
      </c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7">
        <f>ROUND(1055.6,2)</f>
        <v>1055.5999999999999</v>
      </c>
      <c r="ES62" s="6"/>
      <c r="ET62" s="6"/>
      <c r="EU62" s="6"/>
      <c r="EV62" s="7">
        <f>ROUND(79602.5399999999,2)</f>
        <v>79602.539999999994</v>
      </c>
    </row>
    <row r="63" spans="1:152">
      <c r="A63" s="4" t="s">
        <v>301</v>
      </c>
      <c r="B63" s="4" t="s">
        <v>1058</v>
      </c>
      <c r="C63" s="5" t="s">
        <v>152</v>
      </c>
      <c r="D63" s="5" t="s">
        <v>153</v>
      </c>
      <c r="E63" s="5" t="s">
        <v>302</v>
      </c>
      <c r="F63" s="5" t="s">
        <v>0</v>
      </c>
      <c r="G63" s="5" t="s">
        <v>155</v>
      </c>
      <c r="H63" s="10">
        <v>23.34</v>
      </c>
      <c r="I63" s="6"/>
      <c r="J63" s="6"/>
      <c r="K63" s="6"/>
      <c r="L63" s="6"/>
      <c r="M63" s="7">
        <f>ROUND(739.53,2)</f>
        <v>739.53</v>
      </c>
      <c r="N63" s="6"/>
      <c r="O63" s="6"/>
      <c r="P63" s="7">
        <f>ROUND(75.37,2)</f>
        <v>75.37</v>
      </c>
      <c r="Q63" s="6"/>
      <c r="R63" s="6"/>
      <c r="S63" s="6"/>
      <c r="T63" s="6"/>
      <c r="U63" s="7">
        <f>ROUND(78.34,2)</f>
        <v>78.34</v>
      </c>
      <c r="V63" s="7">
        <f>ROUND(26.5,2)</f>
        <v>26.5</v>
      </c>
      <c r="W63" s="7">
        <f>ROUND(10.47,2)</f>
        <v>10.47</v>
      </c>
      <c r="X63" s="7">
        <f>ROUND(1.66,2)</f>
        <v>1.66</v>
      </c>
      <c r="Y63" s="6"/>
      <c r="Z63" s="7">
        <f>ROUND(0.87,2)</f>
        <v>0.87</v>
      </c>
      <c r="AA63" s="6"/>
      <c r="AB63" s="6"/>
      <c r="AC63" s="7">
        <f>ROUND(92.8999999999999,2)</f>
        <v>92.9</v>
      </c>
      <c r="AD63" s="7">
        <f>ROUND(8.75,2)</f>
        <v>8.75</v>
      </c>
      <c r="AE63" s="6"/>
      <c r="AF63" s="7">
        <f>ROUND(268.799999999999,2)</f>
        <v>268.8</v>
      </c>
      <c r="AG63" s="7">
        <f>ROUND(32.07,2)</f>
        <v>32.07</v>
      </c>
      <c r="AH63" s="7">
        <f>ROUND(64,2)</f>
        <v>64</v>
      </c>
      <c r="AI63" s="6"/>
      <c r="AJ63" s="7">
        <f>ROUND(80,2)</f>
        <v>80</v>
      </c>
      <c r="AK63" s="6"/>
      <c r="AL63" s="7">
        <f>ROUND(8.5,2)</f>
        <v>8.5</v>
      </c>
      <c r="AM63" s="7">
        <f>ROUND(1.28,2)</f>
        <v>1.28</v>
      </c>
      <c r="AN63" s="6"/>
      <c r="AO63" s="6"/>
      <c r="AP63" s="6"/>
      <c r="AQ63" s="6"/>
      <c r="AR63" s="6"/>
      <c r="AS63" s="6"/>
      <c r="AT63" s="6"/>
      <c r="AU63" s="6"/>
      <c r="AV63" s="7">
        <f>ROUND(10.5,2)</f>
        <v>10.5</v>
      </c>
      <c r="AW63" s="6"/>
      <c r="AX63" s="6"/>
      <c r="AY63" s="6"/>
      <c r="AZ63" s="6"/>
      <c r="BA63" s="6"/>
      <c r="BB63" s="7">
        <f>ROUND(24,2)</f>
        <v>24</v>
      </c>
      <c r="BC63" s="6"/>
      <c r="BD63" s="7">
        <f>ROUND(5.65,2)</f>
        <v>5.65</v>
      </c>
      <c r="BE63" s="7">
        <f>ROUND(24,2)</f>
        <v>24</v>
      </c>
      <c r="BF63" s="6"/>
      <c r="BG63" s="6"/>
      <c r="BH63" s="6"/>
      <c r="BI63" s="6"/>
      <c r="BJ63" s="6"/>
      <c r="BK63" s="6"/>
      <c r="BL63" s="6"/>
      <c r="BM63" s="7">
        <f>ROUND(16,2)</f>
        <v>16</v>
      </c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7">
        <f>ROUND(1569.19,2)</f>
        <v>1569.19</v>
      </c>
      <c r="CC63" s="6"/>
      <c r="CD63" s="6"/>
      <c r="CE63" s="6"/>
      <c r="CF63" s="6"/>
      <c r="CG63" s="7">
        <f>ROUND(17310.14,2)</f>
        <v>17310.14</v>
      </c>
      <c r="CH63" s="6"/>
      <c r="CI63" s="6"/>
      <c r="CJ63" s="7">
        <f>ROUND(2642.96,2)</f>
        <v>2642.96</v>
      </c>
      <c r="CK63" s="6"/>
      <c r="CL63" s="6"/>
      <c r="CM63" s="6"/>
      <c r="CN63" s="6"/>
      <c r="CO63" s="7">
        <f>ROUND(1832.66999999999,2)</f>
        <v>1832.67</v>
      </c>
      <c r="CP63" s="7">
        <f>ROUND(928,2)</f>
        <v>928</v>
      </c>
      <c r="CQ63" s="7">
        <f>ROUND(244.809999999999,2)</f>
        <v>244.81</v>
      </c>
      <c r="CR63" s="7">
        <f>ROUND(58.0999999999999,2)</f>
        <v>58.1</v>
      </c>
      <c r="CS63" s="6"/>
      <c r="CT63" s="7">
        <f>ROUND(40.6,2)</f>
        <v>40.6</v>
      </c>
      <c r="CU63" s="6"/>
      <c r="CV63" s="6"/>
      <c r="CW63" s="7">
        <f>ROUND(2168.22,2)</f>
        <v>2168.2199999999998</v>
      </c>
      <c r="CX63" s="7">
        <f>ROUND(307.28,2)</f>
        <v>307.27999999999997</v>
      </c>
      <c r="CY63" s="6"/>
      <c r="CZ63" s="6"/>
      <c r="DA63" s="7">
        <f>ROUND(6292.67,2)</f>
        <v>6292.67</v>
      </c>
      <c r="DB63" s="7">
        <f>ROUND(1124.06999999999,2)</f>
        <v>1124.07</v>
      </c>
      <c r="DC63" s="7">
        <f>ROUND(1493.44,2)</f>
        <v>1493.44</v>
      </c>
      <c r="DD63" s="6"/>
      <c r="DE63" s="7">
        <f>ROUND(1866.8,2)</f>
        <v>1866.8</v>
      </c>
      <c r="DF63" s="6"/>
      <c r="DG63" s="6"/>
      <c r="DH63" s="6"/>
      <c r="DI63" s="7">
        <f>ROUND(198.35,2)</f>
        <v>198.35</v>
      </c>
      <c r="DJ63" s="7">
        <f>ROUND(30.06,2)</f>
        <v>30.06</v>
      </c>
      <c r="DK63" s="6"/>
      <c r="DL63" s="6"/>
      <c r="DM63" s="6"/>
      <c r="DN63" s="6"/>
      <c r="DO63" s="6"/>
      <c r="DP63" s="6"/>
      <c r="DQ63" s="6"/>
      <c r="DR63" s="7">
        <f>ROUND(500,2)</f>
        <v>500</v>
      </c>
      <c r="DS63" s="6"/>
      <c r="DT63" s="6"/>
      <c r="DU63" s="6"/>
      <c r="DV63" s="6"/>
      <c r="DW63" s="7">
        <f>ROUND(245.02,2)</f>
        <v>245.02</v>
      </c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7">
        <f>ROUND(37283.19,2)</f>
        <v>37283.19</v>
      </c>
    </row>
    <row r="64" spans="1:152" ht="24">
      <c r="A64" s="4" t="s">
        <v>303</v>
      </c>
      <c r="B64" s="4"/>
      <c r="C64" s="5" t="s">
        <v>233</v>
      </c>
      <c r="D64" s="5" t="s">
        <v>304</v>
      </c>
      <c r="E64" s="5" t="s">
        <v>0</v>
      </c>
      <c r="F64" s="5" t="s">
        <v>0</v>
      </c>
      <c r="G64" s="5" t="s">
        <v>305</v>
      </c>
      <c r="H64" s="10">
        <v>21.22</v>
      </c>
      <c r="I64" s="7">
        <f>ROUND(1794,2)</f>
        <v>1794</v>
      </c>
      <c r="J64" s="7">
        <f>ROUND(42.75,2)</f>
        <v>42.75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7">
        <f>ROUND(8,2)</f>
        <v>8</v>
      </c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7">
        <f>ROUND(16,2)</f>
        <v>16</v>
      </c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7">
        <f>ROUND(48,2)</f>
        <v>48</v>
      </c>
      <c r="BU64" s="7">
        <f>ROUND(24,2)</f>
        <v>24</v>
      </c>
      <c r="BV64" s="6"/>
      <c r="BW64" s="6"/>
      <c r="BX64" s="7">
        <f>ROUND(35,2)</f>
        <v>35</v>
      </c>
      <c r="BY64" s="7">
        <f>ROUND(72,2)</f>
        <v>72</v>
      </c>
      <c r="BZ64" s="6"/>
      <c r="CA64" s="6"/>
      <c r="CB64" s="7">
        <f>ROUND(2039.75,2)</f>
        <v>2039.75</v>
      </c>
      <c r="CC64" s="7">
        <f>ROUND(35017.5399999999,2)</f>
        <v>35017.54</v>
      </c>
      <c r="CD64" s="7">
        <f>ROUND(1199.88,2)</f>
        <v>1199.8800000000001</v>
      </c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7">
        <f>ROUND(169.76,2)</f>
        <v>169.76</v>
      </c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7">
        <f>ROUND(296.64,2)</f>
        <v>296.64</v>
      </c>
      <c r="EE64" s="7">
        <f>ROUND(2037.12,2)</f>
        <v>2037.12</v>
      </c>
      <c r="EF64" s="6"/>
      <c r="EG64" s="7">
        <f>ROUND(956.16,2)</f>
        <v>956.16</v>
      </c>
      <c r="EH64" s="7">
        <f>ROUND(444.96,2)</f>
        <v>444.96</v>
      </c>
      <c r="EI64" s="6"/>
      <c r="EJ64" s="6"/>
      <c r="EK64" s="6"/>
      <c r="EL64" s="6"/>
      <c r="EM64" s="6"/>
      <c r="EN64" s="7">
        <f>ROUND(660.579999999999,2)</f>
        <v>660.58</v>
      </c>
      <c r="EO64" s="6"/>
      <c r="EP64" s="6"/>
      <c r="EQ64" s="6"/>
      <c r="ER64" s="6"/>
      <c r="ES64" s="7">
        <f>ROUND(1407.84,2)</f>
        <v>1407.84</v>
      </c>
      <c r="ET64" s="6"/>
      <c r="EU64" s="6"/>
      <c r="EV64" s="7">
        <f>ROUND(42190.48,2)</f>
        <v>42190.48</v>
      </c>
    </row>
    <row r="65" spans="1:152">
      <c r="A65" s="4" t="s">
        <v>306</v>
      </c>
      <c r="B65" s="4" t="s">
        <v>1058</v>
      </c>
      <c r="C65" s="5" t="s">
        <v>152</v>
      </c>
      <c r="D65" s="5" t="s">
        <v>307</v>
      </c>
      <c r="E65" s="5" t="s">
        <v>0</v>
      </c>
      <c r="F65" s="5" t="s">
        <v>0</v>
      </c>
      <c r="G65" s="5" t="s">
        <v>155</v>
      </c>
      <c r="H65" s="10">
        <v>30.4</v>
      </c>
      <c r="I65" s="6"/>
      <c r="J65" s="6"/>
      <c r="K65" s="6"/>
      <c r="L65" s="6"/>
      <c r="M65" s="7">
        <f>ROUND(1324.38999999999,2)</f>
        <v>1324.39</v>
      </c>
      <c r="N65" s="6"/>
      <c r="O65" s="6"/>
      <c r="P65" s="7">
        <f>ROUND(238.879999999999,2)</f>
        <v>238.88</v>
      </c>
      <c r="Q65" s="6"/>
      <c r="R65" s="6"/>
      <c r="S65" s="6"/>
      <c r="T65" s="6"/>
      <c r="U65" s="7">
        <f>ROUND(72.9,2)</f>
        <v>72.900000000000006</v>
      </c>
      <c r="V65" s="7">
        <f>ROUND(24.49,2)</f>
        <v>24.49</v>
      </c>
      <c r="W65" s="7">
        <f>ROUND(5.44,2)</f>
        <v>5.44</v>
      </c>
      <c r="X65" s="7">
        <f>ROUND(1.58,2)</f>
        <v>1.58</v>
      </c>
      <c r="Y65" s="6"/>
      <c r="Z65" s="6"/>
      <c r="AA65" s="6"/>
      <c r="AB65" s="6"/>
      <c r="AC65" s="7">
        <f>ROUND(84.69,2)</f>
        <v>84.69</v>
      </c>
      <c r="AD65" s="7">
        <f>ROUND(20.28,2)</f>
        <v>20.28</v>
      </c>
      <c r="AE65" s="6"/>
      <c r="AF65" s="7">
        <f>ROUND(322.64,2)</f>
        <v>322.64</v>
      </c>
      <c r="AG65" s="7">
        <f>ROUND(57.17,2)</f>
        <v>57.17</v>
      </c>
      <c r="AH65" s="7">
        <f>ROUND(88,2)</f>
        <v>88</v>
      </c>
      <c r="AI65" s="6"/>
      <c r="AJ65" s="7">
        <f>ROUND(88,2)</f>
        <v>88</v>
      </c>
      <c r="AK65" s="6"/>
      <c r="AL65" s="7">
        <f>ROUND(8,2)</f>
        <v>8</v>
      </c>
      <c r="AM65" s="7">
        <f>ROUND(8.5,2)</f>
        <v>8.5</v>
      </c>
      <c r="AN65" s="6"/>
      <c r="AO65" s="6"/>
      <c r="AP65" s="6"/>
      <c r="AQ65" s="7">
        <f>ROUND(8,2)</f>
        <v>8</v>
      </c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7">
        <f>ROUND(16,2)</f>
        <v>16</v>
      </c>
      <c r="BC65" s="7">
        <f>ROUND(64,2)</f>
        <v>64</v>
      </c>
      <c r="BD65" s="7">
        <f>ROUND(1.75,2)</f>
        <v>1.75</v>
      </c>
      <c r="BE65" s="7">
        <f>ROUND(8,2)</f>
        <v>8</v>
      </c>
      <c r="BF65" s="6"/>
      <c r="BG65" s="7">
        <f>ROUND(40,2)</f>
        <v>40</v>
      </c>
      <c r="BH65" s="6"/>
      <c r="BI65" s="6"/>
      <c r="BJ65" s="6"/>
      <c r="BK65" s="6"/>
      <c r="BL65" s="6"/>
      <c r="BM65" s="7">
        <f>ROUND(21,2)</f>
        <v>21</v>
      </c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7">
        <f>ROUND(2503.71,2)</f>
        <v>2503.71</v>
      </c>
      <c r="CC65" s="6"/>
      <c r="CD65" s="6"/>
      <c r="CE65" s="6"/>
      <c r="CF65" s="6"/>
      <c r="CG65" s="7">
        <f>ROUND(36571.41,2)</f>
        <v>36571.410000000003</v>
      </c>
      <c r="CH65" s="6"/>
      <c r="CI65" s="6"/>
      <c r="CJ65" s="7">
        <f>ROUND(9887.11999999999,2)</f>
        <v>9887.1200000000008</v>
      </c>
      <c r="CK65" s="6"/>
      <c r="CL65" s="6"/>
      <c r="CM65" s="6"/>
      <c r="CN65" s="6"/>
      <c r="CO65" s="7">
        <f>ROUND(1984.99,2)</f>
        <v>1984.99</v>
      </c>
      <c r="CP65" s="7">
        <f>ROUND(989.859999999999,2)</f>
        <v>989.86</v>
      </c>
      <c r="CQ65" s="7">
        <f>ROUND(148.56,2)</f>
        <v>148.56</v>
      </c>
      <c r="CR65" s="7">
        <f>ROUND(63.87,2)</f>
        <v>63.87</v>
      </c>
      <c r="CS65" s="6"/>
      <c r="CT65" s="6"/>
      <c r="CU65" s="6"/>
      <c r="CV65" s="6"/>
      <c r="CW65" s="7">
        <f>ROUND(2289.42,2)</f>
        <v>2289.42</v>
      </c>
      <c r="CX65" s="7">
        <f>ROUND(821.47,2)</f>
        <v>821.47</v>
      </c>
      <c r="CY65" s="6"/>
      <c r="CZ65" s="6"/>
      <c r="DA65" s="7">
        <f>ROUND(8779.38,2)</f>
        <v>8779.3799999999992</v>
      </c>
      <c r="DB65" s="7">
        <f>ROUND(2315.08,2)</f>
        <v>2315.08</v>
      </c>
      <c r="DC65" s="7">
        <f>ROUND(2426.52999999999,2)</f>
        <v>2426.5300000000002</v>
      </c>
      <c r="DD65" s="6"/>
      <c r="DE65" s="7">
        <f>ROUND(2371.25999999999,2)</f>
        <v>2371.2600000000002</v>
      </c>
      <c r="DF65" s="6"/>
      <c r="DG65" s="6"/>
      <c r="DH65" s="6"/>
      <c r="DI65" s="7">
        <f>ROUND(215.57,2)</f>
        <v>215.57</v>
      </c>
      <c r="DJ65" s="7">
        <f>ROUND(229.46,2)</f>
        <v>229.46</v>
      </c>
      <c r="DK65" s="6"/>
      <c r="DL65" s="6"/>
      <c r="DM65" s="6"/>
      <c r="DN65" s="6"/>
      <c r="DO65" s="7">
        <f>ROUND(215.57,2)</f>
        <v>215.57</v>
      </c>
      <c r="DP65" s="6"/>
      <c r="DQ65" s="6"/>
      <c r="DR65" s="7">
        <f>ROUND(500,2)</f>
        <v>500</v>
      </c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7">
        <f>ROUND(475,2)</f>
        <v>475</v>
      </c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7">
        <f>ROUND(1131.6,2)</f>
        <v>1131.5999999999999</v>
      </c>
      <c r="ER65" s="6"/>
      <c r="ES65" s="6"/>
      <c r="ET65" s="6"/>
      <c r="EU65" s="6"/>
      <c r="EV65" s="7">
        <f>ROUND(71416.1499999999,2)</f>
        <v>71416.149999999994</v>
      </c>
    </row>
    <row r="66" spans="1:152">
      <c r="A66" s="4" t="s">
        <v>308</v>
      </c>
      <c r="B66" s="4" t="s">
        <v>1058</v>
      </c>
      <c r="C66" s="5" t="s">
        <v>152</v>
      </c>
      <c r="D66" s="5" t="s">
        <v>160</v>
      </c>
      <c r="E66" s="5" t="s">
        <v>0</v>
      </c>
      <c r="F66" s="5" t="s">
        <v>0</v>
      </c>
      <c r="G66" s="5" t="s">
        <v>155</v>
      </c>
      <c r="H66" s="10">
        <v>25.84</v>
      </c>
      <c r="I66" s="6"/>
      <c r="J66" s="6"/>
      <c r="K66" s="6"/>
      <c r="L66" s="6"/>
      <c r="M66" s="7">
        <f>ROUND(437.879999999999,2)</f>
        <v>437.88</v>
      </c>
      <c r="N66" s="6"/>
      <c r="O66" s="6"/>
      <c r="P66" s="7">
        <f>ROUND(32.37,2)</f>
        <v>32.369999999999997</v>
      </c>
      <c r="Q66" s="6"/>
      <c r="R66" s="6"/>
      <c r="S66" s="6"/>
      <c r="T66" s="6"/>
      <c r="U66" s="6"/>
      <c r="V66" s="6"/>
      <c r="W66" s="7">
        <f>ROUND(5.03,2)</f>
        <v>5.03</v>
      </c>
      <c r="X66" s="6"/>
      <c r="Y66" s="6"/>
      <c r="Z66" s="6"/>
      <c r="AA66" s="6"/>
      <c r="AB66" s="6"/>
      <c r="AC66" s="7">
        <f>ROUND(93.74,2)</f>
        <v>93.74</v>
      </c>
      <c r="AD66" s="7">
        <f>ROUND(2.38,2)</f>
        <v>2.38</v>
      </c>
      <c r="AE66" s="6"/>
      <c r="AF66" s="7">
        <f>ROUND(190.31,2)</f>
        <v>190.31</v>
      </c>
      <c r="AG66" s="7">
        <f>ROUND(29.6599999999999,2)</f>
        <v>29.66</v>
      </c>
      <c r="AH66" s="7">
        <f>ROUND(42,2)</f>
        <v>42</v>
      </c>
      <c r="AI66" s="6"/>
      <c r="AJ66" s="6"/>
      <c r="AK66" s="6"/>
      <c r="AL66" s="7">
        <f>ROUND(260.52,2)</f>
        <v>260.52</v>
      </c>
      <c r="AM66" s="6"/>
      <c r="AN66" s="7">
        <f>ROUND(1.5,2)</f>
        <v>1.5</v>
      </c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7">
        <f>ROUND(8,2)</f>
        <v>8</v>
      </c>
      <c r="BD66" s="7">
        <f>ROUND(1.65,2)</f>
        <v>1.65</v>
      </c>
      <c r="BE66" s="7">
        <f>ROUND(68,2)</f>
        <v>68</v>
      </c>
      <c r="BF66" s="6"/>
      <c r="BG66" s="6"/>
      <c r="BH66" s="6"/>
      <c r="BI66" s="6"/>
      <c r="BJ66" s="7">
        <f>ROUND(16,2)</f>
        <v>16</v>
      </c>
      <c r="BK66" s="6"/>
      <c r="BL66" s="6"/>
      <c r="BM66" s="7">
        <f>ROUND(57,2)</f>
        <v>57</v>
      </c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7">
        <f>ROUND(24,2)</f>
        <v>24</v>
      </c>
      <c r="CB66" s="7">
        <f>ROUND(1270.04,2)</f>
        <v>1270.04</v>
      </c>
      <c r="CC66" s="6"/>
      <c r="CD66" s="6"/>
      <c r="CE66" s="6"/>
      <c r="CF66" s="6"/>
      <c r="CG66" s="7">
        <f>ROUND(9529.6,2)</f>
        <v>9529.6</v>
      </c>
      <c r="CH66" s="6"/>
      <c r="CI66" s="6"/>
      <c r="CJ66" s="7">
        <f>ROUND(1012.84999999999,2)</f>
        <v>1012.85</v>
      </c>
      <c r="CK66" s="6"/>
      <c r="CL66" s="6"/>
      <c r="CM66" s="6"/>
      <c r="CN66" s="6"/>
      <c r="CO66" s="6"/>
      <c r="CP66" s="6"/>
      <c r="CQ66" s="7">
        <f>ROUND(111.37,2)</f>
        <v>111.37</v>
      </c>
      <c r="CR66" s="6"/>
      <c r="CS66" s="6"/>
      <c r="CT66" s="6"/>
      <c r="CU66" s="6"/>
      <c r="CV66" s="6"/>
      <c r="CW66" s="7">
        <f>ROUND(2226.27999999999,2)</f>
        <v>2226.2800000000002</v>
      </c>
      <c r="CX66" s="7">
        <f>ROUND(74.38,2)</f>
        <v>74.38</v>
      </c>
      <c r="CY66" s="6"/>
      <c r="CZ66" s="6"/>
      <c r="DA66" s="7">
        <f>ROUND(4257.45,2)</f>
        <v>4257.45</v>
      </c>
      <c r="DB66" s="7">
        <f>ROUND(1025.3,2)</f>
        <v>1025.3</v>
      </c>
      <c r="DC66" s="7">
        <f>ROUND(834.3,2)</f>
        <v>834.3</v>
      </c>
      <c r="DD66" s="6"/>
      <c r="DE66" s="6"/>
      <c r="DF66" s="6"/>
      <c r="DG66" s="6"/>
      <c r="DH66" s="6"/>
      <c r="DI66" s="7">
        <f>ROUND(4559.1,2)</f>
        <v>4559.1000000000004</v>
      </c>
      <c r="DJ66" s="6"/>
      <c r="DK66" s="7">
        <f>ROUND(39.38,2)</f>
        <v>39.380000000000003</v>
      </c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7">
        <f>ROUND(150,2)</f>
        <v>150</v>
      </c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7">
        <f>ROUND(1533.2,2)</f>
        <v>1533.2</v>
      </c>
      <c r="ER66" s="6"/>
      <c r="ES66" s="6"/>
      <c r="ET66" s="6"/>
      <c r="EU66" s="7">
        <f>ROUND(620.16,2)</f>
        <v>620.16</v>
      </c>
      <c r="EV66" s="7">
        <f>ROUND(25973.37,2)</f>
        <v>25973.37</v>
      </c>
    </row>
    <row r="67" spans="1:152" ht="24">
      <c r="A67" s="4" t="s">
        <v>309</v>
      </c>
      <c r="B67" s="4"/>
      <c r="C67" s="5" t="s">
        <v>285</v>
      </c>
      <c r="D67" s="5" t="s">
        <v>310</v>
      </c>
      <c r="E67" s="5" t="s">
        <v>0</v>
      </c>
      <c r="F67" s="5" t="s">
        <v>0</v>
      </c>
      <c r="G67" s="5" t="s">
        <v>311</v>
      </c>
      <c r="H67" s="10">
        <v>1525.18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7">
        <f>ROUND(7,2)</f>
        <v>7</v>
      </c>
      <c r="AB67" s="7">
        <f>ROUND(12,2)</f>
        <v>12</v>
      </c>
      <c r="AC67" s="6"/>
      <c r="AD67" s="6"/>
      <c r="AE67" s="6"/>
      <c r="AF67" s="6"/>
      <c r="AG67" s="6"/>
      <c r="AH67" s="6"/>
      <c r="AI67" s="6"/>
      <c r="AJ67" s="6"/>
      <c r="AK67" s="7">
        <f>ROUND(40,2)</f>
        <v>40</v>
      </c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7">
        <f>ROUND(24,2)</f>
        <v>24</v>
      </c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7">
        <f>ROUND(32,2)</f>
        <v>32</v>
      </c>
      <c r="BU67" s="7">
        <f>ROUND(32,2)</f>
        <v>32</v>
      </c>
      <c r="BV67" s="6"/>
      <c r="BW67" s="6"/>
      <c r="BX67" s="6"/>
      <c r="BY67" s="7">
        <f>ROUND(160,2)</f>
        <v>160</v>
      </c>
      <c r="BZ67" s="6"/>
      <c r="CA67" s="6"/>
      <c r="CB67" s="7">
        <f>ROUND(307,2)</f>
        <v>307</v>
      </c>
      <c r="CC67" s="7">
        <f>ROUND(73591.46,2)</f>
        <v>73591.460000000006</v>
      </c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7">
        <f>ROUND(2625,2)</f>
        <v>2625</v>
      </c>
      <c r="CV67" s="7">
        <f>ROUND(4500,2)</f>
        <v>4500</v>
      </c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7">
        <f>ROUND(3660.48,2)</f>
        <v>3660.48</v>
      </c>
      <c r="EF67" s="6"/>
      <c r="EG67" s="6"/>
      <c r="EH67" s="6"/>
      <c r="EI67" s="6"/>
      <c r="EJ67" s="6"/>
      <c r="EK67" s="6"/>
      <c r="EL67" s="6"/>
      <c r="EM67" s="7">
        <f>ROUND(3000,2)</f>
        <v>3000</v>
      </c>
      <c r="EN67" s="6"/>
      <c r="EO67" s="6"/>
      <c r="EP67" s="6"/>
      <c r="EQ67" s="6"/>
      <c r="ER67" s="6"/>
      <c r="ES67" s="6"/>
      <c r="ET67" s="6"/>
      <c r="EU67" s="6"/>
      <c r="EV67" s="7">
        <f>ROUND(87376.9399999999,2)</f>
        <v>87376.94</v>
      </c>
    </row>
    <row r="68" spans="1:152">
      <c r="A68" s="4" t="s">
        <v>312</v>
      </c>
      <c r="B68" s="4"/>
      <c r="C68" s="5" t="s">
        <v>259</v>
      </c>
      <c r="D68" s="5" t="s">
        <v>260</v>
      </c>
      <c r="E68" s="5" t="s">
        <v>0</v>
      </c>
      <c r="F68" s="5" t="s">
        <v>0</v>
      </c>
      <c r="G68" s="5" t="s">
        <v>261</v>
      </c>
      <c r="H68" s="10">
        <v>16</v>
      </c>
      <c r="I68" s="7">
        <f>ROUND(364.75,2)</f>
        <v>364.75</v>
      </c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7">
        <f>ROUND(364.75,2)</f>
        <v>364.75</v>
      </c>
      <c r="CC68" s="7">
        <f>ROUND(5836,2)</f>
        <v>5836</v>
      </c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7">
        <f>ROUND(5836,2)</f>
        <v>5836</v>
      </c>
    </row>
    <row r="69" spans="1:152" ht="24">
      <c r="A69" s="4" t="s">
        <v>313</v>
      </c>
      <c r="B69" s="4"/>
      <c r="C69" s="5" t="s">
        <v>285</v>
      </c>
      <c r="D69" s="5" t="s">
        <v>314</v>
      </c>
      <c r="E69" s="5" t="s">
        <v>315</v>
      </c>
      <c r="F69" s="5" t="s">
        <v>0</v>
      </c>
      <c r="G69" s="5" t="s">
        <v>300</v>
      </c>
      <c r="H69" s="10">
        <v>1157.31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7">
        <f>ROUND(14,2)</f>
        <v>14</v>
      </c>
      <c r="AC69" s="6"/>
      <c r="AD69" s="6"/>
      <c r="AE69" s="6"/>
      <c r="AF69" s="6"/>
      <c r="AG69" s="6"/>
      <c r="AH69" s="6"/>
      <c r="AI69" s="6"/>
      <c r="AJ69" s="6"/>
      <c r="AK69" s="7">
        <f>ROUND(120,2)</f>
        <v>120</v>
      </c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7">
        <f>ROUND(40,2)</f>
        <v>40</v>
      </c>
      <c r="BI69" s="6"/>
      <c r="BJ69" s="6"/>
      <c r="BK69" s="6"/>
      <c r="BL69" s="6"/>
      <c r="BM69" s="6"/>
      <c r="BN69" s="6"/>
      <c r="BO69" s="6"/>
      <c r="BP69" s="6"/>
      <c r="BQ69" s="6"/>
      <c r="BR69" s="7">
        <f>ROUND(40,2)</f>
        <v>40</v>
      </c>
      <c r="BS69" s="6"/>
      <c r="BT69" s="7">
        <f>ROUND(8,2)</f>
        <v>8</v>
      </c>
      <c r="BU69" s="7">
        <f>ROUND(32,2)</f>
        <v>32</v>
      </c>
      <c r="BV69" s="6"/>
      <c r="BW69" s="6"/>
      <c r="BX69" s="6"/>
      <c r="BY69" s="7">
        <f>ROUND(80,2)</f>
        <v>80</v>
      </c>
      <c r="BZ69" s="6"/>
      <c r="CA69" s="6"/>
      <c r="CB69" s="7">
        <f>ROUND(334,2)</f>
        <v>334</v>
      </c>
      <c r="CC69" s="7">
        <f>ROUND(43977.7799999999,2)</f>
        <v>43977.78</v>
      </c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7">
        <f>ROUND(5250,2)</f>
        <v>5250</v>
      </c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7">
        <f>ROUND(2083.16,2)</f>
        <v>2083.16</v>
      </c>
      <c r="EM69" s="6"/>
      <c r="EN69" s="6"/>
      <c r="EO69" s="6"/>
      <c r="EP69" s="6"/>
      <c r="EQ69" s="6"/>
      <c r="ER69" s="6"/>
      <c r="ES69" s="6"/>
      <c r="ET69" s="6"/>
      <c r="EU69" s="6"/>
      <c r="EV69" s="7">
        <f>ROUND(51310.9399999999,2)</f>
        <v>51310.94</v>
      </c>
    </row>
    <row r="70" spans="1:152">
      <c r="A70" s="4" t="s">
        <v>316</v>
      </c>
      <c r="B70" s="4" t="s">
        <v>1058</v>
      </c>
      <c r="C70" s="5" t="s">
        <v>211</v>
      </c>
      <c r="D70" s="5" t="s">
        <v>317</v>
      </c>
      <c r="E70" s="5" t="s">
        <v>0</v>
      </c>
      <c r="F70" s="5" t="s">
        <v>0</v>
      </c>
      <c r="G70" s="5" t="s">
        <v>218</v>
      </c>
      <c r="H70" s="10">
        <v>35.200000000000003</v>
      </c>
      <c r="I70" s="6"/>
      <c r="J70" s="6"/>
      <c r="K70" s="7">
        <f>ROUND(1880,2)</f>
        <v>1880</v>
      </c>
      <c r="L70" s="7">
        <f>ROUND(641.66,2)</f>
        <v>641.66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7">
        <f>ROUND(88,2)</f>
        <v>88</v>
      </c>
      <c r="AI70" s="6"/>
      <c r="AJ70" s="7">
        <f>ROUND(64,2)</f>
        <v>64</v>
      </c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7">
        <f>ROUND(40,2)</f>
        <v>40</v>
      </c>
      <c r="BD70" s="6"/>
      <c r="BE70" s="7">
        <f>ROUND(8,2)</f>
        <v>8</v>
      </c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7">
        <f>ROUND(16,2)</f>
        <v>16</v>
      </c>
      <c r="CB70" s="7">
        <f>ROUND(2737.66,2)</f>
        <v>2737.66</v>
      </c>
      <c r="CC70" s="6"/>
      <c r="CD70" s="6"/>
      <c r="CE70" s="7">
        <f>ROUND(61521.03,2)</f>
        <v>61521.03</v>
      </c>
      <c r="CF70" s="7">
        <f>ROUND(31485.43,2)</f>
        <v>31485.43</v>
      </c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7">
        <f>ROUND(2839.6,2)</f>
        <v>2839.6</v>
      </c>
      <c r="DD70" s="6"/>
      <c r="DE70" s="7">
        <f>ROUND(2039.99999999999,2)</f>
        <v>2040</v>
      </c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7">
        <f>ROUND(1375,2)</f>
        <v>1375</v>
      </c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7">
        <f>ROUND(1250,2)</f>
        <v>1250</v>
      </c>
      <c r="ER70" s="6"/>
      <c r="ES70" s="6"/>
      <c r="ET70" s="6"/>
      <c r="EU70" s="7">
        <f>ROUND(563.2,2)</f>
        <v>563.20000000000005</v>
      </c>
      <c r="EV70" s="7">
        <f>ROUND(101074.26,2)</f>
        <v>101074.26</v>
      </c>
    </row>
    <row r="71" spans="1:152">
      <c r="A71" s="4" t="s">
        <v>318</v>
      </c>
      <c r="B71" s="4" t="s">
        <v>1058</v>
      </c>
      <c r="C71" s="5" t="s">
        <v>152</v>
      </c>
      <c r="D71" s="5" t="s">
        <v>319</v>
      </c>
      <c r="E71" s="5" t="s">
        <v>320</v>
      </c>
      <c r="F71" s="5" t="s">
        <v>0</v>
      </c>
      <c r="G71" s="5" t="s">
        <v>155</v>
      </c>
      <c r="H71" s="10">
        <v>20.84</v>
      </c>
      <c r="I71" s="6"/>
      <c r="J71" s="6"/>
      <c r="K71" s="6"/>
      <c r="L71" s="6"/>
      <c r="M71" s="7">
        <f>ROUND(143.03,2)</f>
        <v>143.03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7">
        <f>ROUND(5,2)</f>
        <v>5</v>
      </c>
      <c r="AI71" s="6"/>
      <c r="AJ71" s="6"/>
      <c r="AK71" s="6"/>
      <c r="AL71" s="7">
        <f>ROUND(191.6,2)</f>
        <v>191.6</v>
      </c>
      <c r="AM71" s="6"/>
      <c r="AN71" s="7">
        <f>ROUND(17.5,2)</f>
        <v>17.5</v>
      </c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7">
        <f>ROUND(5,2)</f>
        <v>5</v>
      </c>
      <c r="BD71" s="6"/>
      <c r="BE71" s="6"/>
      <c r="BF71" s="6"/>
      <c r="BG71" s="6"/>
      <c r="BH71" s="6"/>
      <c r="BI71" s="6"/>
      <c r="BJ71" s="6"/>
      <c r="BK71" s="6"/>
      <c r="BL71" s="6"/>
      <c r="BM71" s="7">
        <f>ROUND(25,2)</f>
        <v>25</v>
      </c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7">
        <f>ROUND(387.13,2)</f>
        <v>387.13</v>
      </c>
      <c r="CC71" s="6"/>
      <c r="CD71" s="6"/>
      <c r="CE71" s="6"/>
      <c r="CF71" s="6"/>
      <c r="CG71" s="7">
        <f>ROUND(2978.7,2)</f>
        <v>2978.7</v>
      </c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7">
        <f>ROUND(104.18,2)</f>
        <v>104.18</v>
      </c>
      <c r="DD71" s="6"/>
      <c r="DE71" s="6"/>
      <c r="DF71" s="6"/>
      <c r="DG71" s="6"/>
      <c r="DH71" s="6"/>
      <c r="DI71" s="7">
        <f>ROUND(3353.00999999999,2)</f>
        <v>3353.01</v>
      </c>
      <c r="DJ71" s="6"/>
      <c r="DK71" s="7">
        <f>ROUND(459.38,2)</f>
        <v>459.38</v>
      </c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7">
        <f>ROUND(6895.27,2)</f>
        <v>6895.27</v>
      </c>
    </row>
    <row r="72" spans="1:152">
      <c r="A72" s="4" t="s">
        <v>321</v>
      </c>
      <c r="B72" s="4"/>
      <c r="C72" s="5" t="s">
        <v>294</v>
      </c>
      <c r="D72" s="5" t="s">
        <v>322</v>
      </c>
      <c r="E72" s="5" t="s">
        <v>0</v>
      </c>
      <c r="F72" s="5" t="s">
        <v>0</v>
      </c>
      <c r="G72" s="5" t="s">
        <v>323</v>
      </c>
      <c r="H72" s="10">
        <v>1130.45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7">
        <f>ROUND(40,2)</f>
        <v>40</v>
      </c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7">
        <f>ROUND(24,2)</f>
        <v>24</v>
      </c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7">
        <f>ROUND(32,2)</f>
        <v>32</v>
      </c>
      <c r="BU72" s="7">
        <f>ROUND(32,2)</f>
        <v>32</v>
      </c>
      <c r="BV72" s="6"/>
      <c r="BW72" s="6"/>
      <c r="BX72" s="6"/>
      <c r="BY72" s="7">
        <f>ROUND(120,2)</f>
        <v>120</v>
      </c>
      <c r="BZ72" s="6"/>
      <c r="CA72" s="6"/>
      <c r="CB72" s="7">
        <f>ROUND(248,2)</f>
        <v>248</v>
      </c>
      <c r="CC72" s="7">
        <f>ROUND(55989.8199999999,2)</f>
        <v>55989.82</v>
      </c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7">
        <f>ROUND(2712.96,2)</f>
        <v>2712.96</v>
      </c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7">
        <f>ROUND(1278.66,2)</f>
        <v>1278.6600000000001</v>
      </c>
      <c r="ET72" s="6"/>
      <c r="EU72" s="6"/>
      <c r="EV72" s="7">
        <f>ROUND(59981.4399999999,2)</f>
        <v>59981.440000000002</v>
      </c>
    </row>
    <row r="73" spans="1:152">
      <c r="A73" s="4" t="s">
        <v>324</v>
      </c>
      <c r="B73" s="4" t="s">
        <v>1058</v>
      </c>
      <c r="C73" s="5" t="s">
        <v>152</v>
      </c>
      <c r="D73" s="5" t="s">
        <v>325</v>
      </c>
      <c r="E73" s="5" t="s">
        <v>0</v>
      </c>
      <c r="F73" s="5" t="s">
        <v>0</v>
      </c>
      <c r="G73" s="5" t="s">
        <v>155</v>
      </c>
      <c r="H73" s="10">
        <v>30.4</v>
      </c>
      <c r="I73" s="6"/>
      <c r="J73" s="6"/>
      <c r="K73" s="6"/>
      <c r="L73" s="6"/>
      <c r="M73" s="7">
        <f>ROUND(1179.06999999999,2)</f>
        <v>1179.07</v>
      </c>
      <c r="N73" s="6"/>
      <c r="O73" s="6"/>
      <c r="P73" s="7">
        <f>ROUND(256.96,2)</f>
        <v>256.95999999999998</v>
      </c>
      <c r="Q73" s="6"/>
      <c r="R73" s="6"/>
      <c r="S73" s="6"/>
      <c r="T73" s="6"/>
      <c r="U73" s="7">
        <f>ROUND(61.97,2)</f>
        <v>61.97</v>
      </c>
      <c r="V73" s="7">
        <f>ROUND(12.08,2)</f>
        <v>12.08</v>
      </c>
      <c r="W73" s="7">
        <f>ROUND(14.46,2)</f>
        <v>14.46</v>
      </c>
      <c r="X73" s="7">
        <f>ROUND(3.87,2)</f>
        <v>3.87</v>
      </c>
      <c r="Y73" s="6"/>
      <c r="Z73" s="6"/>
      <c r="AA73" s="6"/>
      <c r="AB73" s="6"/>
      <c r="AC73" s="7">
        <f>ROUND(129.04,2)</f>
        <v>129.04</v>
      </c>
      <c r="AD73" s="7">
        <f>ROUND(1.42,2)</f>
        <v>1.42</v>
      </c>
      <c r="AE73" s="6"/>
      <c r="AF73" s="7">
        <f>ROUND(566.81,2)</f>
        <v>566.80999999999995</v>
      </c>
      <c r="AG73" s="7">
        <f>ROUND(108.039999999999,2)</f>
        <v>108.04</v>
      </c>
      <c r="AH73" s="7">
        <f>ROUND(80,2)</f>
        <v>80</v>
      </c>
      <c r="AI73" s="6"/>
      <c r="AJ73" s="6"/>
      <c r="AK73" s="6"/>
      <c r="AL73" s="7">
        <f>ROUND(16,2)</f>
        <v>16</v>
      </c>
      <c r="AM73" s="6"/>
      <c r="AN73" s="6"/>
      <c r="AO73" s="6"/>
      <c r="AP73" s="6"/>
      <c r="AQ73" s="7">
        <f>ROUND(2.63,2)</f>
        <v>2.63</v>
      </c>
      <c r="AR73" s="7">
        <f>ROUND(2,2)</f>
        <v>2</v>
      </c>
      <c r="AS73" s="6"/>
      <c r="AT73" s="6"/>
      <c r="AU73" s="6"/>
      <c r="AV73" s="7">
        <f>ROUND(6.17,2)</f>
        <v>6.17</v>
      </c>
      <c r="AW73" s="7">
        <f>ROUND(5.08,2)</f>
        <v>5.08</v>
      </c>
      <c r="AX73" s="6"/>
      <c r="AY73" s="6"/>
      <c r="AZ73" s="6"/>
      <c r="BA73" s="6"/>
      <c r="BB73" s="7">
        <f>ROUND(16,2)</f>
        <v>16</v>
      </c>
      <c r="BC73" s="6"/>
      <c r="BD73" s="7">
        <f>ROUND(1.7,2)</f>
        <v>1.7</v>
      </c>
      <c r="BE73" s="6"/>
      <c r="BF73" s="6"/>
      <c r="BG73" s="6"/>
      <c r="BH73" s="7">
        <f>ROUND(8,2)</f>
        <v>8</v>
      </c>
      <c r="BI73" s="6"/>
      <c r="BJ73" s="7">
        <f>ROUND(16,2)</f>
        <v>16</v>
      </c>
      <c r="BK73" s="6"/>
      <c r="BL73" s="6"/>
      <c r="BM73" s="7">
        <f>ROUND(25.53,2)</f>
        <v>25.53</v>
      </c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7">
        <f>ROUND(40,2)</f>
        <v>40</v>
      </c>
      <c r="CB73" s="7">
        <f>ROUND(2552.83,2)</f>
        <v>2552.83</v>
      </c>
      <c r="CC73" s="6"/>
      <c r="CD73" s="6"/>
      <c r="CE73" s="6"/>
      <c r="CF73" s="6"/>
      <c r="CG73" s="7">
        <f>ROUND(27725.2399999999,2)</f>
        <v>27725.24</v>
      </c>
      <c r="CH73" s="6"/>
      <c r="CI73" s="6"/>
      <c r="CJ73" s="7">
        <f>ROUND(9223.01999999999,2)</f>
        <v>9223.02</v>
      </c>
      <c r="CK73" s="6"/>
      <c r="CL73" s="6"/>
      <c r="CM73" s="6"/>
      <c r="CN73" s="6"/>
      <c r="CO73" s="7">
        <f>ROUND(1403.15,2)</f>
        <v>1403.15</v>
      </c>
      <c r="CP73" s="7">
        <f>ROUND(485.99,2)</f>
        <v>485.99</v>
      </c>
      <c r="CQ73" s="7">
        <f>ROUND(340.35,2)</f>
        <v>340.35</v>
      </c>
      <c r="CR73" s="7">
        <f>ROUND(159.89,2)</f>
        <v>159.88999999999999</v>
      </c>
      <c r="CS73" s="6"/>
      <c r="CT73" s="6"/>
      <c r="CU73" s="6"/>
      <c r="CV73" s="6"/>
      <c r="CW73" s="7">
        <f>ROUND(2938.1,2)</f>
        <v>2938.1</v>
      </c>
      <c r="CX73" s="7">
        <f>ROUND(47.93,2)</f>
        <v>47.93</v>
      </c>
      <c r="CY73" s="6"/>
      <c r="CZ73" s="6"/>
      <c r="DA73" s="7">
        <f>ROUND(13700.4199999999,2)</f>
        <v>13700.42</v>
      </c>
      <c r="DB73" s="7">
        <f>ROUND(3910.03,2)</f>
        <v>3910.03</v>
      </c>
      <c r="DC73" s="7">
        <f>ROUND(1863.29,2)</f>
        <v>1863.29</v>
      </c>
      <c r="DD73" s="6"/>
      <c r="DE73" s="6"/>
      <c r="DF73" s="6"/>
      <c r="DG73" s="6"/>
      <c r="DH73" s="6"/>
      <c r="DI73" s="7">
        <f>ROUND(423.21,2)</f>
        <v>423.21</v>
      </c>
      <c r="DJ73" s="6"/>
      <c r="DK73" s="6"/>
      <c r="DL73" s="6"/>
      <c r="DM73" s="6"/>
      <c r="DN73" s="6"/>
      <c r="DO73" s="7">
        <f>ROUND(59.18,2)</f>
        <v>59.18</v>
      </c>
      <c r="DP73" s="7">
        <f>ROUND(45,2)</f>
        <v>45</v>
      </c>
      <c r="DQ73" s="6"/>
      <c r="DR73" s="6"/>
      <c r="DS73" s="6"/>
      <c r="DT73" s="6"/>
      <c r="DU73" s="6"/>
      <c r="DV73" s="6"/>
      <c r="DW73" s="7">
        <f>ROUND(139.28,2)</f>
        <v>139.28</v>
      </c>
      <c r="DX73" s="7">
        <f>ROUND(171.46,2)</f>
        <v>171.46</v>
      </c>
      <c r="DY73" s="6"/>
      <c r="DZ73" s="6"/>
      <c r="EA73" s="6"/>
      <c r="EB73" s="6"/>
      <c r="EC73" s="6"/>
      <c r="ED73" s="6"/>
      <c r="EE73" s="7">
        <f>ROUND(800,2)</f>
        <v>800</v>
      </c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7">
        <f>ROUND(1250,2)</f>
        <v>1250</v>
      </c>
      <c r="ER73" s="6"/>
      <c r="ES73" s="6"/>
      <c r="ET73" s="6"/>
      <c r="EU73" s="7">
        <f>ROUND(1216,2)</f>
        <v>1216</v>
      </c>
      <c r="EV73" s="7">
        <f>ROUND(65901.54,2)</f>
        <v>65901.539999999994</v>
      </c>
    </row>
    <row r="74" spans="1:152" ht="24">
      <c r="A74" s="4" t="s">
        <v>326</v>
      </c>
      <c r="B74" s="4"/>
      <c r="C74" s="5" t="s">
        <v>152</v>
      </c>
      <c r="D74" s="5" t="s">
        <v>327</v>
      </c>
      <c r="E74" s="5" t="s">
        <v>0</v>
      </c>
      <c r="F74" s="5" t="s">
        <v>0</v>
      </c>
      <c r="G74" s="5" t="s">
        <v>328</v>
      </c>
      <c r="H74" s="10">
        <v>1365.38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7">
        <f>ROUND(6,2)</f>
        <v>6</v>
      </c>
      <c r="AB74" s="7">
        <f>ROUND(3,2)</f>
        <v>3</v>
      </c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7">
        <f>ROUND(24,2)</f>
        <v>24</v>
      </c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7">
        <f>ROUND(32,2)</f>
        <v>32</v>
      </c>
      <c r="BU74" s="7">
        <f>ROUND(32,2)</f>
        <v>32</v>
      </c>
      <c r="BV74" s="6"/>
      <c r="BW74" s="6"/>
      <c r="BX74" s="6"/>
      <c r="BY74" s="7">
        <f>ROUND(48,2)</f>
        <v>48</v>
      </c>
      <c r="BZ74" s="7">
        <f>ROUND(8,2)</f>
        <v>8</v>
      </c>
      <c r="CA74" s="6"/>
      <c r="CB74" s="7">
        <f>ROUND(153,2)</f>
        <v>153</v>
      </c>
      <c r="CC74" s="7">
        <f>ROUND(66601.1799999999,2)</f>
        <v>66601.179999999993</v>
      </c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7">
        <f>ROUND(2250,2)</f>
        <v>2250</v>
      </c>
      <c r="CV74" s="7">
        <f>ROUND(1125,2)</f>
        <v>1125</v>
      </c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7">
        <f>ROUND(3276.48,2)</f>
        <v>3276.48</v>
      </c>
      <c r="EF74" s="6"/>
      <c r="EG74" s="6"/>
      <c r="EH74" s="6"/>
      <c r="EI74" s="6"/>
      <c r="EJ74" s="6"/>
      <c r="EK74" s="6"/>
      <c r="EL74" s="6"/>
      <c r="EM74" s="7">
        <f>ROUND(4125,2)</f>
        <v>4125</v>
      </c>
      <c r="EN74" s="6"/>
      <c r="EO74" s="6"/>
      <c r="EP74" s="6"/>
      <c r="EQ74" s="6"/>
      <c r="ER74" s="6"/>
      <c r="ES74" s="6"/>
      <c r="ET74" s="6"/>
      <c r="EU74" s="6"/>
      <c r="EV74" s="7">
        <f>ROUND(77377.6599999999,2)</f>
        <v>77377.66</v>
      </c>
    </row>
    <row r="75" spans="1:152">
      <c r="A75" s="4" t="s">
        <v>329</v>
      </c>
      <c r="B75" s="4"/>
      <c r="C75" s="5" t="s">
        <v>330</v>
      </c>
      <c r="D75" s="5" t="s">
        <v>331</v>
      </c>
      <c r="E75" s="5" t="s">
        <v>0</v>
      </c>
      <c r="F75" s="5" t="s">
        <v>0</v>
      </c>
      <c r="G75" s="5" t="s">
        <v>332</v>
      </c>
      <c r="H75" s="10">
        <v>1305.71</v>
      </c>
      <c r="I75" s="6"/>
      <c r="J75" s="6"/>
      <c r="K75" s="6"/>
      <c r="L75" s="6"/>
      <c r="M75" s="7">
        <f>ROUND(204.18,2)</f>
        <v>204.18</v>
      </c>
      <c r="N75" s="6"/>
      <c r="O75" s="6"/>
      <c r="P75" s="7">
        <f>ROUND(30.08,2)</f>
        <v>30.08</v>
      </c>
      <c r="Q75" s="6"/>
      <c r="R75" s="6"/>
      <c r="S75" s="6"/>
      <c r="T75" s="6"/>
      <c r="U75" s="7">
        <f>ROUND(8.25,2)</f>
        <v>8.25</v>
      </c>
      <c r="V75" s="6"/>
      <c r="W75" s="7">
        <f>ROUND(1.91,2)</f>
        <v>1.91</v>
      </c>
      <c r="X75" s="6"/>
      <c r="Y75" s="6"/>
      <c r="Z75" s="6"/>
      <c r="AA75" s="7">
        <f>ROUND(1,2)</f>
        <v>1</v>
      </c>
      <c r="AB75" s="7">
        <f>ROUND(5,2)</f>
        <v>5</v>
      </c>
      <c r="AC75" s="7">
        <f>ROUND(35.92,2)</f>
        <v>35.92</v>
      </c>
      <c r="AD75" s="7">
        <f>ROUND(9.33,2)</f>
        <v>9.33</v>
      </c>
      <c r="AE75" s="6"/>
      <c r="AF75" s="7">
        <f>ROUND(126.37,2)</f>
        <v>126.37</v>
      </c>
      <c r="AG75" s="7">
        <f>ROUND(14.6,2)</f>
        <v>14.6</v>
      </c>
      <c r="AH75" s="7">
        <f>ROUND(8,2)</f>
        <v>8</v>
      </c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7">
        <f>ROUND(8,2)</f>
        <v>8</v>
      </c>
      <c r="BG75" s="6"/>
      <c r="BH75" s="6"/>
      <c r="BI75" s="6"/>
      <c r="BJ75" s="6"/>
      <c r="BK75" s="6"/>
      <c r="BL75" s="6"/>
      <c r="BM75" s="7">
        <f>ROUND(8,2)</f>
        <v>8</v>
      </c>
      <c r="BN75" s="6"/>
      <c r="BO75" s="6"/>
      <c r="BP75" s="6"/>
      <c r="BQ75" s="6"/>
      <c r="BR75" s="6"/>
      <c r="BS75" s="6"/>
      <c r="BT75" s="7">
        <f>ROUND(32,2)</f>
        <v>32</v>
      </c>
      <c r="BU75" s="7">
        <f>ROUND(8,2)</f>
        <v>8</v>
      </c>
      <c r="BV75" s="6"/>
      <c r="BW75" s="6"/>
      <c r="BX75" s="6"/>
      <c r="BY75" s="7">
        <f>ROUND(46.62,2)</f>
        <v>46.62</v>
      </c>
      <c r="BZ75" s="6"/>
      <c r="CA75" s="6"/>
      <c r="CB75" s="7">
        <f>ROUND(547.26,2)</f>
        <v>547.26</v>
      </c>
      <c r="CC75" s="7">
        <f>ROUND(52363.1399999998,2)</f>
        <v>52363.14</v>
      </c>
      <c r="CD75" s="6"/>
      <c r="CE75" s="6"/>
      <c r="CF75" s="6"/>
      <c r="CG75" s="7">
        <f>ROUND(5682.63999999999,2)</f>
        <v>5682.64</v>
      </c>
      <c r="CH75" s="6"/>
      <c r="CI75" s="6"/>
      <c r="CJ75" s="7">
        <f>ROUND(1253.44,2)</f>
        <v>1253.44</v>
      </c>
      <c r="CK75" s="6"/>
      <c r="CL75" s="6"/>
      <c r="CM75" s="6"/>
      <c r="CN75" s="6"/>
      <c r="CO75" s="7">
        <f>ROUND(229.899999999999,2)</f>
        <v>229.9</v>
      </c>
      <c r="CP75" s="6"/>
      <c r="CQ75" s="7">
        <f>ROUND(53.12,2)</f>
        <v>53.12</v>
      </c>
      <c r="CR75" s="6"/>
      <c r="CS75" s="6"/>
      <c r="CT75" s="6"/>
      <c r="CU75" s="7">
        <f>ROUND(375,2)</f>
        <v>375</v>
      </c>
      <c r="CV75" s="7">
        <f>ROUND(1875,2)</f>
        <v>1875</v>
      </c>
      <c r="CW75" s="7">
        <f>ROUND(998.64,2)</f>
        <v>998.64</v>
      </c>
      <c r="CX75" s="7">
        <f>ROUND(388.78,2)</f>
        <v>388.78</v>
      </c>
      <c r="CY75" s="6"/>
      <c r="CZ75" s="6"/>
      <c r="DA75" s="7">
        <f>ROUND(3527.71,2)</f>
        <v>3527.71</v>
      </c>
      <c r="DB75" s="7">
        <f>ROUND(611.67,2)</f>
        <v>611.66999999999996</v>
      </c>
      <c r="DC75" s="7">
        <f>ROUND(222.24,2)</f>
        <v>222.24</v>
      </c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7">
        <f>ROUND(2588.96,2)</f>
        <v>2588.96</v>
      </c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7">
        <f>ROUND(406.14,2)</f>
        <v>406.14</v>
      </c>
      <c r="ET75" s="6"/>
      <c r="EU75" s="6"/>
      <c r="EV75" s="7">
        <f>ROUND(70576.38,2)</f>
        <v>70576.38</v>
      </c>
    </row>
    <row r="76" spans="1:152">
      <c r="A76" s="4" t="s">
        <v>333</v>
      </c>
      <c r="B76" s="4" t="s">
        <v>1058</v>
      </c>
      <c r="C76" s="5" t="s">
        <v>152</v>
      </c>
      <c r="D76" s="5" t="s">
        <v>186</v>
      </c>
      <c r="E76" s="5" t="s">
        <v>0</v>
      </c>
      <c r="F76" s="5" t="s">
        <v>0</v>
      </c>
      <c r="G76" s="5" t="s">
        <v>155</v>
      </c>
      <c r="H76" s="10">
        <v>27.36</v>
      </c>
      <c r="I76" s="6"/>
      <c r="J76" s="6"/>
      <c r="K76" s="6"/>
      <c r="L76" s="6"/>
      <c r="M76" s="7">
        <f>ROUND(548.07,2)</f>
        <v>548.07000000000005</v>
      </c>
      <c r="N76" s="6"/>
      <c r="O76" s="6"/>
      <c r="P76" s="7">
        <f>ROUND(34.55,2)</f>
        <v>34.549999999999997</v>
      </c>
      <c r="Q76" s="6"/>
      <c r="R76" s="6"/>
      <c r="S76" s="6"/>
      <c r="T76" s="6"/>
      <c r="U76" s="6"/>
      <c r="V76" s="6"/>
      <c r="W76" s="7">
        <f>ROUND(1.66,2)</f>
        <v>1.66</v>
      </c>
      <c r="X76" s="6"/>
      <c r="Y76" s="6"/>
      <c r="Z76" s="6"/>
      <c r="AA76" s="6"/>
      <c r="AB76" s="6"/>
      <c r="AC76" s="7">
        <f>ROUND(45.25,2)</f>
        <v>45.25</v>
      </c>
      <c r="AD76" s="6"/>
      <c r="AE76" s="6"/>
      <c r="AF76" s="7">
        <f>ROUND(272.58,2)</f>
        <v>272.58</v>
      </c>
      <c r="AG76" s="7">
        <f>ROUND(14.58,2)</f>
        <v>14.58</v>
      </c>
      <c r="AH76" s="7">
        <f>ROUND(31,2)</f>
        <v>31</v>
      </c>
      <c r="AI76" s="6"/>
      <c r="AJ76" s="6"/>
      <c r="AK76" s="6"/>
      <c r="AL76" s="7">
        <f>ROUND(236.22,2)</f>
        <v>236.22</v>
      </c>
      <c r="AM76" s="7">
        <f>ROUND(1.57,2)</f>
        <v>1.57</v>
      </c>
      <c r="AN76" s="7">
        <f>ROUND(11.45,2)</f>
        <v>11.45</v>
      </c>
      <c r="AO76" s="6"/>
      <c r="AP76" s="6"/>
      <c r="AQ76" s="6"/>
      <c r="AR76" s="7">
        <f>ROUND(2,2)</f>
        <v>2</v>
      </c>
      <c r="AS76" s="6"/>
      <c r="AT76" s="6"/>
      <c r="AU76" s="6"/>
      <c r="AV76" s="6"/>
      <c r="AW76" s="6"/>
      <c r="AX76" s="6"/>
      <c r="AY76" s="6"/>
      <c r="AZ76" s="6"/>
      <c r="BA76" s="6"/>
      <c r="BB76" s="7">
        <f>ROUND(8,2)</f>
        <v>8</v>
      </c>
      <c r="BC76" s="7">
        <f>ROUND(468,2)</f>
        <v>468</v>
      </c>
      <c r="BD76" s="6"/>
      <c r="BE76" s="6"/>
      <c r="BF76" s="6"/>
      <c r="BG76" s="6"/>
      <c r="BH76" s="7">
        <f>ROUND(8,2)</f>
        <v>8</v>
      </c>
      <c r="BI76" s="6"/>
      <c r="BJ76" s="6"/>
      <c r="BK76" s="6"/>
      <c r="BL76" s="6"/>
      <c r="BM76" s="7">
        <f>ROUND(5,2)</f>
        <v>5</v>
      </c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7">
        <f>ROUND(24,2)</f>
        <v>24</v>
      </c>
      <c r="CB76" s="7">
        <f>ROUND(1711.92999999999,2)</f>
        <v>1711.93</v>
      </c>
      <c r="CC76" s="6"/>
      <c r="CD76" s="6"/>
      <c r="CE76" s="6"/>
      <c r="CF76" s="6"/>
      <c r="CG76" s="7">
        <f>ROUND(11635.7799999999,2)</f>
        <v>11635.78</v>
      </c>
      <c r="CH76" s="6"/>
      <c r="CI76" s="6"/>
      <c r="CJ76" s="7">
        <f>ROUND(1153.92,2)</f>
        <v>1153.92</v>
      </c>
      <c r="CK76" s="6"/>
      <c r="CL76" s="6"/>
      <c r="CM76" s="6"/>
      <c r="CN76" s="6"/>
      <c r="CO76" s="6"/>
      <c r="CP76" s="6"/>
      <c r="CQ76" s="7">
        <f>ROUND(33.7,2)</f>
        <v>33.700000000000003</v>
      </c>
      <c r="CR76" s="6"/>
      <c r="CS76" s="6"/>
      <c r="CT76" s="6"/>
      <c r="CU76" s="6"/>
      <c r="CV76" s="6"/>
      <c r="CW76" s="7">
        <f>ROUND(946.41,2)</f>
        <v>946.41</v>
      </c>
      <c r="CX76" s="6"/>
      <c r="CY76" s="6"/>
      <c r="CZ76" s="6"/>
      <c r="DA76" s="7">
        <f>ROUND(5996.99,2)</f>
        <v>5996.99</v>
      </c>
      <c r="DB76" s="7">
        <f>ROUND(462.02,2)</f>
        <v>462.02</v>
      </c>
      <c r="DC76" s="7">
        <f>ROUND(685.94,2)</f>
        <v>685.94</v>
      </c>
      <c r="DD76" s="6"/>
      <c r="DE76" s="6"/>
      <c r="DF76" s="6"/>
      <c r="DG76" s="6"/>
      <c r="DH76" s="6"/>
      <c r="DI76" s="7">
        <f>ROUND(4133.86,2)</f>
        <v>4133.8599999999997</v>
      </c>
      <c r="DJ76" s="7">
        <f>ROUND(32.71,2)</f>
        <v>32.71</v>
      </c>
      <c r="DK76" s="7">
        <f>ROUND(300.57,2)</f>
        <v>300.57</v>
      </c>
      <c r="DL76" s="6"/>
      <c r="DM76" s="6"/>
      <c r="DN76" s="6"/>
      <c r="DO76" s="6"/>
      <c r="DP76" s="7">
        <f>ROUND(41.67,2)</f>
        <v>41.67</v>
      </c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7">
        <f>ROUND(325,2)</f>
        <v>325</v>
      </c>
      <c r="EF76" s="6"/>
      <c r="EG76" s="6"/>
      <c r="EH76" s="6"/>
      <c r="EI76" s="6"/>
      <c r="EJ76" s="7">
        <f>ROUND(500,2)</f>
        <v>500</v>
      </c>
      <c r="EK76" s="6"/>
      <c r="EL76" s="6"/>
      <c r="EM76" s="6"/>
      <c r="EN76" s="6"/>
      <c r="EO76" s="6"/>
      <c r="EP76" s="6"/>
      <c r="EQ76" s="7">
        <f>ROUND(500,2)</f>
        <v>500</v>
      </c>
      <c r="ER76" s="6"/>
      <c r="ES76" s="6"/>
      <c r="ET76" s="6"/>
      <c r="EU76" s="7">
        <f>ROUND(620.16,2)</f>
        <v>620.16</v>
      </c>
      <c r="EV76" s="7">
        <f>ROUND(27368.73,2)</f>
        <v>27368.73</v>
      </c>
    </row>
    <row r="77" spans="1:152">
      <c r="A77" s="4" t="s">
        <v>334</v>
      </c>
      <c r="B77" s="4" t="s">
        <v>1058</v>
      </c>
      <c r="C77" s="5" t="s">
        <v>211</v>
      </c>
      <c r="D77" s="5" t="s">
        <v>266</v>
      </c>
      <c r="E77" s="5" t="s">
        <v>335</v>
      </c>
      <c r="F77" s="5" t="s">
        <v>0</v>
      </c>
      <c r="G77" s="5" t="s">
        <v>213</v>
      </c>
      <c r="H77" s="10">
        <v>17.649999999999999</v>
      </c>
      <c r="I77" s="6"/>
      <c r="J77" s="6"/>
      <c r="K77" s="6"/>
      <c r="L77" s="6"/>
      <c r="M77" s="6"/>
      <c r="N77" s="6"/>
      <c r="O77" s="6"/>
      <c r="P77" s="6"/>
      <c r="Q77" s="7">
        <f>ROUND(408,2)</f>
        <v>408</v>
      </c>
      <c r="R77" s="7">
        <f>ROUND(24.87,2)</f>
        <v>24.87</v>
      </c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7">
        <f>ROUND(8,2)</f>
        <v>8</v>
      </c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7">
        <f>ROUND(440.87,2)</f>
        <v>440.87</v>
      </c>
      <c r="CC77" s="6"/>
      <c r="CD77" s="6"/>
      <c r="CE77" s="6"/>
      <c r="CF77" s="6"/>
      <c r="CG77" s="6"/>
      <c r="CH77" s="6"/>
      <c r="CI77" s="6"/>
      <c r="CJ77" s="6"/>
      <c r="CK77" s="7">
        <f>ROUND(7201.2,2)</f>
        <v>7201.2</v>
      </c>
      <c r="CL77" s="7">
        <f>ROUND(658.43,2)</f>
        <v>658.43</v>
      </c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7">
        <f>ROUND(140,2)</f>
        <v>140</v>
      </c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7">
        <f>ROUND(7999.62999999999,2)</f>
        <v>7999.63</v>
      </c>
    </row>
    <row r="78" spans="1:152">
      <c r="A78" s="4" t="s">
        <v>336</v>
      </c>
      <c r="B78" s="4" t="s">
        <v>1058</v>
      </c>
      <c r="C78" s="5" t="s">
        <v>152</v>
      </c>
      <c r="D78" s="5" t="s">
        <v>281</v>
      </c>
      <c r="E78" s="5" t="s">
        <v>0</v>
      </c>
      <c r="F78" s="5" t="s">
        <v>0</v>
      </c>
      <c r="G78" s="5" t="s">
        <v>155</v>
      </c>
      <c r="H78" s="10">
        <v>24.32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">
        <f>ROUND(0.83,2)</f>
        <v>0.83</v>
      </c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7">
        <f>ROUND(10,2)</f>
        <v>10</v>
      </c>
      <c r="AI78" s="6"/>
      <c r="AJ78" s="6"/>
      <c r="AK78" s="6"/>
      <c r="AL78" s="7">
        <f>ROUND(218.17,2)</f>
        <v>218.17</v>
      </c>
      <c r="AM78" s="6"/>
      <c r="AN78" s="7">
        <f>ROUND(17.23,2)</f>
        <v>17.23</v>
      </c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7">
        <f>ROUND(246.23,2)</f>
        <v>246.23</v>
      </c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7">
        <f>ROUND(14.53,2)</f>
        <v>14.53</v>
      </c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7">
        <f>ROUND(175,2)</f>
        <v>175</v>
      </c>
      <c r="DD78" s="6"/>
      <c r="DE78" s="6"/>
      <c r="DF78" s="6"/>
      <c r="DG78" s="6"/>
      <c r="DH78" s="6"/>
      <c r="DI78" s="7">
        <f>ROUND(3817.98,2)</f>
        <v>3817.98</v>
      </c>
      <c r="DJ78" s="6"/>
      <c r="DK78" s="7">
        <f>ROUND(452.289999999999,2)</f>
        <v>452.29</v>
      </c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7">
        <f>ROUND(4459.8,2)</f>
        <v>4459.8</v>
      </c>
    </row>
    <row r="79" spans="1:152">
      <c r="A79" s="4" t="s">
        <v>337</v>
      </c>
      <c r="B79" s="4" t="s">
        <v>1058</v>
      </c>
      <c r="C79" s="5" t="s">
        <v>152</v>
      </c>
      <c r="D79" s="5" t="s">
        <v>298</v>
      </c>
      <c r="E79" s="5" t="s">
        <v>0</v>
      </c>
      <c r="F79" s="5" t="s">
        <v>0</v>
      </c>
      <c r="G79" s="5" t="s">
        <v>155</v>
      </c>
      <c r="H79" s="10">
        <v>30.4</v>
      </c>
      <c r="I79" s="6"/>
      <c r="J79" s="6"/>
      <c r="K79" s="6"/>
      <c r="L79" s="6"/>
      <c r="M79" s="7">
        <f>ROUND(895.249999999999,2)</f>
        <v>895.25</v>
      </c>
      <c r="N79" s="6"/>
      <c r="O79" s="6"/>
      <c r="P79" s="7">
        <f>ROUND(50.7399999999999,2)</f>
        <v>50.74</v>
      </c>
      <c r="Q79" s="6"/>
      <c r="R79" s="6"/>
      <c r="S79" s="6"/>
      <c r="T79" s="6"/>
      <c r="U79" s="7">
        <f>ROUND(51.55,2)</f>
        <v>51.55</v>
      </c>
      <c r="V79" s="6"/>
      <c r="W79" s="7">
        <f>ROUND(9.39,2)</f>
        <v>9.39</v>
      </c>
      <c r="X79" s="6"/>
      <c r="Y79" s="6"/>
      <c r="Z79" s="6"/>
      <c r="AA79" s="6"/>
      <c r="AB79" s="6"/>
      <c r="AC79" s="7">
        <f>ROUND(106.49,2)</f>
        <v>106.49</v>
      </c>
      <c r="AD79" s="7">
        <f>ROUND(1.32,2)</f>
        <v>1.32</v>
      </c>
      <c r="AE79" s="6"/>
      <c r="AF79" s="7">
        <f>ROUND(433.289999999999,2)</f>
        <v>433.29</v>
      </c>
      <c r="AG79" s="7">
        <f>ROUND(32.09,2)</f>
        <v>32.090000000000003</v>
      </c>
      <c r="AH79" s="7">
        <f>ROUND(96,2)</f>
        <v>96</v>
      </c>
      <c r="AI79" s="6"/>
      <c r="AJ79" s="7">
        <f>ROUND(64,2)</f>
        <v>64</v>
      </c>
      <c r="AK79" s="6"/>
      <c r="AL79" s="7">
        <f>ROUND(16.5,2)</f>
        <v>16.5</v>
      </c>
      <c r="AM79" s="6"/>
      <c r="AN79" s="6"/>
      <c r="AO79" s="6"/>
      <c r="AP79" s="7">
        <f>ROUND(24,2)</f>
        <v>24</v>
      </c>
      <c r="AQ79" s="6"/>
      <c r="AR79" s="6"/>
      <c r="AS79" s="6"/>
      <c r="AT79" s="6"/>
      <c r="AU79" s="6"/>
      <c r="AV79" s="7">
        <f>ROUND(4.92,2)</f>
        <v>4.92</v>
      </c>
      <c r="AW79" s="7">
        <f>ROUND(5.08,2)</f>
        <v>5.08</v>
      </c>
      <c r="AX79" s="6"/>
      <c r="AY79" s="6"/>
      <c r="AZ79" s="6"/>
      <c r="BA79" s="6"/>
      <c r="BB79" s="7">
        <f>ROUND(8,2)</f>
        <v>8</v>
      </c>
      <c r="BC79" s="7">
        <f>ROUND(144,2)</f>
        <v>144</v>
      </c>
      <c r="BD79" s="7">
        <f>ROUND(1.2,2)</f>
        <v>1.2</v>
      </c>
      <c r="BE79" s="7">
        <f>ROUND(10.6299999999999,2)</f>
        <v>10.63</v>
      </c>
      <c r="BF79" s="7">
        <f>ROUND(43.9899999999999,2)</f>
        <v>43.99</v>
      </c>
      <c r="BG79" s="7">
        <f>ROUND(95.92,2)</f>
        <v>95.92</v>
      </c>
      <c r="BH79" s="7">
        <f>ROUND(8,2)</f>
        <v>8</v>
      </c>
      <c r="BI79" s="6"/>
      <c r="BJ79" s="7">
        <f>ROUND(40,2)</f>
        <v>40</v>
      </c>
      <c r="BK79" s="6"/>
      <c r="BL79" s="6"/>
      <c r="BM79" s="7">
        <f>ROUND(115.97,2)</f>
        <v>115.97</v>
      </c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7">
        <f>ROUND(16,2)</f>
        <v>16</v>
      </c>
      <c r="CB79" s="7">
        <f>ROUND(2274.33,2)</f>
        <v>2274.33</v>
      </c>
      <c r="CC79" s="6"/>
      <c r="CD79" s="6"/>
      <c r="CE79" s="6"/>
      <c r="CF79" s="6"/>
      <c r="CG79" s="7">
        <f>ROUND(21486.2399999999,2)</f>
        <v>21486.240000000002</v>
      </c>
      <c r="CH79" s="6"/>
      <c r="CI79" s="6"/>
      <c r="CJ79" s="7">
        <f>ROUND(1796.67,2)</f>
        <v>1796.67</v>
      </c>
      <c r="CK79" s="6"/>
      <c r="CL79" s="6"/>
      <c r="CM79" s="6"/>
      <c r="CN79" s="6"/>
      <c r="CO79" s="7">
        <f>ROUND(1331.85,2)</f>
        <v>1331.85</v>
      </c>
      <c r="CP79" s="6"/>
      <c r="CQ79" s="7">
        <f>ROUND(222.899999999999,2)</f>
        <v>222.9</v>
      </c>
      <c r="CR79" s="6"/>
      <c r="CS79" s="6"/>
      <c r="CT79" s="6"/>
      <c r="CU79" s="6"/>
      <c r="CV79" s="6"/>
      <c r="CW79" s="7">
        <f>ROUND(2564.42,2)</f>
        <v>2564.42</v>
      </c>
      <c r="CX79" s="7">
        <f>ROUND(46.2,2)</f>
        <v>46.2</v>
      </c>
      <c r="CY79" s="6"/>
      <c r="CZ79" s="6"/>
      <c r="DA79" s="7">
        <f>ROUND(10599.99,2)</f>
        <v>10599.99</v>
      </c>
      <c r="DB79" s="7">
        <f>ROUND(1208.01,2)</f>
        <v>1208.01</v>
      </c>
      <c r="DC79" s="7">
        <f>ROUND(2409.72,2)</f>
        <v>2409.7199999999998</v>
      </c>
      <c r="DD79" s="6"/>
      <c r="DE79" s="7">
        <f>ROUND(1663,2)</f>
        <v>1663</v>
      </c>
      <c r="DF79" s="6"/>
      <c r="DG79" s="6"/>
      <c r="DH79" s="6"/>
      <c r="DI79" s="7">
        <f>ROUND(441.549999999999,2)</f>
        <v>441.55</v>
      </c>
      <c r="DJ79" s="6"/>
      <c r="DK79" s="6"/>
      <c r="DL79" s="6"/>
      <c r="DM79" s="7">
        <f>ROUND(560.04,2)</f>
        <v>560.04</v>
      </c>
      <c r="DN79" s="6"/>
      <c r="DO79" s="6"/>
      <c r="DP79" s="6"/>
      <c r="DQ79" s="6"/>
      <c r="DR79" s="7">
        <f>ROUND(500,2)</f>
        <v>500</v>
      </c>
      <c r="DS79" s="6"/>
      <c r="DT79" s="6"/>
      <c r="DU79" s="6"/>
      <c r="DV79" s="6"/>
      <c r="DW79" s="7">
        <f>ROUND(114.81,2)</f>
        <v>114.81</v>
      </c>
      <c r="DX79" s="7">
        <f>ROUND(177.81,2)</f>
        <v>177.81</v>
      </c>
      <c r="DY79" s="6"/>
      <c r="DZ79" s="6"/>
      <c r="EA79" s="6"/>
      <c r="EB79" s="6"/>
      <c r="EC79" s="6"/>
      <c r="ED79" s="6"/>
      <c r="EE79" s="7">
        <f>ROUND(125,2)</f>
        <v>125</v>
      </c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7">
        <f>ROUND(1082.4,2)</f>
        <v>1082.4000000000001</v>
      </c>
      <c r="ER79" s="6"/>
      <c r="ES79" s="6"/>
      <c r="ET79" s="6"/>
      <c r="EU79" s="7">
        <f>ROUND(486.4,2)</f>
        <v>486.4</v>
      </c>
      <c r="EV79" s="7">
        <f>ROUND(46817.01,2)</f>
        <v>46817.01</v>
      </c>
    </row>
    <row r="80" spans="1:152">
      <c r="A80" s="4" t="s">
        <v>338</v>
      </c>
      <c r="B80" s="4"/>
      <c r="C80" s="5" t="s">
        <v>152</v>
      </c>
      <c r="D80" s="5" t="s">
        <v>339</v>
      </c>
      <c r="E80" s="5" t="s">
        <v>0</v>
      </c>
      <c r="F80" s="5" t="s">
        <v>0</v>
      </c>
      <c r="G80" s="5" t="s">
        <v>332</v>
      </c>
      <c r="H80" s="10">
        <v>50</v>
      </c>
      <c r="I80" s="7">
        <f>ROUND(775.75,2)</f>
        <v>775.75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7">
        <f>ROUND(5,2)</f>
        <v>5</v>
      </c>
      <c r="BU80" s="6"/>
      <c r="BV80" s="6"/>
      <c r="BW80" s="6"/>
      <c r="BX80" s="6"/>
      <c r="BY80" s="6"/>
      <c r="BZ80" s="6"/>
      <c r="CA80" s="6"/>
      <c r="CB80" s="7">
        <f>ROUND(780.75,2)</f>
        <v>780.75</v>
      </c>
      <c r="CC80" s="7">
        <f>ROUND(38787.5,2)</f>
        <v>38787.5</v>
      </c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7">
        <f>ROUND(250,2)</f>
        <v>250</v>
      </c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7">
        <f>ROUND(39037.5,2)</f>
        <v>39037.5</v>
      </c>
    </row>
    <row r="81" spans="1:152" ht="24">
      <c r="A81" s="4" t="s">
        <v>340</v>
      </c>
      <c r="B81" s="4"/>
      <c r="C81" s="5" t="s">
        <v>341</v>
      </c>
      <c r="D81" s="5" t="s">
        <v>342</v>
      </c>
      <c r="E81" s="5" t="s">
        <v>0</v>
      </c>
      <c r="F81" s="5" t="s">
        <v>0</v>
      </c>
      <c r="G81" s="5" t="s">
        <v>343</v>
      </c>
      <c r="H81" s="10">
        <v>1501.26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7">
        <f>ROUND(7,2)</f>
        <v>7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7">
        <f>ROUND(24,2)</f>
        <v>24</v>
      </c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7">
        <f>ROUND(32,2)</f>
        <v>32</v>
      </c>
      <c r="BU81" s="7">
        <f>ROUND(40,2)</f>
        <v>40</v>
      </c>
      <c r="BV81" s="6"/>
      <c r="BW81" s="6"/>
      <c r="BX81" s="6"/>
      <c r="BY81" s="7">
        <f>ROUND(136,2)</f>
        <v>136</v>
      </c>
      <c r="BZ81" s="6"/>
      <c r="CA81" s="6"/>
      <c r="CB81" s="7">
        <f>ROUND(239,2)</f>
        <v>239</v>
      </c>
      <c r="CC81" s="7">
        <f>ROUND(74355.94,2)</f>
        <v>74355.94</v>
      </c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7">
        <f>ROUND(2625,2)</f>
        <v>2625</v>
      </c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7">
        <f>ROUND(295,2)</f>
        <v>295</v>
      </c>
      <c r="DO81" s="6"/>
      <c r="DP81" s="6"/>
      <c r="DQ81" s="6"/>
      <c r="DR81" s="6"/>
      <c r="DS81" s="6"/>
      <c r="DT81" s="7">
        <f>ROUND(26750,2)</f>
        <v>26750</v>
      </c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7">
        <f>ROUND(3602.88,2)</f>
        <v>3602.88</v>
      </c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7">
        <f>ROUND(107628.82,2)</f>
        <v>107628.82</v>
      </c>
    </row>
    <row r="82" spans="1:152">
      <c r="A82" s="4" t="s">
        <v>344</v>
      </c>
      <c r="B82" s="4" t="s">
        <v>1058</v>
      </c>
      <c r="C82" s="5" t="s">
        <v>152</v>
      </c>
      <c r="D82" s="5" t="s">
        <v>160</v>
      </c>
      <c r="E82" s="5" t="s">
        <v>345</v>
      </c>
      <c r="F82" s="5" t="s">
        <v>0</v>
      </c>
      <c r="G82" s="5" t="s">
        <v>155</v>
      </c>
      <c r="H82" s="10">
        <v>17.5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7">
        <f>ROUND(5,2)</f>
        <v>5</v>
      </c>
      <c r="AI82" s="6"/>
      <c r="AJ82" s="6"/>
      <c r="AK82" s="6"/>
      <c r="AL82" s="7">
        <f>ROUND(165.8,2)</f>
        <v>165.8</v>
      </c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7">
        <f>ROUND(5,2)</f>
        <v>5</v>
      </c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7">
        <f>ROUND(175.8,2)</f>
        <v>175.8</v>
      </c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7">
        <f>ROUND(87.5,2)</f>
        <v>87.5</v>
      </c>
      <c r="DD82" s="6"/>
      <c r="DE82" s="6"/>
      <c r="DF82" s="6"/>
      <c r="DG82" s="6"/>
      <c r="DH82" s="6"/>
      <c r="DI82" s="7">
        <f>ROUND(2901.5,2)</f>
        <v>2901.5</v>
      </c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7">
        <f>ROUND(2989,2)</f>
        <v>2989</v>
      </c>
    </row>
    <row r="83" spans="1:152">
      <c r="A83" s="4" t="s">
        <v>346</v>
      </c>
      <c r="B83" s="4" t="s">
        <v>1058</v>
      </c>
      <c r="C83" s="5" t="s">
        <v>152</v>
      </c>
      <c r="D83" s="5" t="s">
        <v>164</v>
      </c>
      <c r="E83" s="5" t="s">
        <v>347</v>
      </c>
      <c r="F83" s="5" t="s">
        <v>0</v>
      </c>
      <c r="G83" s="5" t="s">
        <v>155</v>
      </c>
      <c r="H83" s="10">
        <v>17.5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7">
        <f>ROUND(114.95,2)</f>
        <v>114.95</v>
      </c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7">
        <f>ROUND(54.5,2)</f>
        <v>54.5</v>
      </c>
      <c r="BD83" s="7">
        <f>ROUND(0.55,2)</f>
        <v>0.55000000000000004</v>
      </c>
      <c r="BE83" s="6"/>
      <c r="BF83" s="6"/>
      <c r="BG83" s="6"/>
      <c r="BH83" s="6"/>
      <c r="BI83" s="6"/>
      <c r="BJ83" s="6"/>
      <c r="BK83" s="6"/>
      <c r="BL83" s="6"/>
      <c r="BM83" s="7">
        <f>ROUND(10,2)</f>
        <v>10</v>
      </c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7">
        <f>ROUND(180,2)</f>
        <v>180</v>
      </c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7">
        <f>ROUND(2011.63,2)</f>
        <v>2011.63</v>
      </c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7">
        <f>ROUND(2011.63,2)</f>
        <v>2011.63</v>
      </c>
    </row>
    <row r="84" spans="1:152">
      <c r="A84" s="4" t="s">
        <v>348</v>
      </c>
      <c r="B84" s="4" t="s">
        <v>1058</v>
      </c>
      <c r="C84" s="5" t="s">
        <v>152</v>
      </c>
      <c r="D84" s="5" t="s">
        <v>349</v>
      </c>
      <c r="E84" s="5" t="s">
        <v>0</v>
      </c>
      <c r="F84" s="5" t="s">
        <v>0</v>
      </c>
      <c r="G84" s="5" t="s">
        <v>155</v>
      </c>
      <c r="H84" s="10">
        <v>30.4</v>
      </c>
      <c r="I84" s="6"/>
      <c r="J84" s="6"/>
      <c r="K84" s="6"/>
      <c r="L84" s="6"/>
      <c r="M84" s="7">
        <f>ROUND(1543.44,2)</f>
        <v>1543.44</v>
      </c>
      <c r="N84" s="6"/>
      <c r="O84" s="6"/>
      <c r="P84" s="7">
        <f>ROUND(239.18,2)</f>
        <v>239.18</v>
      </c>
      <c r="Q84" s="6"/>
      <c r="R84" s="6"/>
      <c r="S84" s="6"/>
      <c r="T84" s="6"/>
      <c r="U84" s="7">
        <f>ROUND(31.6799999999999,2)</f>
        <v>31.68</v>
      </c>
      <c r="V84" s="7">
        <f>ROUND(25.1599999999999,2)</f>
        <v>25.16</v>
      </c>
      <c r="W84" s="7">
        <f>ROUND(2.15,2)</f>
        <v>2.15</v>
      </c>
      <c r="X84" s="6"/>
      <c r="Y84" s="6"/>
      <c r="Z84" s="6"/>
      <c r="AA84" s="6"/>
      <c r="AB84" s="6"/>
      <c r="AC84" s="7">
        <f>ROUND(17.67,2)</f>
        <v>17.670000000000002</v>
      </c>
      <c r="AD84" s="7">
        <f>ROUND(0.58,2)</f>
        <v>0.57999999999999996</v>
      </c>
      <c r="AE84" s="6"/>
      <c r="AF84" s="7">
        <f>ROUND(110.14,2)</f>
        <v>110.14</v>
      </c>
      <c r="AG84" s="7">
        <f>ROUND(22.3,2)</f>
        <v>22.3</v>
      </c>
      <c r="AH84" s="7">
        <f>ROUND(82,2)</f>
        <v>82</v>
      </c>
      <c r="AI84" s="6"/>
      <c r="AJ84" s="7">
        <f>ROUND(120,2)</f>
        <v>120</v>
      </c>
      <c r="AK84" s="6"/>
      <c r="AL84" s="7">
        <f>ROUND(16.5,2)</f>
        <v>16.5</v>
      </c>
      <c r="AM84" s="7">
        <f>ROUND(0.22,2)</f>
        <v>0.22</v>
      </c>
      <c r="AN84" s="6"/>
      <c r="AO84" s="6"/>
      <c r="AP84" s="6"/>
      <c r="AQ84" s="6"/>
      <c r="AR84" s="6"/>
      <c r="AS84" s="6"/>
      <c r="AT84" s="7">
        <f>ROUND(78.5099999999999,2)</f>
        <v>78.510000000000005</v>
      </c>
      <c r="AU84" s="6"/>
      <c r="AV84" s="6"/>
      <c r="AW84" s="6"/>
      <c r="AX84" s="6"/>
      <c r="AY84" s="6"/>
      <c r="AZ84" s="6"/>
      <c r="BA84" s="6"/>
      <c r="BB84" s="7">
        <f>ROUND(16,2)</f>
        <v>16</v>
      </c>
      <c r="BC84" s="7">
        <f>ROUND(24,2)</f>
        <v>24</v>
      </c>
      <c r="BD84" s="7">
        <f>ROUND(0.47,2)</f>
        <v>0.47</v>
      </c>
      <c r="BE84" s="7">
        <f>ROUND(21.64,2)</f>
        <v>21.64</v>
      </c>
      <c r="BF84" s="6"/>
      <c r="BG84" s="6"/>
      <c r="BH84" s="6"/>
      <c r="BI84" s="6"/>
      <c r="BJ84" s="6"/>
      <c r="BK84" s="6"/>
      <c r="BL84" s="6"/>
      <c r="BM84" s="6"/>
      <c r="BN84" s="7">
        <f>ROUND(82.76,2)</f>
        <v>82.76</v>
      </c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7">
        <f>ROUND(2434.4,2)</f>
        <v>2434.4</v>
      </c>
      <c r="CC84" s="6"/>
      <c r="CD84" s="6"/>
      <c r="CE84" s="6"/>
      <c r="CF84" s="6"/>
      <c r="CG84" s="7">
        <f>ROUND(43684.7899999999,2)</f>
        <v>43684.79</v>
      </c>
      <c r="CH84" s="6"/>
      <c r="CI84" s="6"/>
      <c r="CJ84" s="7">
        <f>ROUND(10222.0999999999,2)</f>
        <v>10222.1</v>
      </c>
      <c r="CK84" s="6"/>
      <c r="CL84" s="6"/>
      <c r="CM84" s="6"/>
      <c r="CN84" s="6"/>
      <c r="CO84" s="7">
        <f>ROUND(907.569999999999,2)</f>
        <v>907.57</v>
      </c>
      <c r="CP84" s="7">
        <f>ROUND(1051.81,2)</f>
        <v>1051.81</v>
      </c>
      <c r="CQ84" s="7">
        <f>ROUND(62.06,2)</f>
        <v>62.06</v>
      </c>
      <c r="CR84" s="6"/>
      <c r="CS84" s="6"/>
      <c r="CT84" s="6"/>
      <c r="CU84" s="6"/>
      <c r="CV84" s="6"/>
      <c r="CW84" s="7">
        <f>ROUND(515.45,2)</f>
        <v>515.45000000000005</v>
      </c>
      <c r="CX84" s="7">
        <f>ROUND(25.17,2)</f>
        <v>25.17</v>
      </c>
      <c r="CY84" s="6"/>
      <c r="CZ84" s="6"/>
      <c r="DA84" s="7">
        <f>ROUND(3067.70999999999,2)</f>
        <v>3067.71</v>
      </c>
      <c r="DB84" s="7">
        <f>ROUND(932.91,2)</f>
        <v>932.91</v>
      </c>
      <c r="DC84" s="7">
        <f>ROUND(2298.92,2)</f>
        <v>2298.92</v>
      </c>
      <c r="DD84" s="6"/>
      <c r="DE84" s="7">
        <f>ROUND(3333.59999999999,2)</f>
        <v>3333.6</v>
      </c>
      <c r="DF84" s="6"/>
      <c r="DG84" s="6"/>
      <c r="DH84" s="6"/>
      <c r="DI84" s="7">
        <f>ROUND(479.33,2)</f>
        <v>479.33</v>
      </c>
      <c r="DJ84" s="7">
        <f>ROUND(6.69,2)</f>
        <v>6.69</v>
      </c>
      <c r="DK84" s="6"/>
      <c r="DL84" s="6"/>
      <c r="DM84" s="6"/>
      <c r="DN84" s="6"/>
      <c r="DO84" s="6"/>
      <c r="DP84" s="6"/>
      <c r="DQ84" s="6"/>
      <c r="DR84" s="7">
        <f>ROUND(500,2)</f>
        <v>500</v>
      </c>
      <c r="DS84" s="6"/>
      <c r="DT84" s="6"/>
      <c r="DU84" s="7">
        <f>ROUND(2209.25,2)</f>
        <v>2209.25</v>
      </c>
      <c r="DV84" s="6"/>
      <c r="DW84" s="6"/>
      <c r="DX84" s="6"/>
      <c r="DY84" s="6"/>
      <c r="DZ84" s="6"/>
      <c r="EA84" s="6"/>
      <c r="EB84" s="6"/>
      <c r="EC84" s="6"/>
      <c r="ED84" s="6"/>
      <c r="EE84" s="7">
        <f>ROUND(1275,2)</f>
        <v>1275</v>
      </c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7">
        <f>ROUND(1250,2)</f>
        <v>1250</v>
      </c>
      <c r="ER84" s="6"/>
      <c r="ES84" s="6"/>
      <c r="ET84" s="6"/>
      <c r="EU84" s="6"/>
      <c r="EV84" s="7">
        <f>ROUND(71822.36,2)</f>
        <v>71822.36</v>
      </c>
    </row>
    <row r="85" spans="1:152">
      <c r="A85" s="4" t="s">
        <v>350</v>
      </c>
      <c r="B85" s="4" t="s">
        <v>1058</v>
      </c>
      <c r="C85" s="5" t="s">
        <v>152</v>
      </c>
      <c r="D85" s="5" t="s">
        <v>351</v>
      </c>
      <c r="E85" s="5" t="s">
        <v>0</v>
      </c>
      <c r="F85" s="5" t="s">
        <v>0</v>
      </c>
      <c r="G85" s="5" t="s">
        <v>155</v>
      </c>
      <c r="H85" s="10">
        <v>30.4</v>
      </c>
      <c r="I85" s="6"/>
      <c r="J85" s="6"/>
      <c r="K85" s="6"/>
      <c r="L85" s="6"/>
      <c r="M85" s="7">
        <f>ROUND(1310.89,2)</f>
        <v>1310.89</v>
      </c>
      <c r="N85" s="6"/>
      <c r="O85" s="6"/>
      <c r="P85" s="7">
        <f>ROUND(214.61,2)</f>
        <v>214.61</v>
      </c>
      <c r="Q85" s="6"/>
      <c r="R85" s="6"/>
      <c r="S85" s="6"/>
      <c r="T85" s="6"/>
      <c r="U85" s="6"/>
      <c r="V85" s="7">
        <f>ROUND(42.75,2)</f>
        <v>42.75</v>
      </c>
      <c r="W85" s="6"/>
      <c r="X85" s="6"/>
      <c r="Y85" s="6"/>
      <c r="Z85" s="6"/>
      <c r="AA85" s="6"/>
      <c r="AB85" s="6"/>
      <c r="AC85" s="7">
        <f>ROUND(439.11,2)</f>
        <v>439.11</v>
      </c>
      <c r="AD85" s="7">
        <f>ROUND(5.14,2)</f>
        <v>5.14</v>
      </c>
      <c r="AE85" s="6"/>
      <c r="AF85" s="6"/>
      <c r="AG85" s="7">
        <f>ROUND(10.08,2)</f>
        <v>10.08</v>
      </c>
      <c r="AH85" s="7">
        <f>ROUND(88,2)</f>
        <v>88</v>
      </c>
      <c r="AI85" s="6"/>
      <c r="AJ85" s="7">
        <f>ROUND(120,2)</f>
        <v>120</v>
      </c>
      <c r="AK85" s="6"/>
      <c r="AL85" s="7">
        <f>ROUND(8,2)</f>
        <v>8</v>
      </c>
      <c r="AM85" s="7">
        <f>ROUND(1.27,2)</f>
        <v>1.27</v>
      </c>
      <c r="AN85" s="6"/>
      <c r="AO85" s="6"/>
      <c r="AP85" s="7">
        <f>ROUND(27.13,2)</f>
        <v>27.13</v>
      </c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7">
        <f>ROUND(8,2)</f>
        <v>8</v>
      </c>
      <c r="BC85" s="7">
        <f>ROUND(56,2)</f>
        <v>56</v>
      </c>
      <c r="BD85" s="6"/>
      <c r="BE85" s="7">
        <f>ROUND(40,2)</f>
        <v>40</v>
      </c>
      <c r="BF85" s="6"/>
      <c r="BG85" s="6"/>
      <c r="BH85" s="6"/>
      <c r="BI85" s="6"/>
      <c r="BJ85" s="7">
        <f>ROUND(8,2)</f>
        <v>8</v>
      </c>
      <c r="BK85" s="6"/>
      <c r="BL85" s="6"/>
      <c r="BM85" s="7">
        <f>ROUND(5.42,2)</f>
        <v>5.42</v>
      </c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7">
        <f>ROUND(2384.39999999999,2)</f>
        <v>2384.4</v>
      </c>
      <c r="CC85" s="6"/>
      <c r="CD85" s="6"/>
      <c r="CE85" s="6"/>
      <c r="CF85" s="6"/>
      <c r="CG85" s="7">
        <f>ROUND(37187.5999999999,2)</f>
        <v>37187.599999999999</v>
      </c>
      <c r="CH85" s="6"/>
      <c r="CI85" s="6"/>
      <c r="CJ85" s="7">
        <f>ROUND(9184.3,2)</f>
        <v>9184.2999999999993</v>
      </c>
      <c r="CK85" s="6"/>
      <c r="CL85" s="6"/>
      <c r="CM85" s="6"/>
      <c r="CN85" s="6"/>
      <c r="CO85" s="6"/>
      <c r="CP85" s="7">
        <f>ROUND(1805,2)</f>
        <v>1805</v>
      </c>
      <c r="CQ85" s="6"/>
      <c r="CR85" s="6"/>
      <c r="CS85" s="6"/>
      <c r="CT85" s="6"/>
      <c r="CU85" s="6"/>
      <c r="CV85" s="6"/>
      <c r="CW85" s="7">
        <f>ROUND(12249.93,2)</f>
        <v>12249.93</v>
      </c>
      <c r="CX85" s="7">
        <f>ROUND(214.64,2)</f>
        <v>214.64</v>
      </c>
      <c r="CY85" s="6"/>
      <c r="CZ85" s="6"/>
      <c r="DA85" s="6"/>
      <c r="DB85" s="7">
        <f>ROUND(444.96,2)</f>
        <v>444.96</v>
      </c>
      <c r="DC85" s="7">
        <f>ROUND(2528.48,2)</f>
        <v>2528.48</v>
      </c>
      <c r="DD85" s="6"/>
      <c r="DE85" s="7">
        <f>ROUND(3354.56,2)</f>
        <v>3354.56</v>
      </c>
      <c r="DF85" s="6"/>
      <c r="DG85" s="6"/>
      <c r="DH85" s="6"/>
      <c r="DI85" s="7">
        <f>ROUND(222.24,2)</f>
        <v>222.24</v>
      </c>
      <c r="DJ85" s="7">
        <f>ROUND(35.47,2)</f>
        <v>35.47</v>
      </c>
      <c r="DK85" s="6"/>
      <c r="DL85" s="6"/>
      <c r="DM85" s="7">
        <f>ROUND(753.67,2)</f>
        <v>753.67</v>
      </c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7">
        <f>ROUND(825,2)</f>
        <v>825</v>
      </c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7">
        <f>ROUND(1250,2)</f>
        <v>1250</v>
      </c>
      <c r="ER85" s="6"/>
      <c r="ES85" s="6"/>
      <c r="ET85" s="6"/>
      <c r="EU85" s="6"/>
      <c r="EV85" s="7">
        <f>ROUND(70055.85,2)</f>
        <v>70055.850000000006</v>
      </c>
    </row>
    <row r="86" spans="1:152">
      <c r="A86" s="4" t="s">
        <v>352</v>
      </c>
      <c r="B86" s="4" t="s">
        <v>1058</v>
      </c>
      <c r="C86" s="5" t="s">
        <v>152</v>
      </c>
      <c r="D86" s="5" t="s">
        <v>353</v>
      </c>
      <c r="E86" s="5" t="s">
        <v>0</v>
      </c>
      <c r="F86" s="5" t="s">
        <v>0</v>
      </c>
      <c r="G86" s="5" t="s">
        <v>155</v>
      </c>
      <c r="H86" s="10">
        <v>30.4</v>
      </c>
      <c r="I86" s="6"/>
      <c r="J86" s="6"/>
      <c r="K86" s="6"/>
      <c r="L86" s="6"/>
      <c r="M86" s="7">
        <f>ROUND(1703.3,2)</f>
        <v>1703.3</v>
      </c>
      <c r="N86" s="6"/>
      <c r="O86" s="6"/>
      <c r="P86" s="7">
        <f>ROUND(429.88,2)</f>
        <v>429.88</v>
      </c>
      <c r="Q86" s="6"/>
      <c r="R86" s="6"/>
      <c r="S86" s="6"/>
      <c r="T86" s="6"/>
      <c r="U86" s="7">
        <f>ROUND(27.17,2)</f>
        <v>27.17</v>
      </c>
      <c r="V86" s="7">
        <f>ROUND(8.4,2)</f>
        <v>8.4</v>
      </c>
      <c r="W86" s="7">
        <f>ROUND(1.66,2)</f>
        <v>1.66</v>
      </c>
      <c r="X86" s="6"/>
      <c r="Y86" s="6"/>
      <c r="Z86" s="6"/>
      <c r="AA86" s="6"/>
      <c r="AB86" s="6"/>
      <c r="AC86" s="7">
        <f>ROUND(28,2)</f>
        <v>28</v>
      </c>
      <c r="AD86" s="7">
        <f>ROUND(8.5,2)</f>
        <v>8.5</v>
      </c>
      <c r="AE86" s="6"/>
      <c r="AF86" s="7">
        <f>ROUND(142.64,2)</f>
        <v>142.63999999999999</v>
      </c>
      <c r="AG86" s="7">
        <f>ROUND(39,2)</f>
        <v>39</v>
      </c>
      <c r="AH86" s="7">
        <f>ROUND(88,2)</f>
        <v>88</v>
      </c>
      <c r="AI86" s="6"/>
      <c r="AJ86" s="7">
        <f>ROUND(80,2)</f>
        <v>80</v>
      </c>
      <c r="AK86" s="6"/>
      <c r="AL86" s="7">
        <f>ROUND(9.25,2)</f>
        <v>9.25</v>
      </c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7">
        <f>ROUND(8,2)</f>
        <v>8</v>
      </c>
      <c r="BF86" s="6"/>
      <c r="BG86" s="6"/>
      <c r="BH86" s="6"/>
      <c r="BI86" s="6"/>
      <c r="BJ86" s="6"/>
      <c r="BK86" s="6"/>
      <c r="BL86" s="6"/>
      <c r="BM86" s="7">
        <f>ROUND(4.58,2)</f>
        <v>4.58</v>
      </c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7">
        <f>ROUND(40,2)</f>
        <v>40</v>
      </c>
      <c r="CB86" s="7">
        <f>ROUND(2618.38,2)</f>
        <v>2618.38</v>
      </c>
      <c r="CC86" s="6"/>
      <c r="CD86" s="6"/>
      <c r="CE86" s="6"/>
      <c r="CF86" s="6"/>
      <c r="CG86" s="7">
        <f>ROUND(48081.87,2)</f>
        <v>48081.87</v>
      </c>
      <c r="CH86" s="6"/>
      <c r="CI86" s="6"/>
      <c r="CJ86" s="7">
        <f>ROUND(18105.52,2)</f>
        <v>18105.52</v>
      </c>
      <c r="CK86" s="6"/>
      <c r="CL86" s="6"/>
      <c r="CM86" s="6"/>
      <c r="CN86" s="6"/>
      <c r="CO86" s="7">
        <f>ROUND(755.68,2)</f>
        <v>755.68</v>
      </c>
      <c r="CP86" s="7">
        <f>ROUND(351.919999999999,2)</f>
        <v>351.92</v>
      </c>
      <c r="CQ86" s="7">
        <f>ROUND(46.12,2)</f>
        <v>46.12</v>
      </c>
      <c r="CR86" s="6"/>
      <c r="CS86" s="6"/>
      <c r="CT86" s="6"/>
      <c r="CU86" s="6"/>
      <c r="CV86" s="6"/>
      <c r="CW86" s="7">
        <f>ROUND(779.68,2)</f>
        <v>779.68</v>
      </c>
      <c r="CX86" s="7">
        <f>ROUND(387.6,2)</f>
        <v>387.6</v>
      </c>
      <c r="CY86" s="6"/>
      <c r="CZ86" s="6"/>
      <c r="DA86" s="7">
        <f>ROUND(3978.50999999999,2)</f>
        <v>3978.51</v>
      </c>
      <c r="DB86" s="7">
        <f>ROUND(1632.11,2)</f>
        <v>1632.11</v>
      </c>
      <c r="DC86" s="7">
        <f>ROUND(2486.56,2)</f>
        <v>2486.56</v>
      </c>
      <c r="DD86" s="6"/>
      <c r="DE86" s="7">
        <f>ROUND(2222.4,2)</f>
        <v>2222.4</v>
      </c>
      <c r="DF86" s="6"/>
      <c r="DG86" s="6"/>
      <c r="DH86" s="6"/>
      <c r="DI86" s="7">
        <f>ROUND(256.97,2)</f>
        <v>256.97000000000003</v>
      </c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7">
        <f>ROUND(1450,2)</f>
        <v>1450</v>
      </c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7">
        <f>ROUND(1250,2)</f>
        <v>1250</v>
      </c>
      <c r="ER86" s="6"/>
      <c r="ES86" s="6"/>
      <c r="ET86" s="6"/>
      <c r="EU86" s="7">
        <f>ROUND(1216,2)</f>
        <v>1216</v>
      </c>
      <c r="EV86" s="7">
        <f>ROUND(83000.9399999999,2)</f>
        <v>83000.94</v>
      </c>
    </row>
    <row r="87" spans="1:152">
      <c r="A87" s="4" t="s">
        <v>354</v>
      </c>
      <c r="B87" s="4" t="s">
        <v>1058</v>
      </c>
      <c r="C87" s="5" t="s">
        <v>152</v>
      </c>
      <c r="D87" s="5" t="s">
        <v>164</v>
      </c>
      <c r="E87" s="5" t="s">
        <v>0</v>
      </c>
      <c r="F87" s="5" t="s">
        <v>0</v>
      </c>
      <c r="G87" s="5" t="s">
        <v>155</v>
      </c>
      <c r="H87" s="10">
        <v>25.84</v>
      </c>
      <c r="I87" s="6"/>
      <c r="J87" s="6"/>
      <c r="K87" s="6"/>
      <c r="L87" s="6"/>
      <c r="M87" s="7">
        <f>ROUND(355.869999999999,2)</f>
        <v>355.87</v>
      </c>
      <c r="N87" s="6"/>
      <c r="O87" s="6"/>
      <c r="P87" s="7">
        <f>ROUND(40.47,2)</f>
        <v>40.47</v>
      </c>
      <c r="Q87" s="6"/>
      <c r="R87" s="6"/>
      <c r="S87" s="6"/>
      <c r="T87" s="6"/>
      <c r="U87" s="7">
        <f>ROUND(7.75,2)</f>
        <v>7.75</v>
      </c>
      <c r="V87" s="7">
        <f>ROUND(5.42,2)</f>
        <v>5.42</v>
      </c>
      <c r="W87" s="7">
        <f>ROUND(2.84,2)</f>
        <v>2.84</v>
      </c>
      <c r="X87" s="7">
        <f>ROUND(0.5,2)</f>
        <v>0.5</v>
      </c>
      <c r="Y87" s="6"/>
      <c r="Z87" s="6"/>
      <c r="AA87" s="6"/>
      <c r="AB87" s="6"/>
      <c r="AC87" s="7">
        <f>ROUND(66.08,2)</f>
        <v>66.08</v>
      </c>
      <c r="AD87" s="6"/>
      <c r="AE87" s="6"/>
      <c r="AF87" s="7">
        <f>ROUND(205.22,2)</f>
        <v>205.22</v>
      </c>
      <c r="AG87" s="7">
        <f>ROUND(49.72,2)</f>
        <v>49.72</v>
      </c>
      <c r="AH87" s="7">
        <f>ROUND(32,2)</f>
        <v>32</v>
      </c>
      <c r="AI87" s="6"/>
      <c r="AJ87" s="7">
        <f>ROUND(8,2)</f>
        <v>8</v>
      </c>
      <c r="AK87" s="6"/>
      <c r="AL87" s="7">
        <f>ROUND(279.32,2)</f>
        <v>279.32</v>
      </c>
      <c r="AM87" s="6"/>
      <c r="AN87" s="7">
        <f>ROUND(16.43,2)</f>
        <v>16.43</v>
      </c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7">
        <f>ROUND(8,2)</f>
        <v>8</v>
      </c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7">
        <f>ROUND(16,2)</f>
        <v>16</v>
      </c>
      <c r="CB87" s="7">
        <f>ROUND(1093.62,2)</f>
        <v>1093.6199999999999</v>
      </c>
      <c r="CC87" s="6"/>
      <c r="CD87" s="6"/>
      <c r="CE87" s="6"/>
      <c r="CF87" s="6"/>
      <c r="CG87" s="7">
        <f>ROUND(8001.47,2)</f>
        <v>8001.47</v>
      </c>
      <c r="CH87" s="6"/>
      <c r="CI87" s="6"/>
      <c r="CJ87" s="7">
        <f>ROUND(1325.17999999999,2)</f>
        <v>1325.18</v>
      </c>
      <c r="CK87" s="6"/>
      <c r="CL87" s="6"/>
      <c r="CM87" s="6"/>
      <c r="CN87" s="6"/>
      <c r="CO87" s="7">
        <f>ROUND(188.48,2)</f>
        <v>188.48</v>
      </c>
      <c r="CP87" s="7">
        <f>ROUND(169.39,2)</f>
        <v>169.39</v>
      </c>
      <c r="CQ87" s="7">
        <f>ROUND(61.15,2)</f>
        <v>61.15</v>
      </c>
      <c r="CR87" s="7">
        <f>ROUND(18.24,2)</f>
        <v>18.239999999999998</v>
      </c>
      <c r="CS87" s="6"/>
      <c r="CT87" s="6"/>
      <c r="CU87" s="6"/>
      <c r="CV87" s="6"/>
      <c r="CW87" s="7">
        <f>ROUND(1482.75,2)</f>
        <v>1482.75</v>
      </c>
      <c r="CX87" s="6"/>
      <c r="CY87" s="6"/>
      <c r="CZ87" s="6"/>
      <c r="DA87" s="7">
        <f>ROUND(4467.30999999999,2)</f>
        <v>4467.3100000000004</v>
      </c>
      <c r="DB87" s="7">
        <f>ROUND(1751.52,2)</f>
        <v>1751.52</v>
      </c>
      <c r="DC87" s="7">
        <f>ROUND(750.359999999999,2)</f>
        <v>750.36</v>
      </c>
      <c r="DD87" s="6"/>
      <c r="DE87" s="7">
        <f>ROUND(194.56,2)</f>
        <v>194.56</v>
      </c>
      <c r="DF87" s="6"/>
      <c r="DG87" s="6"/>
      <c r="DH87" s="6"/>
      <c r="DI87" s="7">
        <f>ROUND(4888.11,2)</f>
        <v>4888.1099999999997</v>
      </c>
      <c r="DJ87" s="6"/>
      <c r="DK87" s="7">
        <f>ROUND(431.29,2)</f>
        <v>431.29</v>
      </c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7">
        <f>ROUND(325,2)</f>
        <v>325</v>
      </c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7">
        <f>ROUND(836.4,2)</f>
        <v>836.4</v>
      </c>
      <c r="ER87" s="6"/>
      <c r="ES87" s="6"/>
      <c r="ET87" s="6"/>
      <c r="EU87" s="7">
        <f>ROUND(389.12,2)</f>
        <v>389.12</v>
      </c>
      <c r="EV87" s="7">
        <f>ROUND(25280.33,2)</f>
        <v>25280.33</v>
      </c>
    </row>
    <row r="88" spans="1:152">
      <c r="A88" s="4" t="s">
        <v>355</v>
      </c>
      <c r="B88" s="4" t="s">
        <v>1058</v>
      </c>
      <c r="C88" s="5" t="s">
        <v>152</v>
      </c>
      <c r="D88" s="5" t="s">
        <v>171</v>
      </c>
      <c r="E88" s="5" t="s">
        <v>356</v>
      </c>
      <c r="F88" s="5" t="s">
        <v>0</v>
      </c>
      <c r="G88" s="5" t="s">
        <v>155</v>
      </c>
      <c r="H88" s="10">
        <v>20.84</v>
      </c>
      <c r="I88" s="6"/>
      <c r="J88" s="6"/>
      <c r="K88" s="6"/>
      <c r="L88" s="6"/>
      <c r="M88" s="7">
        <f>ROUND(521.319999999999,2)</f>
        <v>521.32000000000005</v>
      </c>
      <c r="N88" s="6"/>
      <c r="O88" s="6"/>
      <c r="P88" s="6"/>
      <c r="Q88" s="6"/>
      <c r="R88" s="6"/>
      <c r="S88" s="6"/>
      <c r="T88" s="6"/>
      <c r="U88" s="6"/>
      <c r="V88" s="6"/>
      <c r="W88" s="7">
        <f>ROUND(0.33,2)</f>
        <v>0.33</v>
      </c>
      <c r="X88" s="6"/>
      <c r="Y88" s="6"/>
      <c r="Z88" s="6"/>
      <c r="AA88" s="6"/>
      <c r="AB88" s="6"/>
      <c r="AC88" s="6"/>
      <c r="AD88" s="6"/>
      <c r="AE88" s="6"/>
      <c r="AF88" s="7">
        <f>ROUND(1.85,2)</f>
        <v>1.85</v>
      </c>
      <c r="AG88" s="6"/>
      <c r="AH88" s="7">
        <f>ROUND(10,2)</f>
        <v>10</v>
      </c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7">
        <f>ROUND(5,2)</f>
        <v>5</v>
      </c>
      <c r="BD88" s="6"/>
      <c r="BE88" s="6"/>
      <c r="BF88" s="6"/>
      <c r="BG88" s="6"/>
      <c r="BH88" s="6"/>
      <c r="BI88" s="6"/>
      <c r="BJ88" s="7">
        <f>ROUND(5,2)</f>
        <v>5</v>
      </c>
      <c r="BK88" s="6"/>
      <c r="BL88" s="6"/>
      <c r="BM88" s="7">
        <f>ROUND(45,2)</f>
        <v>45</v>
      </c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7">
        <f>ROUND(588.5,2)</f>
        <v>588.5</v>
      </c>
      <c r="CC88" s="6"/>
      <c r="CD88" s="6"/>
      <c r="CE88" s="6"/>
      <c r="CF88" s="6"/>
      <c r="CG88" s="7">
        <f>ROUND(10861.6899999999,2)</f>
        <v>10861.69</v>
      </c>
      <c r="CH88" s="6"/>
      <c r="CI88" s="6"/>
      <c r="CJ88" s="6"/>
      <c r="CK88" s="6"/>
      <c r="CL88" s="6"/>
      <c r="CM88" s="6"/>
      <c r="CN88" s="6"/>
      <c r="CO88" s="6"/>
      <c r="CP88" s="6"/>
      <c r="CQ88" s="7">
        <f>ROUND(6.88,2)</f>
        <v>6.88</v>
      </c>
      <c r="CR88" s="6"/>
      <c r="CS88" s="6"/>
      <c r="CT88" s="6"/>
      <c r="CU88" s="6"/>
      <c r="CV88" s="6"/>
      <c r="CW88" s="6"/>
      <c r="CX88" s="6"/>
      <c r="CY88" s="6"/>
      <c r="CZ88" s="6"/>
      <c r="DA88" s="7">
        <f>ROUND(38.54,2)</f>
        <v>38.54</v>
      </c>
      <c r="DB88" s="6"/>
      <c r="DC88" s="7">
        <f>ROUND(208.36,2)</f>
        <v>208.36</v>
      </c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7">
        <f>ROUND(1000,2)</f>
        <v>1000</v>
      </c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7">
        <f>ROUND(12115.4699999999,2)</f>
        <v>12115.47</v>
      </c>
    </row>
    <row r="89" spans="1:152" ht="24">
      <c r="A89" s="4" t="s">
        <v>357</v>
      </c>
      <c r="B89" s="4"/>
      <c r="C89" s="5" t="s">
        <v>233</v>
      </c>
      <c r="D89" s="5" t="s">
        <v>358</v>
      </c>
      <c r="E89" s="5" t="s">
        <v>0</v>
      </c>
      <c r="F89" s="5" t="s">
        <v>0</v>
      </c>
      <c r="G89" s="5" t="s">
        <v>236</v>
      </c>
      <c r="H89" s="10">
        <v>19.100000000000001</v>
      </c>
      <c r="I89" s="7">
        <f>ROUND(963.67,2)</f>
        <v>963.67</v>
      </c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7">
        <f>ROUND(25,2)</f>
        <v>25</v>
      </c>
      <c r="BU89" s="6"/>
      <c r="BV89" s="6"/>
      <c r="BW89" s="6"/>
      <c r="BX89" s="6"/>
      <c r="BY89" s="6"/>
      <c r="BZ89" s="6"/>
      <c r="CA89" s="6"/>
      <c r="CB89" s="7">
        <f>ROUND(988.67,2)</f>
        <v>988.67</v>
      </c>
      <c r="CC89" s="7">
        <f>ROUND(16356.43,2)</f>
        <v>16356.43</v>
      </c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7">
        <f>ROUND(916.8,2)</f>
        <v>916.8</v>
      </c>
      <c r="EF89" s="6"/>
      <c r="EG89" s="7">
        <f>ROUND(425.5,2)</f>
        <v>425.5</v>
      </c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7">
        <f>ROUND(17698.73,2)</f>
        <v>17698.73</v>
      </c>
    </row>
    <row r="90" spans="1:152">
      <c r="A90" s="4" t="s">
        <v>359</v>
      </c>
      <c r="B90" s="4" t="s">
        <v>1058</v>
      </c>
      <c r="C90" s="5" t="s">
        <v>152</v>
      </c>
      <c r="D90" s="5" t="s">
        <v>215</v>
      </c>
      <c r="E90" s="5" t="s">
        <v>0</v>
      </c>
      <c r="F90" s="5" t="s">
        <v>0</v>
      </c>
      <c r="G90" s="5" t="s">
        <v>155</v>
      </c>
      <c r="H90" s="10">
        <v>30.4</v>
      </c>
      <c r="I90" s="6"/>
      <c r="J90" s="6"/>
      <c r="K90" s="6"/>
      <c r="L90" s="6"/>
      <c r="M90" s="7">
        <f>ROUND(1493.62,2)</f>
        <v>1493.62</v>
      </c>
      <c r="N90" s="6"/>
      <c r="O90" s="6"/>
      <c r="P90" s="7">
        <f>ROUND(175.53,2)</f>
        <v>175.53</v>
      </c>
      <c r="Q90" s="6"/>
      <c r="R90" s="6"/>
      <c r="S90" s="6"/>
      <c r="T90" s="6"/>
      <c r="U90" s="7">
        <f>ROUND(8,2)</f>
        <v>8</v>
      </c>
      <c r="V90" s="6"/>
      <c r="W90" s="7">
        <f>ROUND(0.33,2)</f>
        <v>0.33</v>
      </c>
      <c r="X90" s="7">
        <f>ROUND(0.33,2)</f>
        <v>0.33</v>
      </c>
      <c r="Y90" s="6"/>
      <c r="Z90" s="6"/>
      <c r="AA90" s="6"/>
      <c r="AB90" s="6"/>
      <c r="AC90" s="7">
        <f>ROUND(268.09,2)</f>
        <v>268.08999999999997</v>
      </c>
      <c r="AD90" s="7">
        <f>ROUND(13.91,2)</f>
        <v>13.91</v>
      </c>
      <c r="AE90" s="6"/>
      <c r="AF90" s="6"/>
      <c r="AG90" s="6"/>
      <c r="AH90" s="7">
        <f>ROUND(88,2)</f>
        <v>88</v>
      </c>
      <c r="AI90" s="6"/>
      <c r="AJ90" s="7">
        <f>ROUND(104,2)</f>
        <v>104</v>
      </c>
      <c r="AK90" s="6"/>
      <c r="AL90" s="7">
        <f>ROUND(8.5,2)</f>
        <v>8.5</v>
      </c>
      <c r="AM90" s="7">
        <f>ROUND(2.33,2)</f>
        <v>2.33</v>
      </c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7">
        <f>ROUND(24,2)</f>
        <v>24</v>
      </c>
      <c r="BC90" s="7">
        <f>ROUND(56,2)</f>
        <v>56</v>
      </c>
      <c r="BD90" s="6"/>
      <c r="BE90" s="7">
        <f>ROUND(40,2)</f>
        <v>40</v>
      </c>
      <c r="BF90" s="6"/>
      <c r="BG90" s="6"/>
      <c r="BH90" s="6"/>
      <c r="BI90" s="6"/>
      <c r="BJ90" s="6"/>
      <c r="BK90" s="6"/>
      <c r="BL90" s="6"/>
      <c r="BM90" s="7">
        <f>ROUND(48,2)</f>
        <v>48</v>
      </c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7">
        <f>ROUND(8,2)</f>
        <v>8</v>
      </c>
      <c r="CB90" s="7">
        <f>ROUND(2338.63999999999,2)</f>
        <v>2338.64</v>
      </c>
      <c r="CC90" s="6"/>
      <c r="CD90" s="6"/>
      <c r="CE90" s="6"/>
      <c r="CF90" s="6"/>
      <c r="CG90" s="7">
        <f>ROUND(42161.4,2)</f>
        <v>42161.4</v>
      </c>
      <c r="CH90" s="6"/>
      <c r="CI90" s="6"/>
      <c r="CJ90" s="7">
        <f>ROUND(7432.57,2)</f>
        <v>7432.57</v>
      </c>
      <c r="CK90" s="6"/>
      <c r="CL90" s="6"/>
      <c r="CM90" s="6"/>
      <c r="CN90" s="6"/>
      <c r="CO90" s="7">
        <f>ROUND(223.44,2)</f>
        <v>223.44</v>
      </c>
      <c r="CP90" s="6"/>
      <c r="CQ90" s="7">
        <f>ROUND(9.17,2)</f>
        <v>9.17</v>
      </c>
      <c r="CR90" s="7">
        <f>ROUND(13.75,2)</f>
        <v>13.75</v>
      </c>
      <c r="CS90" s="6"/>
      <c r="CT90" s="6"/>
      <c r="CU90" s="6"/>
      <c r="CV90" s="6"/>
      <c r="CW90" s="7">
        <f>ROUND(7459.53999999999,2)</f>
        <v>7459.54</v>
      </c>
      <c r="CX90" s="7">
        <f>ROUND(579.62,2)</f>
        <v>579.62</v>
      </c>
      <c r="CY90" s="6"/>
      <c r="CZ90" s="6"/>
      <c r="DA90" s="6"/>
      <c r="DB90" s="6"/>
      <c r="DC90" s="7">
        <f>ROUND(2486.56,2)</f>
        <v>2486.56</v>
      </c>
      <c r="DD90" s="6"/>
      <c r="DE90" s="7">
        <f>ROUND(2951.99999999999,2)</f>
        <v>2952</v>
      </c>
      <c r="DF90" s="6"/>
      <c r="DG90" s="6"/>
      <c r="DH90" s="6"/>
      <c r="DI90" s="7">
        <f>ROUND(236.13,2)</f>
        <v>236.13</v>
      </c>
      <c r="DJ90" s="7">
        <f>ROUND(64.73,2)</f>
        <v>64.73</v>
      </c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7">
        <f>ROUND(525,2)</f>
        <v>525</v>
      </c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7">
        <f>ROUND(1250,2)</f>
        <v>1250</v>
      </c>
      <c r="ER90" s="6"/>
      <c r="ES90" s="6"/>
      <c r="ET90" s="6"/>
      <c r="EU90" s="7">
        <f>ROUND(243.2,2)</f>
        <v>243.2</v>
      </c>
      <c r="EV90" s="7">
        <f>ROUND(65637.11,2)</f>
        <v>65637.11</v>
      </c>
    </row>
    <row r="91" spans="1:152">
      <c r="A91" s="4" t="s">
        <v>360</v>
      </c>
      <c r="B91" s="4" t="s">
        <v>1058</v>
      </c>
      <c r="C91" s="5" t="s">
        <v>152</v>
      </c>
      <c r="D91" s="5" t="s">
        <v>361</v>
      </c>
      <c r="E91" s="5" t="s">
        <v>0</v>
      </c>
      <c r="F91" s="5" t="s">
        <v>0</v>
      </c>
      <c r="G91" s="5" t="s">
        <v>155</v>
      </c>
      <c r="H91" s="10">
        <v>30.4</v>
      </c>
      <c r="I91" s="6"/>
      <c r="J91" s="6"/>
      <c r="K91" s="6"/>
      <c r="L91" s="6"/>
      <c r="M91" s="7">
        <f>ROUND(1344.07,2)</f>
        <v>1344.07</v>
      </c>
      <c r="N91" s="6"/>
      <c r="O91" s="6"/>
      <c r="P91" s="7">
        <f>ROUND(89.9199999999999,2)</f>
        <v>89.92</v>
      </c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7">
        <f>ROUND(80,2)</f>
        <v>80</v>
      </c>
      <c r="AI91" s="6"/>
      <c r="AJ91" s="7">
        <f>ROUND(152,2)</f>
        <v>152</v>
      </c>
      <c r="AK91" s="6"/>
      <c r="AL91" s="7">
        <f>ROUND(16.58,2)</f>
        <v>16.579999999999998</v>
      </c>
      <c r="AM91" s="7">
        <f>ROUND(2,2)</f>
        <v>2</v>
      </c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7">
        <f>ROUND(8,2)</f>
        <v>8</v>
      </c>
      <c r="BC91" s="6"/>
      <c r="BD91" s="7">
        <f>ROUND(0.1,2)</f>
        <v>0.1</v>
      </c>
      <c r="BE91" s="7">
        <f>ROUND(10.35,2)</f>
        <v>10.35</v>
      </c>
      <c r="BF91" s="6"/>
      <c r="BG91" s="6"/>
      <c r="BH91" s="6"/>
      <c r="BI91" s="6"/>
      <c r="BJ91" s="6"/>
      <c r="BK91" s="6"/>
      <c r="BL91" s="7">
        <f>ROUND(465.87,2)</f>
        <v>465.87</v>
      </c>
      <c r="BM91" s="7">
        <f>ROUND(8,2)</f>
        <v>8</v>
      </c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7">
        <f>ROUND(40,2)</f>
        <v>40</v>
      </c>
      <c r="CB91" s="7">
        <f>ROUND(2216.88999999999,2)</f>
        <v>2216.89</v>
      </c>
      <c r="CC91" s="6"/>
      <c r="CD91" s="6"/>
      <c r="CE91" s="6"/>
      <c r="CF91" s="6"/>
      <c r="CG91" s="7">
        <f>ROUND(37906.97,2)</f>
        <v>37906.97</v>
      </c>
      <c r="CH91" s="6"/>
      <c r="CI91" s="6"/>
      <c r="CJ91" s="7">
        <f>ROUND(3819.91,2)</f>
        <v>3819.91</v>
      </c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7">
        <f>ROUND(2285.27999999999,2)</f>
        <v>2285.2800000000002</v>
      </c>
      <c r="DD91" s="6"/>
      <c r="DE91" s="7">
        <f>ROUND(4327.36,2)</f>
        <v>4327.3599999999997</v>
      </c>
      <c r="DF91" s="6"/>
      <c r="DG91" s="6"/>
      <c r="DH91" s="6"/>
      <c r="DI91" s="7">
        <f>ROUND(460.59,2)</f>
        <v>460.59</v>
      </c>
      <c r="DJ91" s="7">
        <f>ROUND(55.56,2)</f>
        <v>55.56</v>
      </c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7">
        <f>ROUND(650,2)</f>
        <v>650</v>
      </c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7">
        <f>ROUND(659.28,2)</f>
        <v>659.28</v>
      </c>
      <c r="ER91" s="6"/>
      <c r="ES91" s="6"/>
      <c r="ET91" s="6"/>
      <c r="EU91" s="7">
        <f>ROUND(1216,2)</f>
        <v>1216</v>
      </c>
      <c r="EV91" s="7">
        <f>ROUND(51380.95,2)</f>
        <v>51380.95</v>
      </c>
    </row>
    <row r="92" spans="1:152">
      <c r="A92" s="4" t="s">
        <v>362</v>
      </c>
      <c r="B92" s="4" t="s">
        <v>1058</v>
      </c>
      <c r="C92" s="5" t="s">
        <v>152</v>
      </c>
      <c r="D92" s="5" t="s">
        <v>363</v>
      </c>
      <c r="E92" s="5" t="s">
        <v>0</v>
      </c>
      <c r="F92" s="5" t="s">
        <v>0</v>
      </c>
      <c r="G92" s="5" t="s">
        <v>155</v>
      </c>
      <c r="H92" s="10">
        <v>30.4</v>
      </c>
      <c r="I92" s="6"/>
      <c r="J92" s="6"/>
      <c r="K92" s="6"/>
      <c r="L92" s="6"/>
      <c r="M92" s="7">
        <f>ROUND(1001.56,2)</f>
        <v>1001.56</v>
      </c>
      <c r="N92" s="6"/>
      <c r="O92" s="6"/>
      <c r="P92" s="7">
        <f>ROUND(89.76,2)</f>
        <v>89.76</v>
      </c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7">
        <f>ROUND(392.25,2)</f>
        <v>392.25</v>
      </c>
      <c r="AD92" s="7">
        <f>ROUND(0.33,2)</f>
        <v>0.33</v>
      </c>
      <c r="AE92" s="6"/>
      <c r="AF92" s="6"/>
      <c r="AG92" s="6"/>
      <c r="AH92" s="7">
        <f>ROUND(82,2)</f>
        <v>82</v>
      </c>
      <c r="AI92" s="6"/>
      <c r="AJ92" s="7">
        <f>ROUND(112,2)</f>
        <v>112</v>
      </c>
      <c r="AK92" s="6"/>
      <c r="AL92" s="7">
        <f>ROUND(8,2)</f>
        <v>8</v>
      </c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7">
        <f>ROUND(440,2)</f>
        <v>440</v>
      </c>
      <c r="BD92" s="6"/>
      <c r="BE92" s="7">
        <f>ROUND(24,2)</f>
        <v>24</v>
      </c>
      <c r="BF92" s="7">
        <f>ROUND(8,2)</f>
        <v>8</v>
      </c>
      <c r="BG92" s="7">
        <f>ROUND(8,2)</f>
        <v>8</v>
      </c>
      <c r="BH92" s="6"/>
      <c r="BI92" s="6"/>
      <c r="BJ92" s="6"/>
      <c r="BK92" s="6"/>
      <c r="BL92" s="6"/>
      <c r="BM92" s="7">
        <f>ROUND(16,2)</f>
        <v>16</v>
      </c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7">
        <f>ROUND(2181.89999999999,2)</f>
        <v>2181.9</v>
      </c>
      <c r="CC92" s="6"/>
      <c r="CD92" s="6"/>
      <c r="CE92" s="6"/>
      <c r="CF92" s="6"/>
      <c r="CG92" s="7">
        <f>ROUND(28542.69,2)</f>
        <v>28542.69</v>
      </c>
      <c r="CH92" s="6"/>
      <c r="CI92" s="6"/>
      <c r="CJ92" s="7">
        <f>ROUND(3821.10999999999,2)</f>
        <v>3821.11</v>
      </c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7">
        <f>ROUND(10955.54,2)</f>
        <v>10955.54</v>
      </c>
      <c r="CX92" s="7">
        <f>ROUND(13.82,2)</f>
        <v>13.82</v>
      </c>
      <c r="CY92" s="6"/>
      <c r="CZ92" s="6"/>
      <c r="DA92" s="6"/>
      <c r="DB92" s="6"/>
      <c r="DC92" s="7">
        <f>ROUND(2361.79999999999,2)</f>
        <v>2361.8000000000002</v>
      </c>
      <c r="DD92" s="6"/>
      <c r="DE92" s="7">
        <f>ROUND(3111.36,2)</f>
        <v>3111.36</v>
      </c>
      <c r="DF92" s="6"/>
      <c r="DG92" s="6"/>
      <c r="DH92" s="6"/>
      <c r="DI92" s="7">
        <f>ROUND(222.24,2)</f>
        <v>222.24</v>
      </c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7">
        <f>ROUND(222.24,2)</f>
        <v>222.24</v>
      </c>
      <c r="ED92" s="6"/>
      <c r="EE92" s="7">
        <f>ROUND(675,2)</f>
        <v>675</v>
      </c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7">
        <f>ROUND(688.8,2)</f>
        <v>688.8</v>
      </c>
      <c r="ER92" s="6"/>
      <c r="ES92" s="6"/>
      <c r="ET92" s="6"/>
      <c r="EU92" s="6"/>
      <c r="EV92" s="7">
        <f>ROUND(50614.5999999999,2)</f>
        <v>50614.6</v>
      </c>
    </row>
    <row r="93" spans="1:152">
      <c r="A93" s="4" t="s">
        <v>364</v>
      </c>
      <c r="B93" s="4" t="s">
        <v>1058</v>
      </c>
      <c r="C93" s="5" t="s">
        <v>152</v>
      </c>
      <c r="D93" s="5" t="s">
        <v>365</v>
      </c>
      <c r="E93" s="5" t="s">
        <v>0</v>
      </c>
      <c r="F93" s="5" t="s">
        <v>0</v>
      </c>
      <c r="G93" s="5" t="s">
        <v>155</v>
      </c>
      <c r="H93" s="10">
        <v>30.4</v>
      </c>
      <c r="I93" s="6"/>
      <c r="J93" s="6"/>
      <c r="K93" s="6"/>
      <c r="L93" s="6"/>
      <c r="M93" s="7">
        <f>ROUND(936.2,2)</f>
        <v>936.2</v>
      </c>
      <c r="N93" s="6"/>
      <c r="O93" s="6"/>
      <c r="P93" s="7">
        <f>ROUND(140.82,2)</f>
        <v>140.82</v>
      </c>
      <c r="Q93" s="6"/>
      <c r="R93" s="6"/>
      <c r="S93" s="6"/>
      <c r="T93" s="6"/>
      <c r="U93" s="7">
        <f>ROUND(22.21,2)</f>
        <v>22.21</v>
      </c>
      <c r="V93" s="7">
        <f>ROUND(2.12,2)</f>
        <v>2.12</v>
      </c>
      <c r="W93" s="7">
        <f>ROUND(0.66,2)</f>
        <v>0.66</v>
      </c>
      <c r="X93" s="6"/>
      <c r="Y93" s="6"/>
      <c r="Z93" s="6"/>
      <c r="AA93" s="6"/>
      <c r="AB93" s="6"/>
      <c r="AC93" s="7">
        <f>ROUND(773.81,2)</f>
        <v>773.81</v>
      </c>
      <c r="AD93" s="7">
        <f>ROUND(19.2,2)</f>
        <v>19.2</v>
      </c>
      <c r="AE93" s="6"/>
      <c r="AF93" s="7">
        <f>ROUND(113.1,2)</f>
        <v>113.1</v>
      </c>
      <c r="AG93" s="7">
        <f>ROUND(32.24,2)</f>
        <v>32.24</v>
      </c>
      <c r="AH93" s="7">
        <f>ROUND(88,2)</f>
        <v>88</v>
      </c>
      <c r="AI93" s="6"/>
      <c r="AJ93" s="7">
        <f>ROUND(120,2)</f>
        <v>120</v>
      </c>
      <c r="AK93" s="6"/>
      <c r="AL93" s="7">
        <f>ROUND(17.67,2)</f>
        <v>17.670000000000002</v>
      </c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7">
        <f>ROUND(24,2)</f>
        <v>24</v>
      </c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7">
        <f>ROUND(6,2)</f>
        <v>6</v>
      </c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7">
        <f>ROUND(40,2)</f>
        <v>40</v>
      </c>
      <c r="CB93" s="7">
        <f>ROUND(2336.03,2)</f>
        <v>2336.0300000000002</v>
      </c>
      <c r="CC93" s="6"/>
      <c r="CD93" s="6"/>
      <c r="CE93" s="6"/>
      <c r="CF93" s="6"/>
      <c r="CG93" s="7">
        <f>ROUND(26677.64,2)</f>
        <v>26677.64</v>
      </c>
      <c r="CH93" s="6"/>
      <c r="CI93" s="6"/>
      <c r="CJ93" s="7">
        <f>ROUND(6100.73999999999,2)</f>
        <v>6100.74</v>
      </c>
      <c r="CK93" s="6"/>
      <c r="CL93" s="6"/>
      <c r="CM93" s="6"/>
      <c r="CN93" s="6"/>
      <c r="CO93" s="7">
        <f>ROUND(617,2)</f>
        <v>617</v>
      </c>
      <c r="CP93" s="7">
        <f>ROUND(88.34,2)</f>
        <v>88.34</v>
      </c>
      <c r="CQ93" s="7">
        <f>ROUND(18.34,2)</f>
        <v>18.34</v>
      </c>
      <c r="CR93" s="6"/>
      <c r="CS93" s="6"/>
      <c r="CT93" s="6"/>
      <c r="CU93" s="6"/>
      <c r="CV93" s="6"/>
      <c r="CW93" s="7">
        <f>ROUND(21508.96,2)</f>
        <v>21508.959999999999</v>
      </c>
      <c r="CX93" s="7">
        <f>ROUND(800.06,2)</f>
        <v>800.06</v>
      </c>
      <c r="CY93" s="6"/>
      <c r="CZ93" s="6"/>
      <c r="DA93" s="7">
        <f>ROUND(3152.79,2)</f>
        <v>3152.79</v>
      </c>
      <c r="DB93" s="7">
        <f>ROUND(1343.96,2)</f>
        <v>1343.96</v>
      </c>
      <c r="DC93" s="7">
        <f>ROUND(2486.56,2)</f>
        <v>2486.56</v>
      </c>
      <c r="DD93" s="6"/>
      <c r="DE93" s="7">
        <f>ROUND(3333.59999999999,2)</f>
        <v>3333.6</v>
      </c>
      <c r="DF93" s="6"/>
      <c r="DG93" s="6"/>
      <c r="DH93" s="6"/>
      <c r="DI93" s="7">
        <f>ROUND(514.9,2)</f>
        <v>514.9</v>
      </c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7">
        <f>ROUND(1050,2)</f>
        <v>1050</v>
      </c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7">
        <f>ROUND(1250,2)</f>
        <v>1250</v>
      </c>
      <c r="ER93" s="6"/>
      <c r="ES93" s="6"/>
      <c r="ET93" s="6"/>
      <c r="EU93" s="7">
        <f>ROUND(1216,2)</f>
        <v>1216</v>
      </c>
      <c r="EV93" s="7">
        <f>ROUND(70158.89,2)</f>
        <v>70158.89</v>
      </c>
    </row>
    <row r="94" spans="1:152">
      <c r="A94" s="4" t="s">
        <v>366</v>
      </c>
      <c r="B94" s="4" t="s">
        <v>1058</v>
      </c>
      <c r="C94" s="5" t="s">
        <v>152</v>
      </c>
      <c r="D94" s="5" t="s">
        <v>190</v>
      </c>
      <c r="E94" s="5" t="s">
        <v>0</v>
      </c>
      <c r="F94" s="5" t="s">
        <v>0</v>
      </c>
      <c r="G94" s="5" t="s">
        <v>155</v>
      </c>
      <c r="H94" s="10">
        <v>30.4</v>
      </c>
      <c r="I94" s="6"/>
      <c r="J94" s="6"/>
      <c r="K94" s="6"/>
      <c r="L94" s="6"/>
      <c r="M94" s="7">
        <f>ROUND(1313.78,2)</f>
        <v>1313.78</v>
      </c>
      <c r="N94" s="6"/>
      <c r="O94" s="6"/>
      <c r="P94" s="7">
        <f>ROUND(194.809999999999,2)</f>
        <v>194.81</v>
      </c>
      <c r="Q94" s="6"/>
      <c r="R94" s="6"/>
      <c r="S94" s="6"/>
      <c r="T94" s="6"/>
      <c r="U94" s="7">
        <f>ROUND(40.61,2)</f>
        <v>40.61</v>
      </c>
      <c r="V94" s="7">
        <f>ROUND(8,2)</f>
        <v>8</v>
      </c>
      <c r="W94" s="7">
        <f>ROUND(10.4,2)</f>
        <v>10.4</v>
      </c>
      <c r="X94" s="7">
        <f>ROUND(0.33,2)</f>
        <v>0.33</v>
      </c>
      <c r="Y94" s="6"/>
      <c r="Z94" s="6"/>
      <c r="AA94" s="6"/>
      <c r="AB94" s="6"/>
      <c r="AC94" s="7">
        <f>ROUND(165.92,2)</f>
        <v>165.92</v>
      </c>
      <c r="AD94" s="7">
        <f>ROUND(6.17,2)</f>
        <v>6.17</v>
      </c>
      <c r="AE94" s="6"/>
      <c r="AF94" s="7">
        <f>ROUND(272.83,2)</f>
        <v>272.83</v>
      </c>
      <c r="AG94" s="7">
        <f>ROUND(13.27,2)</f>
        <v>13.27</v>
      </c>
      <c r="AH94" s="7">
        <f>ROUND(80,2)</f>
        <v>80</v>
      </c>
      <c r="AI94" s="6"/>
      <c r="AJ94" s="7">
        <f>ROUND(80,2)</f>
        <v>80</v>
      </c>
      <c r="AK94" s="6"/>
      <c r="AL94" s="7">
        <f>ROUND(8,2)</f>
        <v>8</v>
      </c>
      <c r="AM94" s="7">
        <f>ROUND(1.65,2)</f>
        <v>1.65</v>
      </c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7">
        <f>ROUND(24,2)</f>
        <v>24</v>
      </c>
      <c r="BC94" s="7">
        <f>ROUND(24,2)</f>
        <v>24</v>
      </c>
      <c r="BD94" s="6"/>
      <c r="BE94" s="7">
        <f>ROUND(72,2)</f>
        <v>72</v>
      </c>
      <c r="BF94" s="6"/>
      <c r="BG94" s="6"/>
      <c r="BH94" s="7">
        <f>ROUND(8,2)</f>
        <v>8</v>
      </c>
      <c r="BI94" s="6"/>
      <c r="BJ94" s="6"/>
      <c r="BK94" s="6"/>
      <c r="BL94" s="6"/>
      <c r="BM94" s="7">
        <f>ROUND(48,2)</f>
        <v>48</v>
      </c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7">
        <f>ROUND(2371.77,2)</f>
        <v>2371.77</v>
      </c>
      <c r="CC94" s="6"/>
      <c r="CD94" s="6"/>
      <c r="CE94" s="6"/>
      <c r="CF94" s="6"/>
      <c r="CG94" s="7">
        <f>ROUND(37162.2999999999,2)</f>
        <v>37162.300000000003</v>
      </c>
      <c r="CH94" s="6"/>
      <c r="CI94" s="6"/>
      <c r="CJ94" s="7">
        <f>ROUND(8233.93,2)</f>
        <v>8233.93</v>
      </c>
      <c r="CK94" s="6"/>
      <c r="CL94" s="6"/>
      <c r="CM94" s="6"/>
      <c r="CN94" s="6"/>
      <c r="CO94" s="7">
        <f>ROUND(1142.96,2)</f>
        <v>1142.96</v>
      </c>
      <c r="CP94" s="7">
        <f>ROUND(333.36,2)</f>
        <v>333.36</v>
      </c>
      <c r="CQ94" s="7">
        <f>ROUND(292.49,2)</f>
        <v>292.49</v>
      </c>
      <c r="CR94" s="7">
        <f>ROUND(13.75,2)</f>
        <v>13.75</v>
      </c>
      <c r="CS94" s="6"/>
      <c r="CT94" s="6"/>
      <c r="CU94" s="6"/>
      <c r="CV94" s="6"/>
      <c r="CW94" s="7">
        <f>ROUND(4611.56999999999,2)</f>
        <v>4611.57</v>
      </c>
      <c r="CX94" s="7">
        <f>ROUND(257.11,2)</f>
        <v>257.11</v>
      </c>
      <c r="CY94" s="6"/>
      <c r="CZ94" s="6"/>
      <c r="DA94" s="7">
        <f>ROUND(7638.4,2)</f>
        <v>7638.4</v>
      </c>
      <c r="DB94" s="7">
        <f>ROUND(555.22,2)</f>
        <v>555.22</v>
      </c>
      <c r="DC94" s="7">
        <f>ROUND(2264.32,2)</f>
        <v>2264.3200000000002</v>
      </c>
      <c r="DD94" s="6"/>
      <c r="DE94" s="7">
        <f>ROUND(2243.36,2)</f>
        <v>2243.36</v>
      </c>
      <c r="DF94" s="6"/>
      <c r="DG94" s="6"/>
      <c r="DH94" s="6"/>
      <c r="DI94" s="7">
        <f>ROUND(222.24,2)</f>
        <v>222.24</v>
      </c>
      <c r="DJ94" s="7">
        <f>ROUND(45.84,2)</f>
        <v>45.84</v>
      </c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7">
        <f>ROUND(675,2)</f>
        <v>675</v>
      </c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7">
        <f>ROUND(1250,2)</f>
        <v>1250</v>
      </c>
      <c r="ER94" s="6"/>
      <c r="ES94" s="6"/>
      <c r="ET94" s="6"/>
      <c r="EU94" s="6"/>
      <c r="EV94" s="7">
        <f>ROUND(66941.85,2)</f>
        <v>66941.850000000006</v>
      </c>
    </row>
    <row r="95" spans="1:152" ht="24">
      <c r="A95" s="4" t="s">
        <v>367</v>
      </c>
      <c r="B95" s="4"/>
      <c r="C95" s="5" t="s">
        <v>233</v>
      </c>
      <c r="D95" s="5" t="s">
        <v>368</v>
      </c>
      <c r="E95" s="5" t="s">
        <v>369</v>
      </c>
      <c r="F95" s="5" t="s">
        <v>0</v>
      </c>
      <c r="G95" s="5" t="s">
        <v>236</v>
      </c>
      <c r="H95" s="10">
        <v>15</v>
      </c>
      <c r="I95" s="7">
        <f>ROUND(401,2)</f>
        <v>401</v>
      </c>
      <c r="J95" s="7">
        <f>ROUND(2.25,2)</f>
        <v>2.25</v>
      </c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7">
        <f>ROUND(403.25,2)</f>
        <v>403.25</v>
      </c>
      <c r="CC95" s="7">
        <f>ROUND(6015,2)</f>
        <v>6015</v>
      </c>
      <c r="CD95" s="7">
        <f>ROUND(50.63,2)</f>
        <v>50.63</v>
      </c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7">
        <f>ROUND(6065.63,2)</f>
        <v>6065.63</v>
      </c>
    </row>
    <row r="96" spans="1:152">
      <c r="A96" s="4" t="s">
        <v>370</v>
      </c>
      <c r="B96" s="4" t="s">
        <v>1058</v>
      </c>
      <c r="C96" s="5" t="s">
        <v>152</v>
      </c>
      <c r="D96" s="5" t="s">
        <v>371</v>
      </c>
      <c r="E96" s="5" t="s">
        <v>0</v>
      </c>
      <c r="F96" s="5" t="s">
        <v>0</v>
      </c>
      <c r="G96" s="5" t="s">
        <v>155</v>
      </c>
      <c r="H96" s="10">
        <v>30.4</v>
      </c>
      <c r="I96" s="6"/>
      <c r="J96" s="6"/>
      <c r="K96" s="6"/>
      <c r="L96" s="6"/>
      <c r="M96" s="7">
        <f>ROUND(472.169999999999,2)</f>
        <v>472.17</v>
      </c>
      <c r="N96" s="6"/>
      <c r="O96" s="6"/>
      <c r="P96" s="7">
        <f>ROUND(130.25,2)</f>
        <v>130.25</v>
      </c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7">
        <f>ROUND(42,2)</f>
        <v>42</v>
      </c>
      <c r="AI96" s="6"/>
      <c r="AJ96" s="7">
        <f>ROUND(192,2)</f>
        <v>192</v>
      </c>
      <c r="AK96" s="6"/>
      <c r="AL96" s="7">
        <f>ROUND(2.5,2)</f>
        <v>2.5</v>
      </c>
      <c r="AM96" s="7">
        <f>ROUND(0.5,2)</f>
        <v>0.5</v>
      </c>
      <c r="AN96" s="6"/>
      <c r="AO96" s="6"/>
      <c r="AP96" s="7">
        <f>ROUND(35.83,2)</f>
        <v>35.83</v>
      </c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7">
        <f>ROUND(8,2)</f>
        <v>8</v>
      </c>
      <c r="BC96" s="7">
        <f>ROUND(1264,2)</f>
        <v>1264</v>
      </c>
      <c r="BD96" s="6"/>
      <c r="BE96" s="7">
        <f>ROUND(48,2)</f>
        <v>48</v>
      </c>
      <c r="BF96" s="6"/>
      <c r="BG96" s="6"/>
      <c r="BH96" s="7">
        <f>ROUND(24,2)</f>
        <v>24</v>
      </c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7">
        <f>ROUND(24,2)</f>
        <v>24</v>
      </c>
      <c r="CB96" s="7">
        <f>ROUND(2243.25,2)</f>
        <v>2243.25</v>
      </c>
      <c r="CC96" s="6"/>
      <c r="CD96" s="6"/>
      <c r="CE96" s="6"/>
      <c r="CF96" s="6"/>
      <c r="CG96" s="7">
        <f>ROUND(13473.2,2)</f>
        <v>13473.2</v>
      </c>
      <c r="CH96" s="6"/>
      <c r="CI96" s="6"/>
      <c r="CJ96" s="7">
        <f>ROUND(5580.48999999999,2)</f>
        <v>5580.49</v>
      </c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7">
        <f>ROUND(1208.68,2)</f>
        <v>1208.68</v>
      </c>
      <c r="DD96" s="6"/>
      <c r="DE96" s="7">
        <f>ROUND(5627.2,2)</f>
        <v>5627.2</v>
      </c>
      <c r="DF96" s="6"/>
      <c r="DG96" s="6"/>
      <c r="DH96" s="6"/>
      <c r="DI96" s="7">
        <f>ROUND(69.45,2)</f>
        <v>69.45</v>
      </c>
      <c r="DJ96" s="7">
        <f>ROUND(20.84,2)</f>
        <v>20.84</v>
      </c>
      <c r="DK96" s="6"/>
      <c r="DL96" s="6"/>
      <c r="DM96" s="7">
        <f>ROUND(995.36,2)</f>
        <v>995.36</v>
      </c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7">
        <f>ROUND(200,2)</f>
        <v>200</v>
      </c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7">
        <f>ROUND(255.84,2)</f>
        <v>255.84</v>
      </c>
      <c r="ER96" s="6"/>
      <c r="ES96" s="6"/>
      <c r="ET96" s="6"/>
      <c r="EU96" s="7">
        <f>ROUND(729.6,2)</f>
        <v>729.6</v>
      </c>
      <c r="EV96" s="7">
        <f>ROUND(28160.6599999999,2)</f>
        <v>28160.66</v>
      </c>
    </row>
    <row r="97" spans="1:152">
      <c r="A97" s="4" t="s">
        <v>372</v>
      </c>
      <c r="B97" s="4" t="s">
        <v>1058</v>
      </c>
      <c r="C97" s="5" t="s">
        <v>152</v>
      </c>
      <c r="D97" s="5" t="s">
        <v>373</v>
      </c>
      <c r="E97" s="5" t="s">
        <v>374</v>
      </c>
      <c r="F97" s="5" t="s">
        <v>0</v>
      </c>
      <c r="G97" s="5" t="s">
        <v>155</v>
      </c>
      <c r="H97" s="10">
        <v>27.78</v>
      </c>
      <c r="I97" s="6"/>
      <c r="J97" s="6"/>
      <c r="K97" s="6"/>
      <c r="L97" s="6"/>
      <c r="M97" s="7">
        <f>ROUND(177.42,2)</f>
        <v>177.42</v>
      </c>
      <c r="N97" s="6"/>
      <c r="O97" s="6"/>
      <c r="P97" s="7">
        <f>ROUND(22.13,2)</f>
        <v>22.13</v>
      </c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7">
        <f>ROUND(440.28,2)</f>
        <v>440.28</v>
      </c>
      <c r="AD97" s="7">
        <f>ROUND(8.33,2)</f>
        <v>8.33</v>
      </c>
      <c r="AE97" s="6"/>
      <c r="AF97" s="6"/>
      <c r="AG97" s="6"/>
      <c r="AH97" s="7">
        <f>ROUND(48,2)</f>
        <v>48</v>
      </c>
      <c r="AI97" s="6"/>
      <c r="AJ97" s="7">
        <f>ROUND(200,2)</f>
        <v>200</v>
      </c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7">
        <f>ROUND(24,2)</f>
        <v>24</v>
      </c>
      <c r="BC97" s="6"/>
      <c r="BD97" s="6"/>
      <c r="BE97" s="6"/>
      <c r="BF97" s="6"/>
      <c r="BG97" s="6"/>
      <c r="BH97" s="7">
        <f>ROUND(16,2)</f>
        <v>16</v>
      </c>
      <c r="BI97" s="6"/>
      <c r="BJ97" s="7">
        <f>ROUND(24,2)</f>
        <v>24</v>
      </c>
      <c r="BK97" s="7">
        <f>ROUND(584,2)</f>
        <v>584</v>
      </c>
      <c r="BL97" s="6"/>
      <c r="BM97" s="7">
        <f>ROUND(24,2)</f>
        <v>24</v>
      </c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7">
        <f>ROUND(1568.15999999999,2)</f>
        <v>1568.16</v>
      </c>
      <c r="CC97" s="6"/>
      <c r="CD97" s="6"/>
      <c r="CE97" s="6"/>
      <c r="CF97" s="6"/>
      <c r="CG97" s="7">
        <f>ROUND(4934.72999999999,2)</f>
        <v>4934.7299999999996</v>
      </c>
      <c r="CH97" s="6"/>
      <c r="CI97" s="6"/>
      <c r="CJ97" s="7">
        <f>ROUND(922.72,2)</f>
        <v>922.72</v>
      </c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7">
        <f>ROUND(12297.0199999999,2)</f>
        <v>12297.02</v>
      </c>
      <c r="CX97" s="7">
        <f>ROUND(348.99,2)</f>
        <v>348.99</v>
      </c>
      <c r="CY97" s="6"/>
      <c r="CZ97" s="6"/>
      <c r="DA97" s="6"/>
      <c r="DB97" s="6"/>
      <c r="DC97" s="7">
        <f>ROUND(1333.44,2)</f>
        <v>1333.44</v>
      </c>
      <c r="DD97" s="6"/>
      <c r="DE97" s="7">
        <f>ROUND(5556,2)</f>
        <v>5556</v>
      </c>
      <c r="DF97" s="7">
        <f>ROUND(400,2)</f>
        <v>400</v>
      </c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7">
        <f>ROUND(25792.8999999999,2)</f>
        <v>25792.9</v>
      </c>
    </row>
    <row r="98" spans="1:152">
      <c r="A98" s="4" t="s">
        <v>375</v>
      </c>
      <c r="B98" s="4" t="s">
        <v>1058</v>
      </c>
      <c r="C98" s="5" t="s">
        <v>152</v>
      </c>
      <c r="D98" s="5" t="s">
        <v>160</v>
      </c>
      <c r="E98" s="5" t="s">
        <v>0</v>
      </c>
      <c r="F98" s="5" t="s">
        <v>0</v>
      </c>
      <c r="G98" s="5" t="s">
        <v>155</v>
      </c>
      <c r="H98" s="10">
        <v>25.84</v>
      </c>
      <c r="I98" s="6"/>
      <c r="J98" s="6"/>
      <c r="K98" s="6"/>
      <c r="L98" s="6"/>
      <c r="M98" s="7">
        <f>ROUND(536.229999999999,2)</f>
        <v>536.23</v>
      </c>
      <c r="N98" s="6"/>
      <c r="O98" s="6"/>
      <c r="P98" s="7">
        <f>ROUND(51.03,2)</f>
        <v>51.03</v>
      </c>
      <c r="Q98" s="6"/>
      <c r="R98" s="6"/>
      <c r="S98" s="6"/>
      <c r="T98" s="6"/>
      <c r="U98" s="7">
        <f>ROUND(11.42,2)</f>
        <v>11.42</v>
      </c>
      <c r="V98" s="6"/>
      <c r="W98" s="7">
        <f>ROUND(5.35999999999999,2)</f>
        <v>5.36</v>
      </c>
      <c r="X98" s="7">
        <f>ROUND(2.16,2)</f>
        <v>2.16</v>
      </c>
      <c r="Y98" s="6"/>
      <c r="Z98" s="6"/>
      <c r="AA98" s="6"/>
      <c r="AB98" s="6"/>
      <c r="AC98" s="7">
        <f>ROUND(67.25,2)</f>
        <v>67.25</v>
      </c>
      <c r="AD98" s="7">
        <f>ROUND(13.08,2)</f>
        <v>13.08</v>
      </c>
      <c r="AE98" s="6"/>
      <c r="AF98" s="7">
        <f>ROUND(183.23,2)</f>
        <v>183.23</v>
      </c>
      <c r="AG98" s="7">
        <f>ROUND(26.2,2)</f>
        <v>26.2</v>
      </c>
      <c r="AH98" s="7">
        <f>ROUND(34,2)</f>
        <v>34</v>
      </c>
      <c r="AI98" s="6"/>
      <c r="AJ98" s="6"/>
      <c r="AK98" s="6"/>
      <c r="AL98" s="7">
        <f>ROUND(266,2)</f>
        <v>266</v>
      </c>
      <c r="AM98" s="6"/>
      <c r="AN98" s="7">
        <f>ROUND(5.3,2)</f>
        <v>5.3</v>
      </c>
      <c r="AO98" s="6"/>
      <c r="AP98" s="6"/>
      <c r="AQ98" s="6"/>
      <c r="AR98" s="6"/>
      <c r="AS98" s="6"/>
      <c r="AT98" s="6"/>
      <c r="AU98" s="6"/>
      <c r="AV98" s="7">
        <f>ROUND(1,2)</f>
        <v>1</v>
      </c>
      <c r="AW98" s="6"/>
      <c r="AX98" s="6"/>
      <c r="AY98" s="6"/>
      <c r="AZ98" s="6"/>
      <c r="BA98" s="6"/>
      <c r="BB98" s="6"/>
      <c r="BC98" s="6"/>
      <c r="BD98" s="6"/>
      <c r="BE98" s="7">
        <f>ROUND(8,2)</f>
        <v>8</v>
      </c>
      <c r="BF98" s="6"/>
      <c r="BG98" s="6"/>
      <c r="BH98" s="7">
        <f>ROUND(8,2)</f>
        <v>8</v>
      </c>
      <c r="BI98" s="6"/>
      <c r="BJ98" s="6"/>
      <c r="BK98" s="6"/>
      <c r="BL98" s="6"/>
      <c r="BM98" s="7">
        <f>ROUND(8,2)</f>
        <v>8</v>
      </c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7">
        <f>ROUND(24,2)</f>
        <v>24</v>
      </c>
      <c r="CB98" s="7">
        <f>ROUND(1250.26,2)</f>
        <v>1250.26</v>
      </c>
      <c r="CC98" s="6"/>
      <c r="CD98" s="6"/>
      <c r="CE98" s="6"/>
      <c r="CF98" s="6"/>
      <c r="CG98" s="7">
        <f>ROUND(11916.5,2)</f>
        <v>11916.5</v>
      </c>
      <c r="CH98" s="6"/>
      <c r="CI98" s="6"/>
      <c r="CJ98" s="7">
        <f>ROUND(1684.79,2)</f>
        <v>1684.79</v>
      </c>
      <c r="CK98" s="6"/>
      <c r="CL98" s="6"/>
      <c r="CM98" s="6"/>
      <c r="CN98" s="6"/>
      <c r="CO98" s="7">
        <f>ROUND(268.83,2)</f>
        <v>268.83</v>
      </c>
      <c r="CP98" s="6"/>
      <c r="CQ98" s="7">
        <f>ROUND(130.329999999999,2)</f>
        <v>130.33000000000001</v>
      </c>
      <c r="CR98" s="7">
        <f>ROUND(73.13,2)</f>
        <v>73.13</v>
      </c>
      <c r="CS98" s="6"/>
      <c r="CT98" s="6"/>
      <c r="CU98" s="6"/>
      <c r="CV98" s="6"/>
      <c r="CW98" s="7">
        <f>ROUND(1523.71,2)</f>
        <v>1523.71</v>
      </c>
      <c r="CX98" s="7">
        <f>ROUND(453.85,2)</f>
        <v>453.85</v>
      </c>
      <c r="CY98" s="6"/>
      <c r="CZ98" s="6"/>
      <c r="DA98" s="7">
        <f>ROUND(4131.58,2)</f>
        <v>4131.58</v>
      </c>
      <c r="DB98" s="7">
        <f>ROUND(944.07,2)</f>
        <v>944.07</v>
      </c>
      <c r="DC98" s="7">
        <f>ROUND(755.12,2)</f>
        <v>755.12</v>
      </c>
      <c r="DD98" s="6"/>
      <c r="DE98" s="6"/>
      <c r="DF98" s="6"/>
      <c r="DG98" s="6"/>
      <c r="DH98" s="6"/>
      <c r="DI98" s="7">
        <f>ROUND(4655,2)</f>
        <v>4655</v>
      </c>
      <c r="DJ98" s="6"/>
      <c r="DK98" s="7">
        <f>ROUND(139.13,2)</f>
        <v>139.13</v>
      </c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7">
        <f>ROUND(25.84,2)</f>
        <v>25.84</v>
      </c>
      <c r="DX98" s="6"/>
      <c r="DY98" s="6"/>
      <c r="DZ98" s="6"/>
      <c r="EA98" s="6"/>
      <c r="EB98" s="6"/>
      <c r="EC98" s="6"/>
      <c r="ED98" s="6"/>
      <c r="EE98" s="7">
        <f>ROUND(275,2)</f>
        <v>275</v>
      </c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7">
        <f>ROUND(1651.28,2)</f>
        <v>1651.28</v>
      </c>
      <c r="ER98" s="6"/>
      <c r="ES98" s="6"/>
      <c r="ET98" s="6"/>
      <c r="EU98" s="7">
        <f>ROUND(620.16,2)</f>
        <v>620.16</v>
      </c>
      <c r="EV98" s="7">
        <f>ROUND(29248.32,2)</f>
        <v>29248.32</v>
      </c>
    </row>
    <row r="99" spans="1:152">
      <c r="A99" s="4" t="s">
        <v>376</v>
      </c>
      <c r="B99" s="4"/>
      <c r="C99" s="5" t="s">
        <v>377</v>
      </c>
      <c r="D99" s="5" t="s">
        <v>378</v>
      </c>
      <c r="E99" s="5" t="s">
        <v>0</v>
      </c>
      <c r="F99" s="5" t="s">
        <v>0</v>
      </c>
      <c r="G99" s="5" t="s">
        <v>379</v>
      </c>
      <c r="H99" s="10">
        <v>22.85</v>
      </c>
      <c r="I99" s="7">
        <f>ROUND(1354.5,2)</f>
        <v>1354.5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7">
        <f>ROUND(5,2)</f>
        <v>5</v>
      </c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7">
        <f>ROUND(10,2)</f>
        <v>10</v>
      </c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7">
        <f>ROUND(20,2)</f>
        <v>20</v>
      </c>
      <c r="BU99" s="6"/>
      <c r="BV99" s="6"/>
      <c r="BW99" s="6"/>
      <c r="BX99" s="6"/>
      <c r="BY99" s="7">
        <f>ROUND(50,2)</f>
        <v>50</v>
      </c>
      <c r="BZ99" s="6"/>
      <c r="CA99" s="6"/>
      <c r="CB99" s="7">
        <f>ROUND(1439.5,2)</f>
        <v>1439.5</v>
      </c>
      <c r="CC99" s="7">
        <f>ROUND(29414.5599999999,2)</f>
        <v>29414.560000000001</v>
      </c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7">
        <f>ROUND(114.25,2)</f>
        <v>114.25</v>
      </c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7">
        <f>ROUND(225.15,2)</f>
        <v>225.15</v>
      </c>
      <c r="EE99" s="7">
        <f>ROUND(1096.8,2)</f>
        <v>1096.8</v>
      </c>
      <c r="EF99" s="6"/>
      <c r="EG99" s="7">
        <f>ROUND(437.29,2)</f>
        <v>437.29</v>
      </c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7">
        <f>ROUND(1119.44,2)</f>
        <v>1119.44</v>
      </c>
      <c r="ET99" s="6"/>
      <c r="EU99" s="6"/>
      <c r="EV99" s="7">
        <f>ROUND(32407.4899999999,2)</f>
        <v>32407.49</v>
      </c>
    </row>
    <row r="100" spans="1:152">
      <c r="A100" s="4" t="s">
        <v>380</v>
      </c>
      <c r="B100" s="4" t="s">
        <v>1058</v>
      </c>
      <c r="C100" s="5" t="s">
        <v>152</v>
      </c>
      <c r="D100" s="5" t="s">
        <v>381</v>
      </c>
      <c r="E100" s="5" t="s">
        <v>0</v>
      </c>
      <c r="F100" s="5" t="s">
        <v>0</v>
      </c>
      <c r="G100" s="5" t="s">
        <v>155</v>
      </c>
      <c r="H100" s="10">
        <v>30.4</v>
      </c>
      <c r="I100" s="6"/>
      <c r="J100" s="6"/>
      <c r="K100" s="6"/>
      <c r="L100" s="6"/>
      <c r="M100" s="7">
        <f>ROUND(678.88,2)</f>
        <v>678.88</v>
      </c>
      <c r="N100" s="6"/>
      <c r="O100" s="6"/>
      <c r="P100" s="7">
        <f>ROUND(183.06,2)</f>
        <v>183.06</v>
      </c>
      <c r="Q100" s="6"/>
      <c r="R100" s="6"/>
      <c r="S100" s="6"/>
      <c r="T100" s="6"/>
      <c r="U100" s="7">
        <f>ROUND(35.47,2)</f>
        <v>35.47</v>
      </c>
      <c r="V100" s="7">
        <f>ROUND(58.33,2)</f>
        <v>58.33</v>
      </c>
      <c r="W100" s="7">
        <f>ROUND(5.52,2)</f>
        <v>5.52</v>
      </c>
      <c r="X100" s="7">
        <f>ROUND(1.03,2)</f>
        <v>1.03</v>
      </c>
      <c r="Y100" s="6"/>
      <c r="Z100" s="6"/>
      <c r="AA100" s="6"/>
      <c r="AB100" s="6"/>
      <c r="AC100" s="7">
        <f>ROUND(447.44,2)</f>
        <v>447.44</v>
      </c>
      <c r="AD100" s="7">
        <f>ROUND(128.459999999999,2)</f>
        <v>128.46</v>
      </c>
      <c r="AE100" s="6"/>
      <c r="AF100" s="7">
        <f>ROUND(656.68,2)</f>
        <v>656.68</v>
      </c>
      <c r="AG100" s="7">
        <f>ROUND(137.64,2)</f>
        <v>137.63999999999999</v>
      </c>
      <c r="AH100" s="7">
        <f>ROUND(88,2)</f>
        <v>88</v>
      </c>
      <c r="AI100" s="6"/>
      <c r="AJ100" s="7">
        <f>ROUND(160,2)</f>
        <v>160</v>
      </c>
      <c r="AK100" s="6"/>
      <c r="AL100" s="7">
        <f>ROUND(5.83,2)</f>
        <v>5.83</v>
      </c>
      <c r="AM100" s="7">
        <f>ROUND(5.05,2)</f>
        <v>5.05</v>
      </c>
      <c r="AN100" s="7">
        <f>ROUND(2.17,2)</f>
        <v>2.17</v>
      </c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7">
        <f>ROUND(1.15,2)</f>
        <v>1.1499999999999999</v>
      </c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7">
        <f>ROUND(2594.70999999999,2)</f>
        <v>2594.71</v>
      </c>
      <c r="CC100" s="6"/>
      <c r="CD100" s="6"/>
      <c r="CE100" s="6"/>
      <c r="CF100" s="6"/>
      <c r="CG100" s="7">
        <f>ROUND(18904.5799999999,2)</f>
        <v>18904.580000000002</v>
      </c>
      <c r="CH100" s="6"/>
      <c r="CI100" s="6"/>
      <c r="CJ100" s="7">
        <f>ROUND(7643.12,2)</f>
        <v>7643.12</v>
      </c>
      <c r="CK100" s="6"/>
      <c r="CL100" s="6"/>
      <c r="CM100" s="6"/>
      <c r="CN100" s="6"/>
      <c r="CO100" s="7">
        <f>ROUND(986.529999999999,2)</f>
        <v>986.53</v>
      </c>
      <c r="CP100" s="7">
        <f>ROUND(2436.39,2)</f>
        <v>2436.39</v>
      </c>
      <c r="CQ100" s="7">
        <f>ROUND(153.71,2)</f>
        <v>153.71</v>
      </c>
      <c r="CR100" s="7">
        <f>ROUND(42.92,2)</f>
        <v>42.92</v>
      </c>
      <c r="CS100" s="6"/>
      <c r="CT100" s="6"/>
      <c r="CU100" s="6"/>
      <c r="CV100" s="6"/>
      <c r="CW100" s="7">
        <f>ROUND(13049.44,2)</f>
        <v>13049.44</v>
      </c>
      <c r="CX100" s="7">
        <f>ROUND(5643.25999999999,2)</f>
        <v>5643.26</v>
      </c>
      <c r="CY100" s="6"/>
      <c r="CZ100" s="6"/>
      <c r="DA100" s="7">
        <f>ROUND(18300.47,2)</f>
        <v>18300.47</v>
      </c>
      <c r="DB100" s="7">
        <f>ROUND(5848.27,2)</f>
        <v>5848.27</v>
      </c>
      <c r="DC100" s="7">
        <f>ROUND(2507.52,2)</f>
        <v>2507.52</v>
      </c>
      <c r="DD100" s="6"/>
      <c r="DE100" s="7">
        <f>ROUND(4549.6,2)</f>
        <v>4549.6000000000004</v>
      </c>
      <c r="DF100" s="6"/>
      <c r="DG100" s="6"/>
      <c r="DH100" s="6"/>
      <c r="DI100" s="7">
        <f>ROUND(161.96,2)</f>
        <v>161.96</v>
      </c>
      <c r="DJ100" s="7">
        <f>ROUND(140.61,2)</f>
        <v>140.61000000000001</v>
      </c>
      <c r="DK100" s="7">
        <f>ROUND(90.42,2)</f>
        <v>90.42</v>
      </c>
      <c r="DL100" s="6"/>
      <c r="DM100" s="6"/>
      <c r="DN100" s="6"/>
      <c r="DO100" s="6"/>
      <c r="DP100" s="6"/>
      <c r="DQ100" s="6"/>
      <c r="DR100" s="7">
        <f>ROUND(500,2)</f>
        <v>500</v>
      </c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7">
        <f>ROUND(2000,2)</f>
        <v>2000</v>
      </c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7">
        <f>ROUND(1250,2)</f>
        <v>1250</v>
      </c>
      <c r="ER100" s="6"/>
      <c r="ES100" s="6"/>
      <c r="ET100" s="6"/>
      <c r="EU100" s="6"/>
      <c r="EV100" s="7">
        <f>ROUND(84208.7999999999,2)</f>
        <v>84208.8</v>
      </c>
    </row>
    <row r="101" spans="1:152">
      <c r="A101" s="4" t="s">
        <v>382</v>
      </c>
      <c r="B101" s="4" t="s">
        <v>1058</v>
      </c>
      <c r="C101" s="5" t="s">
        <v>152</v>
      </c>
      <c r="D101" s="5" t="s">
        <v>171</v>
      </c>
      <c r="E101" s="5" t="s">
        <v>0</v>
      </c>
      <c r="F101" s="5" t="s">
        <v>0</v>
      </c>
      <c r="G101" s="5" t="s">
        <v>155</v>
      </c>
      <c r="H101" s="10">
        <v>27.36</v>
      </c>
      <c r="I101" s="6"/>
      <c r="J101" s="6"/>
      <c r="K101" s="6"/>
      <c r="L101" s="6"/>
      <c r="M101" s="7">
        <f>ROUND(945.56,2)</f>
        <v>945.56</v>
      </c>
      <c r="N101" s="6"/>
      <c r="O101" s="6"/>
      <c r="P101" s="7">
        <f>ROUND(150.17,2)</f>
        <v>150.16999999999999</v>
      </c>
      <c r="Q101" s="6"/>
      <c r="R101" s="6"/>
      <c r="S101" s="6"/>
      <c r="T101" s="6"/>
      <c r="U101" s="7">
        <f>ROUND(52.29,2)</f>
        <v>52.29</v>
      </c>
      <c r="V101" s="6"/>
      <c r="W101" s="7">
        <f>ROUND(10.0499999999999,2)</f>
        <v>10.050000000000001</v>
      </c>
      <c r="X101" s="7">
        <f>ROUND(1.37,2)</f>
        <v>1.37</v>
      </c>
      <c r="Y101" s="6"/>
      <c r="Z101" s="6"/>
      <c r="AA101" s="6"/>
      <c r="AB101" s="6"/>
      <c r="AC101" s="7">
        <f>ROUND(128.48,2)</f>
        <v>128.47999999999999</v>
      </c>
      <c r="AD101" s="7">
        <f>ROUND(8.37,2)</f>
        <v>8.3699999999999992</v>
      </c>
      <c r="AE101" s="6"/>
      <c r="AF101" s="7">
        <f>ROUND(784.19,2)</f>
        <v>784.19</v>
      </c>
      <c r="AG101" s="7">
        <f>ROUND(93.7599999999999,2)</f>
        <v>93.76</v>
      </c>
      <c r="AH101" s="7">
        <f>ROUND(80,2)</f>
        <v>80</v>
      </c>
      <c r="AI101" s="6"/>
      <c r="AJ101" s="7">
        <f>ROUND(40,2)</f>
        <v>40</v>
      </c>
      <c r="AK101" s="6"/>
      <c r="AL101" s="7">
        <f>ROUND(8,2)</f>
        <v>8</v>
      </c>
      <c r="AM101" s="7">
        <f>ROUND(2,2)</f>
        <v>2</v>
      </c>
      <c r="AN101" s="6"/>
      <c r="AO101" s="6"/>
      <c r="AP101" s="6"/>
      <c r="AQ101" s="6"/>
      <c r="AR101" s="7">
        <f>ROUND(2,2)</f>
        <v>2</v>
      </c>
      <c r="AS101" s="6"/>
      <c r="AT101" s="6"/>
      <c r="AU101" s="6"/>
      <c r="AV101" s="6"/>
      <c r="AW101" s="6"/>
      <c r="AX101" s="6"/>
      <c r="AY101" s="6"/>
      <c r="AZ101" s="6"/>
      <c r="BA101" s="6"/>
      <c r="BB101" s="7">
        <f>ROUND(24,2)</f>
        <v>24</v>
      </c>
      <c r="BC101" s="7">
        <f>ROUND(24,2)</f>
        <v>24</v>
      </c>
      <c r="BD101" s="6"/>
      <c r="BE101" s="7">
        <f>ROUND(1.33,2)</f>
        <v>1.33</v>
      </c>
      <c r="BF101" s="6"/>
      <c r="BG101" s="6"/>
      <c r="BH101" s="7">
        <f>ROUND(8,2)</f>
        <v>8</v>
      </c>
      <c r="BI101" s="6"/>
      <c r="BJ101" s="6"/>
      <c r="BK101" s="6"/>
      <c r="BL101" s="6"/>
      <c r="BM101" s="7">
        <f>ROUND(16,2)</f>
        <v>16</v>
      </c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7">
        <f>ROUND(2379.57,2)</f>
        <v>2379.5700000000002</v>
      </c>
      <c r="CC101" s="6"/>
      <c r="CD101" s="6"/>
      <c r="CE101" s="6"/>
      <c r="CF101" s="6"/>
      <c r="CG101" s="7">
        <f>ROUND(20690.3299999999,2)</f>
        <v>20690.330000000002</v>
      </c>
      <c r="CH101" s="6"/>
      <c r="CI101" s="6"/>
      <c r="CJ101" s="7">
        <f>ROUND(5094.71,2)</f>
        <v>5094.71</v>
      </c>
      <c r="CK101" s="6"/>
      <c r="CL101" s="6"/>
      <c r="CM101" s="6"/>
      <c r="CN101" s="6"/>
      <c r="CO101" s="7">
        <f>ROUND(1198.6,2)</f>
        <v>1198.5999999999999</v>
      </c>
      <c r="CP101" s="6"/>
      <c r="CQ101" s="7">
        <f>ROUND(220.369999999999,2)</f>
        <v>220.37</v>
      </c>
      <c r="CR101" s="7">
        <f>ROUND(42.81,2)</f>
        <v>42.81</v>
      </c>
      <c r="CS101" s="6"/>
      <c r="CT101" s="6"/>
      <c r="CU101" s="6"/>
      <c r="CV101" s="6"/>
      <c r="CW101" s="7">
        <f>ROUND(2759.59,2)</f>
        <v>2759.59</v>
      </c>
      <c r="CX101" s="7">
        <f>ROUND(262.14,2)</f>
        <v>262.14</v>
      </c>
      <c r="CY101" s="6"/>
      <c r="CZ101" s="6"/>
      <c r="DA101" s="7">
        <f>ROUND(16765.7899999999,2)</f>
        <v>16765.79</v>
      </c>
      <c r="DB101" s="7">
        <f>ROUND(2952.97,2)</f>
        <v>2952.97</v>
      </c>
      <c r="DC101" s="7">
        <f>ROUND(1719,2)</f>
        <v>1719</v>
      </c>
      <c r="DD101" s="6"/>
      <c r="DE101" s="7">
        <f>ROUND(1094.4,2)</f>
        <v>1094.4000000000001</v>
      </c>
      <c r="DF101" s="6"/>
      <c r="DG101" s="6"/>
      <c r="DH101" s="6"/>
      <c r="DI101" s="7">
        <f>ROUND(166.68,2)</f>
        <v>166.68</v>
      </c>
      <c r="DJ101" s="7">
        <f>ROUND(41.67,2)</f>
        <v>41.67</v>
      </c>
      <c r="DK101" s="6"/>
      <c r="DL101" s="6"/>
      <c r="DM101" s="6"/>
      <c r="DN101" s="6"/>
      <c r="DO101" s="6"/>
      <c r="DP101" s="7">
        <f>ROUND(41.67,2)</f>
        <v>41.67</v>
      </c>
      <c r="DQ101" s="6"/>
      <c r="DR101" s="7">
        <f>ROUND(500,2)</f>
        <v>500</v>
      </c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7">
        <f>ROUND(2050,2)</f>
        <v>2050</v>
      </c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7">
        <f>ROUND(1500,2)</f>
        <v>1500</v>
      </c>
      <c r="ER101" s="6"/>
      <c r="ES101" s="6"/>
      <c r="ET101" s="6"/>
      <c r="EU101" s="6"/>
      <c r="EV101" s="7">
        <f>ROUND(57100.73,2)</f>
        <v>57100.73</v>
      </c>
    </row>
    <row r="102" spans="1:152" ht="24">
      <c r="A102" s="4" t="s">
        <v>383</v>
      </c>
      <c r="B102" s="4"/>
      <c r="C102" s="5" t="s">
        <v>178</v>
      </c>
      <c r="D102" s="5" t="s">
        <v>384</v>
      </c>
      <c r="E102" s="5" t="s">
        <v>0</v>
      </c>
      <c r="F102" s="5" t="s">
        <v>0</v>
      </c>
      <c r="G102" s="5" t="s">
        <v>248</v>
      </c>
      <c r="H102" s="10">
        <v>19.100000000000001</v>
      </c>
      <c r="I102" s="7">
        <f>ROUND(1953.25,2)</f>
        <v>1953.25</v>
      </c>
      <c r="J102" s="7">
        <f>ROUND(277.75,2)</f>
        <v>277.75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7">
        <f>ROUND(24,2)</f>
        <v>24</v>
      </c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7">
        <f>ROUND(16,2)</f>
        <v>16</v>
      </c>
      <c r="BU102" s="6"/>
      <c r="BV102" s="7">
        <f>ROUND(22.75,2)</f>
        <v>22.75</v>
      </c>
      <c r="BW102" s="6"/>
      <c r="BX102" s="6"/>
      <c r="BY102" s="7">
        <f>ROUND(64,2)</f>
        <v>64</v>
      </c>
      <c r="BZ102" s="6"/>
      <c r="CA102" s="6"/>
      <c r="CB102" s="7">
        <f>ROUND(2357.75,2)</f>
        <v>2357.75</v>
      </c>
      <c r="CC102" s="7">
        <f>ROUND(33052.8399999999,2)</f>
        <v>33052.839999999997</v>
      </c>
      <c r="CD102" s="7">
        <f>ROUND(6940.90999999999,2)</f>
        <v>6940.91</v>
      </c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7">
        <f>ROUND(411.6,2)</f>
        <v>411.6</v>
      </c>
      <c r="EE102" s="7">
        <f>ROUND(1833.6,2)</f>
        <v>1833.6</v>
      </c>
      <c r="EF102" s="6"/>
      <c r="EG102" s="7">
        <f>ROUND(267.6,2)</f>
        <v>267.60000000000002</v>
      </c>
      <c r="EH102" s="6"/>
      <c r="EI102" s="7">
        <f>ROUND(559.74,2)</f>
        <v>559.74</v>
      </c>
      <c r="EJ102" s="6"/>
      <c r="EK102" s="6"/>
      <c r="EL102" s="6"/>
      <c r="EM102" s="6"/>
      <c r="EN102" s="6"/>
      <c r="EO102" s="6"/>
      <c r="EP102" s="6"/>
      <c r="EQ102" s="6"/>
      <c r="ER102" s="6"/>
      <c r="ES102" s="7">
        <f>ROUND(1178.39999999999,2)</f>
        <v>1178.4000000000001</v>
      </c>
      <c r="ET102" s="6"/>
      <c r="EU102" s="6"/>
      <c r="EV102" s="7">
        <f>ROUND(44244.69,2)</f>
        <v>44244.69</v>
      </c>
    </row>
    <row r="103" spans="1:152">
      <c r="A103" s="4" t="s">
        <v>385</v>
      </c>
      <c r="B103" s="4" t="s">
        <v>1058</v>
      </c>
      <c r="C103" s="5" t="s">
        <v>152</v>
      </c>
      <c r="D103" s="5" t="s">
        <v>386</v>
      </c>
      <c r="E103" s="5" t="s">
        <v>0</v>
      </c>
      <c r="F103" s="5" t="s">
        <v>0</v>
      </c>
      <c r="G103" s="5" t="s">
        <v>155</v>
      </c>
      <c r="H103" s="10">
        <v>30.4</v>
      </c>
      <c r="I103" s="6"/>
      <c r="J103" s="6"/>
      <c r="K103" s="6"/>
      <c r="L103" s="6"/>
      <c r="M103" s="7">
        <f>ROUND(1514.11,2)</f>
        <v>1514.11</v>
      </c>
      <c r="N103" s="6"/>
      <c r="O103" s="6"/>
      <c r="P103" s="7">
        <f>ROUND(189.289999999999,2)</f>
        <v>189.29</v>
      </c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7">
        <f>ROUND(184.6,2)</f>
        <v>184.6</v>
      </c>
      <c r="AD103" s="6"/>
      <c r="AE103" s="6"/>
      <c r="AF103" s="6"/>
      <c r="AG103" s="6"/>
      <c r="AH103" s="7">
        <f>ROUND(90,2)</f>
        <v>90</v>
      </c>
      <c r="AI103" s="6"/>
      <c r="AJ103" s="7">
        <f>ROUND(144,2)</f>
        <v>144</v>
      </c>
      <c r="AK103" s="6"/>
      <c r="AL103" s="7">
        <f>ROUND(8.5,2)</f>
        <v>8.5</v>
      </c>
      <c r="AM103" s="6"/>
      <c r="AN103" s="6"/>
      <c r="AO103" s="6"/>
      <c r="AP103" s="7">
        <f>ROUND(43.16,2)</f>
        <v>43.16</v>
      </c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7">
        <f>ROUND(24,2)</f>
        <v>24</v>
      </c>
      <c r="BC103" s="7">
        <f>ROUND(62.83,2)</f>
        <v>62.83</v>
      </c>
      <c r="BD103" s="7">
        <f>ROUND(6.83,2)</f>
        <v>6.83</v>
      </c>
      <c r="BE103" s="7">
        <f>ROUND(25.14,2)</f>
        <v>25.14</v>
      </c>
      <c r="BF103" s="6"/>
      <c r="BG103" s="6"/>
      <c r="BH103" s="7">
        <f>ROUND(8,2)</f>
        <v>8</v>
      </c>
      <c r="BI103" s="6"/>
      <c r="BJ103" s="7">
        <f>ROUND(8,2)</f>
        <v>8</v>
      </c>
      <c r="BK103" s="6"/>
      <c r="BL103" s="6"/>
      <c r="BM103" s="7">
        <f>ROUND(56.08,2)</f>
        <v>56.08</v>
      </c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7">
        <f>ROUND(56,2)</f>
        <v>56</v>
      </c>
      <c r="CB103" s="7">
        <f>ROUND(2420.54,2)</f>
        <v>2420.54</v>
      </c>
      <c r="CC103" s="6"/>
      <c r="CD103" s="6"/>
      <c r="CE103" s="6"/>
      <c r="CF103" s="6"/>
      <c r="CG103" s="7">
        <f>ROUND(42768.79,2)</f>
        <v>42768.79</v>
      </c>
      <c r="CH103" s="6"/>
      <c r="CI103" s="6"/>
      <c r="CJ103" s="7">
        <f>ROUND(7946.2,2)</f>
        <v>7946.2</v>
      </c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7">
        <f>ROUND(5128.19,2)</f>
        <v>5128.1899999999996</v>
      </c>
      <c r="CX103" s="6"/>
      <c r="CY103" s="6"/>
      <c r="CZ103" s="6"/>
      <c r="DA103" s="6"/>
      <c r="DB103" s="6"/>
      <c r="DC103" s="7">
        <f>ROUND(2584.04,2)</f>
        <v>2584.04</v>
      </c>
      <c r="DD103" s="6"/>
      <c r="DE103" s="7">
        <f>ROUND(4021.28,2)</f>
        <v>4021.28</v>
      </c>
      <c r="DF103" s="6"/>
      <c r="DG103" s="6"/>
      <c r="DH103" s="6"/>
      <c r="DI103" s="7">
        <f>ROUND(236.13,2)</f>
        <v>236.13</v>
      </c>
      <c r="DJ103" s="6"/>
      <c r="DK103" s="6"/>
      <c r="DL103" s="6"/>
      <c r="DM103" s="7">
        <f>ROUND(1312.06,2)</f>
        <v>1312.06</v>
      </c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7">
        <f>ROUND(350,2)</f>
        <v>350</v>
      </c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7">
        <f>ROUND(1250,2)</f>
        <v>1250</v>
      </c>
      <c r="ER103" s="6"/>
      <c r="ES103" s="6"/>
      <c r="ET103" s="6"/>
      <c r="EU103" s="7">
        <f>ROUND(1702.4,2)</f>
        <v>1702.4</v>
      </c>
      <c r="EV103" s="7">
        <f>ROUND(67299.09,2)</f>
        <v>67299.09</v>
      </c>
    </row>
    <row r="104" spans="1:152">
      <c r="A104" s="4" t="s">
        <v>387</v>
      </c>
      <c r="B104" s="4" t="s">
        <v>1058</v>
      </c>
      <c r="C104" s="5" t="s">
        <v>211</v>
      </c>
      <c r="D104" s="5" t="s">
        <v>298</v>
      </c>
      <c r="E104" s="5" t="s">
        <v>0</v>
      </c>
      <c r="F104" s="5" t="s">
        <v>0</v>
      </c>
      <c r="G104" s="5" t="s">
        <v>218</v>
      </c>
      <c r="H104" s="10">
        <v>34</v>
      </c>
      <c r="I104" s="6"/>
      <c r="J104" s="6"/>
      <c r="K104" s="7">
        <f>ROUND(1936,2)</f>
        <v>1936</v>
      </c>
      <c r="L104" s="7">
        <f>ROUND(872.37,2)</f>
        <v>872.37</v>
      </c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7">
        <f>ROUND(88,2)</f>
        <v>88</v>
      </c>
      <c r="AI104" s="6"/>
      <c r="AJ104" s="7">
        <f>ROUND(48,2)</f>
        <v>48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7">
        <f>ROUND(8,2)</f>
        <v>8</v>
      </c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7">
        <f>ROUND(32,2)</f>
        <v>32</v>
      </c>
      <c r="CB104" s="7">
        <f>ROUND(2984.37,2)</f>
        <v>2984.37</v>
      </c>
      <c r="CC104" s="6"/>
      <c r="CD104" s="6"/>
      <c r="CE104" s="7">
        <f>ROUND(60655.6,2)</f>
        <v>60655.6</v>
      </c>
      <c r="CF104" s="7">
        <f>ROUND(40644.95,2)</f>
        <v>40644.949999999997</v>
      </c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7">
        <f>ROUND(2784,2)</f>
        <v>2784</v>
      </c>
      <c r="DD104" s="6"/>
      <c r="DE104" s="7">
        <f>ROUND(1476,2)</f>
        <v>1476</v>
      </c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7">
        <f>ROUND(500,2)</f>
        <v>500</v>
      </c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7">
        <f>ROUND(1450,2)</f>
        <v>1450</v>
      </c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7">
        <f>ROUND(1250,2)</f>
        <v>1250</v>
      </c>
      <c r="ER104" s="6"/>
      <c r="ES104" s="6"/>
      <c r="ET104" s="6"/>
      <c r="EU104" s="7">
        <f>ROUND(1088,2)</f>
        <v>1088</v>
      </c>
      <c r="EV104" s="7">
        <f>ROUND(109848.55,2)</f>
        <v>109848.55</v>
      </c>
    </row>
    <row r="105" spans="1:152">
      <c r="A105" s="4" t="s">
        <v>388</v>
      </c>
      <c r="B105" s="4"/>
      <c r="C105" s="5" t="s">
        <v>277</v>
      </c>
      <c r="D105" s="5" t="s">
        <v>389</v>
      </c>
      <c r="E105" s="5" t="s">
        <v>0</v>
      </c>
      <c r="F105" s="5" t="s">
        <v>0</v>
      </c>
      <c r="G105" s="5" t="s">
        <v>390</v>
      </c>
      <c r="H105" s="10">
        <v>1549.45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7">
        <f>ROUND(8,2)</f>
        <v>8</v>
      </c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7">
        <f>ROUND(24,2)</f>
        <v>24</v>
      </c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7">
        <f>ROUND(32,2)</f>
        <v>32</v>
      </c>
      <c r="BU105" s="7">
        <f>ROUND(32,2)</f>
        <v>32</v>
      </c>
      <c r="BV105" s="6"/>
      <c r="BW105" s="6"/>
      <c r="BX105" s="6"/>
      <c r="BY105" s="7">
        <f>ROUND(120,2)</f>
        <v>120</v>
      </c>
      <c r="BZ105" s="6"/>
      <c r="CA105" s="6"/>
      <c r="CB105" s="7">
        <f>ROUND(216,2)</f>
        <v>216</v>
      </c>
      <c r="CC105" s="7">
        <f>ROUND(75630.22,2)</f>
        <v>75630.22</v>
      </c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7">
        <f>ROUND(3719.04,2)</f>
        <v>3719.04</v>
      </c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7">
        <f>ROUND(79349.26,2)</f>
        <v>79349.259999999995</v>
      </c>
    </row>
    <row r="106" spans="1:152">
      <c r="A106" s="4" t="s">
        <v>391</v>
      </c>
      <c r="B106" s="4" t="s">
        <v>1058</v>
      </c>
      <c r="C106" s="5" t="s">
        <v>152</v>
      </c>
      <c r="D106" s="5" t="s">
        <v>392</v>
      </c>
      <c r="E106" s="5" t="s">
        <v>0</v>
      </c>
      <c r="F106" s="5" t="s">
        <v>0</v>
      </c>
      <c r="G106" s="5" t="s">
        <v>155</v>
      </c>
      <c r="H106" s="10">
        <v>30.4</v>
      </c>
      <c r="I106" s="6"/>
      <c r="J106" s="6"/>
      <c r="K106" s="6"/>
      <c r="L106" s="6"/>
      <c r="M106" s="7">
        <f>ROUND(1073.38,2)</f>
        <v>1073.3800000000001</v>
      </c>
      <c r="N106" s="6"/>
      <c r="O106" s="6"/>
      <c r="P106" s="7">
        <f>ROUND(231.7,2)</f>
        <v>231.7</v>
      </c>
      <c r="Q106" s="6"/>
      <c r="R106" s="6"/>
      <c r="S106" s="6"/>
      <c r="T106" s="6"/>
      <c r="U106" s="7">
        <f>ROUND(85.84,2)</f>
        <v>85.84</v>
      </c>
      <c r="V106" s="7">
        <f>ROUND(22.58,2)</f>
        <v>22.58</v>
      </c>
      <c r="W106" s="7">
        <f>ROUND(8.55,2)</f>
        <v>8.5500000000000007</v>
      </c>
      <c r="X106" s="7">
        <f>ROUND(1.65,2)</f>
        <v>1.65</v>
      </c>
      <c r="Y106" s="6"/>
      <c r="Z106" s="6"/>
      <c r="AA106" s="6"/>
      <c r="AB106" s="6"/>
      <c r="AC106" s="7">
        <f>ROUND(141.959999999999,2)</f>
        <v>141.96</v>
      </c>
      <c r="AD106" s="7">
        <f>ROUND(13.32,2)</f>
        <v>13.32</v>
      </c>
      <c r="AE106" s="6"/>
      <c r="AF106" s="7">
        <f>ROUND(555.269999999999,2)</f>
        <v>555.27</v>
      </c>
      <c r="AG106" s="7">
        <f>ROUND(110.02,2)</f>
        <v>110.02</v>
      </c>
      <c r="AH106" s="7">
        <f>ROUND(88,2)</f>
        <v>88</v>
      </c>
      <c r="AI106" s="6"/>
      <c r="AJ106" s="7">
        <f>ROUND(64,2)</f>
        <v>64</v>
      </c>
      <c r="AK106" s="6"/>
      <c r="AL106" s="7">
        <f>ROUND(8.5,2)</f>
        <v>8.5</v>
      </c>
      <c r="AM106" s="7">
        <f>ROUND(6.47,2)</f>
        <v>6.47</v>
      </c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7">
        <f>ROUND(0.08,2)</f>
        <v>0.08</v>
      </c>
      <c r="BE106" s="6"/>
      <c r="BF106" s="6"/>
      <c r="BG106" s="6"/>
      <c r="BH106" s="6"/>
      <c r="BI106" s="6"/>
      <c r="BJ106" s="7">
        <f>ROUND(40,2)</f>
        <v>40</v>
      </c>
      <c r="BK106" s="6"/>
      <c r="BL106" s="6"/>
      <c r="BM106" s="7">
        <f>ROUND(8,2)</f>
        <v>8</v>
      </c>
      <c r="BN106" s="6"/>
      <c r="BO106" s="6"/>
      <c r="BP106" s="7">
        <f>ROUND(40,2)</f>
        <v>40</v>
      </c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7">
        <f>ROUND(16,2)</f>
        <v>16</v>
      </c>
      <c r="CB106" s="7">
        <f>ROUND(2515.32,2)</f>
        <v>2515.3200000000002</v>
      </c>
      <c r="CC106" s="6"/>
      <c r="CD106" s="6"/>
      <c r="CE106" s="6"/>
      <c r="CF106" s="6"/>
      <c r="CG106" s="7">
        <f>ROUND(30256.51,2)</f>
        <v>30256.51</v>
      </c>
      <c r="CH106" s="6"/>
      <c r="CI106" s="6"/>
      <c r="CJ106" s="7">
        <f>ROUND(9823.32,2)</f>
        <v>9823.32</v>
      </c>
      <c r="CK106" s="6"/>
      <c r="CL106" s="6"/>
      <c r="CM106" s="6"/>
      <c r="CN106" s="6"/>
      <c r="CO106" s="7">
        <f>ROUND(2401.01,2)</f>
        <v>2401.0100000000002</v>
      </c>
      <c r="CP106" s="7">
        <f>ROUND(943.219999999999,2)</f>
        <v>943.22</v>
      </c>
      <c r="CQ106" s="7">
        <f>ROUND(242.809999999999,2)</f>
        <v>242.81</v>
      </c>
      <c r="CR106" s="7">
        <f>ROUND(68.83,2)</f>
        <v>68.83</v>
      </c>
      <c r="CS106" s="6"/>
      <c r="CT106" s="6"/>
      <c r="CU106" s="6"/>
      <c r="CV106" s="6"/>
      <c r="CW106" s="7">
        <f>ROUND(3993.27999999999,2)</f>
        <v>3993.28</v>
      </c>
      <c r="CX106" s="7">
        <f>ROUND(556.28,2)</f>
        <v>556.28</v>
      </c>
      <c r="CY106" s="6"/>
      <c r="CZ106" s="6"/>
      <c r="DA106" s="7">
        <f>ROUND(15702.57,2)</f>
        <v>15702.57</v>
      </c>
      <c r="DB106" s="7">
        <f>ROUND(4635.51,2)</f>
        <v>4635.51</v>
      </c>
      <c r="DC106" s="7">
        <f>ROUND(2486.56,2)</f>
        <v>2486.56</v>
      </c>
      <c r="DD106" s="6"/>
      <c r="DE106" s="7">
        <f>ROUND(1819.84,2)</f>
        <v>1819.84</v>
      </c>
      <c r="DF106" s="6"/>
      <c r="DG106" s="6"/>
      <c r="DH106" s="6"/>
      <c r="DI106" s="7">
        <f>ROUND(236.13,2)</f>
        <v>236.13</v>
      </c>
      <c r="DJ106" s="7">
        <f>ROUND(269.6,2)</f>
        <v>269.60000000000002</v>
      </c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7">
        <f>ROUND(1050,2)</f>
        <v>1050</v>
      </c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7">
        <f>ROUND(1250,2)</f>
        <v>1250</v>
      </c>
      <c r="ER106" s="6"/>
      <c r="ES106" s="6"/>
      <c r="ET106" s="6"/>
      <c r="EU106" s="7">
        <f>ROUND(486.4,2)</f>
        <v>486.4</v>
      </c>
      <c r="EV106" s="7">
        <f>ROUND(76221.87,2)</f>
        <v>76221.87</v>
      </c>
    </row>
    <row r="107" spans="1:152">
      <c r="A107" s="4" t="s">
        <v>393</v>
      </c>
      <c r="B107" s="4" t="s">
        <v>1058</v>
      </c>
      <c r="C107" s="5" t="s">
        <v>152</v>
      </c>
      <c r="D107" s="5" t="s">
        <v>394</v>
      </c>
      <c r="E107" s="5" t="s">
        <v>0</v>
      </c>
      <c r="F107" s="5" t="s">
        <v>0</v>
      </c>
      <c r="G107" s="5" t="s">
        <v>155</v>
      </c>
      <c r="H107" s="10">
        <v>30.4</v>
      </c>
      <c r="I107" s="6"/>
      <c r="J107" s="6"/>
      <c r="K107" s="6"/>
      <c r="L107" s="6"/>
      <c r="M107" s="7">
        <f>ROUND(1725.95,2)</f>
        <v>1725.95</v>
      </c>
      <c r="N107" s="6"/>
      <c r="O107" s="6"/>
      <c r="P107" s="7">
        <f>ROUND(229.279999999999,2)</f>
        <v>229.28</v>
      </c>
      <c r="Q107" s="6"/>
      <c r="R107" s="6"/>
      <c r="S107" s="6"/>
      <c r="T107" s="6"/>
      <c r="U107" s="6"/>
      <c r="V107" s="7">
        <f>ROUND(48.73,2)</f>
        <v>48.73</v>
      </c>
      <c r="W107" s="7">
        <f>ROUND(0.38,2)</f>
        <v>0.38</v>
      </c>
      <c r="X107" s="6"/>
      <c r="Y107" s="6"/>
      <c r="Z107" s="6"/>
      <c r="AA107" s="6"/>
      <c r="AB107" s="6"/>
      <c r="AC107" s="7">
        <f>ROUND(121.95,2)</f>
        <v>121.95</v>
      </c>
      <c r="AD107" s="6"/>
      <c r="AE107" s="6"/>
      <c r="AF107" s="7">
        <f>ROUND(4.43,2)</f>
        <v>4.43</v>
      </c>
      <c r="AG107" s="7">
        <f>ROUND(21.9,2)</f>
        <v>21.9</v>
      </c>
      <c r="AH107" s="7">
        <f>ROUND(88,2)</f>
        <v>88</v>
      </c>
      <c r="AI107" s="6"/>
      <c r="AJ107" s="7">
        <f>ROUND(96,2)</f>
        <v>96</v>
      </c>
      <c r="AK107" s="6"/>
      <c r="AL107" s="7">
        <f>ROUND(6.67,2)</f>
        <v>6.67</v>
      </c>
      <c r="AM107" s="7">
        <f>ROUND(2.08,2)</f>
        <v>2.08</v>
      </c>
      <c r="AN107" s="7">
        <f>ROUND(1.67,2)</f>
        <v>1.67</v>
      </c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7">
        <f>ROUND(5.65,2)</f>
        <v>5.65</v>
      </c>
      <c r="BF107" s="7">
        <f>ROUND(72,2)</f>
        <v>72</v>
      </c>
      <c r="BG107" s="7">
        <f>ROUND(8.75,2)</f>
        <v>8.75</v>
      </c>
      <c r="BH107" s="6"/>
      <c r="BI107" s="6"/>
      <c r="BJ107" s="6"/>
      <c r="BK107" s="6"/>
      <c r="BL107" s="6"/>
      <c r="BM107" s="7">
        <f>ROUND(8,2)</f>
        <v>8</v>
      </c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7">
        <f>ROUND(8,2)</f>
        <v>8</v>
      </c>
      <c r="CB107" s="7">
        <f>ROUND(2449.44,2)</f>
        <v>2449.44</v>
      </c>
      <c r="CC107" s="6"/>
      <c r="CD107" s="6"/>
      <c r="CE107" s="6"/>
      <c r="CF107" s="6"/>
      <c r="CG107" s="7">
        <f>ROUND(48851.9599999999,2)</f>
        <v>48851.96</v>
      </c>
      <c r="CH107" s="6"/>
      <c r="CI107" s="6"/>
      <c r="CJ107" s="7">
        <f>ROUND(9742.35,2)</f>
        <v>9742.35</v>
      </c>
      <c r="CK107" s="6"/>
      <c r="CL107" s="6"/>
      <c r="CM107" s="6"/>
      <c r="CN107" s="6"/>
      <c r="CO107" s="6"/>
      <c r="CP107" s="7">
        <f>ROUND(2082.71,2)</f>
        <v>2082.71</v>
      </c>
      <c r="CQ107" s="7">
        <f>ROUND(10.56,2)</f>
        <v>10.56</v>
      </c>
      <c r="CR107" s="6"/>
      <c r="CS107" s="6"/>
      <c r="CT107" s="6"/>
      <c r="CU107" s="6"/>
      <c r="CV107" s="6"/>
      <c r="CW107" s="7">
        <f>ROUND(3529.60999999999,2)</f>
        <v>3529.61</v>
      </c>
      <c r="CX107" s="6"/>
      <c r="CY107" s="6"/>
      <c r="CZ107" s="6"/>
      <c r="DA107" s="7">
        <f>ROUND(123.07,2)</f>
        <v>123.07</v>
      </c>
      <c r="DB107" s="7">
        <f>ROUND(936.15,2)</f>
        <v>936.15</v>
      </c>
      <c r="DC107" s="7">
        <f>ROUND(2486.56,2)</f>
        <v>2486.56</v>
      </c>
      <c r="DD107" s="6"/>
      <c r="DE107" s="7">
        <f>ROUND(2666.88,2)</f>
        <v>2666.88</v>
      </c>
      <c r="DF107" s="6"/>
      <c r="DG107" s="6"/>
      <c r="DH107" s="6"/>
      <c r="DI107" s="7">
        <f>ROUND(185.29,2)</f>
        <v>185.29</v>
      </c>
      <c r="DJ107" s="7">
        <f>ROUND(57.78,2)</f>
        <v>57.78</v>
      </c>
      <c r="DK107" s="7">
        <f>ROUND(69.59,2)</f>
        <v>69.59</v>
      </c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7">
        <f>ROUND(1555.68,2)</f>
        <v>1555.68</v>
      </c>
      <c r="ED107" s="6"/>
      <c r="EE107" s="7">
        <f>ROUND(625,2)</f>
        <v>625</v>
      </c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7">
        <f>ROUND(1250,2)</f>
        <v>1250</v>
      </c>
      <c r="ER107" s="6"/>
      <c r="ES107" s="6"/>
      <c r="ET107" s="6"/>
      <c r="EU107" s="7">
        <f>ROUND(243.2,2)</f>
        <v>243.2</v>
      </c>
      <c r="EV107" s="7">
        <f>ROUND(74416.39,2)</f>
        <v>74416.39</v>
      </c>
    </row>
    <row r="108" spans="1:152">
      <c r="A108" s="4" t="s">
        <v>395</v>
      </c>
      <c r="B108" s="4" t="s">
        <v>1058</v>
      </c>
      <c r="C108" s="5" t="s">
        <v>152</v>
      </c>
      <c r="D108" s="5" t="s">
        <v>396</v>
      </c>
      <c r="E108" s="5" t="s">
        <v>0</v>
      </c>
      <c r="F108" s="5" t="s">
        <v>0</v>
      </c>
      <c r="G108" s="5" t="s">
        <v>155</v>
      </c>
      <c r="H108" s="10">
        <v>28.88</v>
      </c>
      <c r="I108" s="6"/>
      <c r="J108" s="6"/>
      <c r="K108" s="6"/>
      <c r="L108" s="6"/>
      <c r="M108" s="7">
        <f>ROUND(923.65,2)</f>
        <v>923.65</v>
      </c>
      <c r="N108" s="6"/>
      <c r="O108" s="6"/>
      <c r="P108" s="7">
        <f>ROUND(105.789999999999,2)</f>
        <v>105.79</v>
      </c>
      <c r="Q108" s="6"/>
      <c r="R108" s="6"/>
      <c r="S108" s="6"/>
      <c r="T108" s="6"/>
      <c r="U108" s="7">
        <f>ROUND(83.96,2)</f>
        <v>83.96</v>
      </c>
      <c r="V108" s="7">
        <f>ROUND(39.76,2)</f>
        <v>39.76</v>
      </c>
      <c r="W108" s="7">
        <f>ROUND(9.84,2)</f>
        <v>9.84</v>
      </c>
      <c r="X108" s="7">
        <f>ROUND(1,2)</f>
        <v>1</v>
      </c>
      <c r="Y108" s="6"/>
      <c r="Z108" s="6"/>
      <c r="AA108" s="6"/>
      <c r="AB108" s="6"/>
      <c r="AC108" s="7">
        <f>ROUND(93.17,2)</f>
        <v>93.17</v>
      </c>
      <c r="AD108" s="7">
        <f>ROUND(10.37,2)</f>
        <v>10.37</v>
      </c>
      <c r="AE108" s="6"/>
      <c r="AF108" s="7">
        <f>ROUND(552.619999999999,2)</f>
        <v>552.62</v>
      </c>
      <c r="AG108" s="7">
        <f>ROUND(79.26,2)</f>
        <v>79.260000000000005</v>
      </c>
      <c r="AH108" s="7">
        <f>ROUND(72,2)</f>
        <v>72</v>
      </c>
      <c r="AI108" s="6"/>
      <c r="AJ108" s="7">
        <f>ROUND(40,2)</f>
        <v>40</v>
      </c>
      <c r="AK108" s="6"/>
      <c r="AL108" s="6"/>
      <c r="AM108" s="6"/>
      <c r="AN108" s="6"/>
      <c r="AO108" s="6"/>
      <c r="AP108" s="6"/>
      <c r="AQ108" s="6"/>
      <c r="AR108" s="7">
        <f>ROUND(2,2)</f>
        <v>2</v>
      </c>
      <c r="AS108" s="6"/>
      <c r="AT108" s="6"/>
      <c r="AU108" s="6"/>
      <c r="AV108" s="6"/>
      <c r="AW108" s="6"/>
      <c r="AX108" s="6"/>
      <c r="AY108" s="6"/>
      <c r="AZ108" s="6"/>
      <c r="BA108" s="6"/>
      <c r="BB108" s="7">
        <f>ROUND(16,2)</f>
        <v>16</v>
      </c>
      <c r="BC108" s="7">
        <f>ROUND(40,2)</f>
        <v>40</v>
      </c>
      <c r="BD108" s="7">
        <f>ROUND(7.99,2)</f>
        <v>7.99</v>
      </c>
      <c r="BE108" s="7">
        <f>ROUND(15.42,2)</f>
        <v>15.42</v>
      </c>
      <c r="BF108" s="6"/>
      <c r="BG108" s="6"/>
      <c r="BH108" s="7">
        <f>ROUND(8,2)</f>
        <v>8</v>
      </c>
      <c r="BI108" s="6"/>
      <c r="BJ108" s="7">
        <f>ROUND(16,2)</f>
        <v>16</v>
      </c>
      <c r="BK108" s="7">
        <f>ROUND(144,2)</f>
        <v>144</v>
      </c>
      <c r="BL108" s="6"/>
      <c r="BM108" s="7">
        <f>ROUND(136,2)</f>
        <v>136</v>
      </c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7">
        <f>ROUND(2396.83,2)</f>
        <v>2396.83</v>
      </c>
      <c r="CC108" s="6"/>
      <c r="CD108" s="6"/>
      <c r="CE108" s="6"/>
      <c r="CF108" s="6"/>
      <c r="CG108" s="7">
        <f>ROUND(19843.71,2)</f>
        <v>19843.71</v>
      </c>
      <c r="CH108" s="6"/>
      <c r="CI108" s="6"/>
      <c r="CJ108" s="7">
        <f>ROUND(3330.1,2)</f>
        <v>3330.1</v>
      </c>
      <c r="CK108" s="6"/>
      <c r="CL108" s="6"/>
      <c r="CM108" s="6"/>
      <c r="CN108" s="6"/>
      <c r="CO108" s="7">
        <f>ROUND(1771.89,2)</f>
        <v>1771.89</v>
      </c>
      <c r="CP108" s="7">
        <f>ROUND(1468.71,2)</f>
        <v>1468.71</v>
      </c>
      <c r="CQ108" s="7">
        <f>ROUND(208.74,2)</f>
        <v>208.74</v>
      </c>
      <c r="CR108" s="7">
        <f>ROUND(31.25,2)</f>
        <v>31.25</v>
      </c>
      <c r="CS108" s="6"/>
      <c r="CT108" s="6"/>
      <c r="CU108" s="6"/>
      <c r="CV108" s="6"/>
      <c r="CW108" s="7">
        <f>ROUND(1942.74,2)</f>
        <v>1942.74</v>
      </c>
      <c r="CX108" s="7">
        <f>ROUND(324.08,2)</f>
        <v>324.08</v>
      </c>
      <c r="CY108" s="6"/>
      <c r="CZ108" s="6"/>
      <c r="DA108" s="7">
        <f>ROUND(11843.62,2)</f>
        <v>11843.62</v>
      </c>
      <c r="DB108" s="7">
        <f>ROUND(2480.86,2)</f>
        <v>2480.86</v>
      </c>
      <c r="DC108" s="7">
        <f>ROUND(1552.32,2)</f>
        <v>1552.32</v>
      </c>
      <c r="DD108" s="6"/>
      <c r="DE108" s="7">
        <f>ROUND(833.4,2)</f>
        <v>833.4</v>
      </c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7">
        <f>ROUND(41.67,2)</f>
        <v>41.67</v>
      </c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7">
        <f>ROUND(400,2)</f>
        <v>400</v>
      </c>
      <c r="EF108" s="6"/>
      <c r="EG108" s="6"/>
      <c r="EH108" s="6"/>
      <c r="EI108" s="6"/>
      <c r="EJ108" s="7">
        <f>ROUND(1500,2)</f>
        <v>1500</v>
      </c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7">
        <f>ROUND(47573.09,2)</f>
        <v>47573.09</v>
      </c>
    </row>
    <row r="109" spans="1:152">
      <c r="A109" s="4" t="s">
        <v>397</v>
      </c>
      <c r="B109" s="4" t="s">
        <v>1058</v>
      </c>
      <c r="C109" s="5" t="s">
        <v>211</v>
      </c>
      <c r="D109" s="5" t="s">
        <v>398</v>
      </c>
      <c r="E109" s="5" t="s">
        <v>0</v>
      </c>
      <c r="F109" s="5" t="s">
        <v>0</v>
      </c>
      <c r="G109" s="5" t="s">
        <v>218</v>
      </c>
      <c r="H109" s="10">
        <v>34</v>
      </c>
      <c r="I109" s="6"/>
      <c r="J109" s="6"/>
      <c r="K109" s="7">
        <f>ROUND(1648,2)</f>
        <v>1648</v>
      </c>
      <c r="L109" s="7">
        <f>ROUND(448,2)</f>
        <v>448</v>
      </c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7">
        <f>ROUND(112,2)</f>
        <v>112</v>
      </c>
      <c r="AI109" s="6"/>
      <c r="AJ109" s="7">
        <f>ROUND(200,2)</f>
        <v>200</v>
      </c>
      <c r="AK109" s="6"/>
      <c r="AL109" s="6"/>
      <c r="AM109" s="6"/>
      <c r="AN109" s="6"/>
      <c r="AO109" s="6"/>
      <c r="AP109" s="7">
        <f>ROUND(40,2)</f>
        <v>40</v>
      </c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7">
        <f>ROUND(16,2)</f>
        <v>16</v>
      </c>
      <c r="BC109" s="6"/>
      <c r="BD109" s="6"/>
      <c r="BE109" s="6"/>
      <c r="BF109" s="7">
        <f>ROUND(80,2)</f>
        <v>80</v>
      </c>
      <c r="BG109" s="6"/>
      <c r="BH109" s="7">
        <f>ROUND(8,2)</f>
        <v>8</v>
      </c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7">
        <f>ROUND(2552,2)</f>
        <v>2552</v>
      </c>
      <c r="CC109" s="6"/>
      <c r="CD109" s="6"/>
      <c r="CE109" s="7">
        <f>ROUND(51677.2,2)</f>
        <v>51677.2</v>
      </c>
      <c r="CF109" s="7">
        <f>ROUND(21076.7999999999,2)</f>
        <v>21076.799999999999</v>
      </c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7">
        <f>ROUND(3600,2)</f>
        <v>3600</v>
      </c>
      <c r="DD109" s="6"/>
      <c r="DE109" s="7">
        <f>ROUND(6150,2)</f>
        <v>6150</v>
      </c>
      <c r="DF109" s="6"/>
      <c r="DG109" s="6"/>
      <c r="DH109" s="6"/>
      <c r="DI109" s="6"/>
      <c r="DJ109" s="6"/>
      <c r="DK109" s="6"/>
      <c r="DL109" s="6"/>
      <c r="DM109" s="7">
        <f>ROUND(1230,2)</f>
        <v>1230</v>
      </c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7">
        <f>ROUND(1025,2)</f>
        <v>1025</v>
      </c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7">
        <f>ROUND(1250,2)</f>
        <v>1250</v>
      </c>
      <c r="ER109" s="6"/>
      <c r="ES109" s="6"/>
      <c r="ET109" s="6"/>
      <c r="EU109" s="6"/>
      <c r="EV109" s="7">
        <f>ROUND(86009,2)</f>
        <v>86009</v>
      </c>
    </row>
    <row r="110" spans="1:152">
      <c r="A110" s="4" t="s">
        <v>399</v>
      </c>
      <c r="B110" s="4" t="s">
        <v>1058</v>
      </c>
      <c r="C110" s="5" t="s">
        <v>211</v>
      </c>
      <c r="D110" s="5" t="s">
        <v>400</v>
      </c>
      <c r="E110" s="5" t="s">
        <v>0</v>
      </c>
      <c r="F110" s="5" t="s">
        <v>0</v>
      </c>
      <c r="G110" s="5" t="s">
        <v>218</v>
      </c>
      <c r="H110" s="10">
        <v>34</v>
      </c>
      <c r="I110" s="6"/>
      <c r="J110" s="6"/>
      <c r="K110" s="7">
        <f>ROUND(1792,2)</f>
        <v>1792</v>
      </c>
      <c r="L110" s="7">
        <f>ROUND(614.72,2)</f>
        <v>614.72</v>
      </c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7">
        <f>ROUND(96,2)</f>
        <v>96</v>
      </c>
      <c r="AI110" s="6"/>
      <c r="AJ110" s="7">
        <f>ROUND(80,2)</f>
        <v>80</v>
      </c>
      <c r="AK110" s="6"/>
      <c r="AL110" s="6"/>
      <c r="AM110" s="6"/>
      <c r="AN110" s="6"/>
      <c r="AO110" s="6"/>
      <c r="AP110" s="7">
        <f>ROUND(24,2)</f>
        <v>24</v>
      </c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7">
        <f>ROUND(8,2)</f>
        <v>8</v>
      </c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7">
        <f>ROUND(96,2)</f>
        <v>96</v>
      </c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7">
        <f>ROUND(2710.72,2)</f>
        <v>2710.72</v>
      </c>
      <c r="CC110" s="6"/>
      <c r="CD110" s="6"/>
      <c r="CE110" s="7">
        <f>ROUND(56032.34,2)</f>
        <v>56032.34</v>
      </c>
      <c r="CF110" s="7">
        <f>ROUND(28873.0599999999,2)</f>
        <v>28873.06</v>
      </c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7">
        <f>ROUND(3030,2)</f>
        <v>3030</v>
      </c>
      <c r="DD110" s="6"/>
      <c r="DE110" s="7">
        <f>ROUND(2486,2)</f>
        <v>2486</v>
      </c>
      <c r="DF110" s="6"/>
      <c r="DG110" s="6"/>
      <c r="DH110" s="6"/>
      <c r="DI110" s="6"/>
      <c r="DJ110" s="6"/>
      <c r="DK110" s="6"/>
      <c r="DL110" s="6"/>
      <c r="DM110" s="7">
        <f>ROUND(738,2)</f>
        <v>738</v>
      </c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7">
        <f>ROUND(1200,2)</f>
        <v>1200</v>
      </c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7">
        <f>ROUND(1250,2)</f>
        <v>1250</v>
      </c>
      <c r="ER110" s="6"/>
      <c r="ES110" s="6"/>
      <c r="ET110" s="6"/>
      <c r="EU110" s="6"/>
      <c r="EV110" s="7">
        <f>ROUND(93609.4,2)</f>
        <v>93609.4</v>
      </c>
    </row>
    <row r="111" spans="1:152">
      <c r="A111" s="4" t="s">
        <v>401</v>
      </c>
      <c r="B111" s="4" t="s">
        <v>1058</v>
      </c>
      <c r="C111" s="5" t="s">
        <v>211</v>
      </c>
      <c r="D111" s="5" t="s">
        <v>402</v>
      </c>
      <c r="E111" s="5" t="s">
        <v>0</v>
      </c>
      <c r="F111" s="5" t="s">
        <v>0</v>
      </c>
      <c r="G111" s="5" t="s">
        <v>213</v>
      </c>
      <c r="H111" s="10">
        <v>28</v>
      </c>
      <c r="I111" s="6"/>
      <c r="J111" s="6"/>
      <c r="K111" s="6"/>
      <c r="L111" s="6"/>
      <c r="M111" s="6"/>
      <c r="N111" s="6"/>
      <c r="O111" s="6"/>
      <c r="P111" s="6"/>
      <c r="Q111" s="7">
        <f>ROUND(385.83,2)</f>
        <v>385.83</v>
      </c>
      <c r="R111" s="7">
        <f>ROUND(17,2)</f>
        <v>17</v>
      </c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7">
        <f>ROUND(32,2)</f>
        <v>32</v>
      </c>
      <c r="AI111" s="6"/>
      <c r="AJ111" s="7">
        <f>ROUND(32,2)</f>
        <v>32</v>
      </c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7">
        <f>ROUND(8,2)</f>
        <v>8</v>
      </c>
      <c r="BC111" s="7">
        <f>ROUND(320,2)</f>
        <v>320</v>
      </c>
      <c r="BD111" s="6"/>
      <c r="BE111" s="7">
        <f>ROUND(8,2)</f>
        <v>8</v>
      </c>
      <c r="BF111" s="6"/>
      <c r="BG111" s="6"/>
      <c r="BH111" s="7">
        <f>ROUND(40,2)</f>
        <v>40</v>
      </c>
      <c r="BI111" s="6"/>
      <c r="BJ111" s="6"/>
      <c r="BK111" s="6"/>
      <c r="BL111" s="6"/>
      <c r="BM111" s="6"/>
      <c r="BN111" s="6"/>
      <c r="BO111" s="7">
        <f>ROUND(8,2)</f>
        <v>8</v>
      </c>
      <c r="BP111" s="7">
        <f>ROUND(1288,2)</f>
        <v>1288</v>
      </c>
      <c r="BQ111" s="6"/>
      <c r="BR111" s="6"/>
      <c r="BS111" s="6"/>
      <c r="BT111" s="6"/>
      <c r="BU111" s="7">
        <f>ROUND(27,2)</f>
        <v>27</v>
      </c>
      <c r="BV111" s="6"/>
      <c r="BW111" s="6"/>
      <c r="BX111" s="6"/>
      <c r="BY111" s="6"/>
      <c r="BZ111" s="6"/>
      <c r="CA111" s="7">
        <f>ROUND(48,2)</f>
        <v>48</v>
      </c>
      <c r="CB111" s="7">
        <f>ROUND(2213.83,2)</f>
        <v>2213.83</v>
      </c>
      <c r="CC111" s="6"/>
      <c r="CD111" s="6"/>
      <c r="CE111" s="6"/>
      <c r="CF111" s="6"/>
      <c r="CG111" s="6"/>
      <c r="CH111" s="6"/>
      <c r="CI111" s="6"/>
      <c r="CJ111" s="6"/>
      <c r="CK111" s="7">
        <f>ROUND(9914.17,2)</f>
        <v>9914.17</v>
      </c>
      <c r="CL111" s="7">
        <f>ROUND(672.47,2)</f>
        <v>672.47</v>
      </c>
      <c r="CM111" s="7">
        <f>ROUND(5.03999999999999,2)</f>
        <v>5.04</v>
      </c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7">
        <f>ROUND(815.36,2)</f>
        <v>815.36</v>
      </c>
      <c r="DD111" s="6"/>
      <c r="DE111" s="7">
        <f>ROUND(815.36,2)</f>
        <v>815.36</v>
      </c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7">
        <f>ROUND(200,2)</f>
        <v>200</v>
      </c>
      <c r="EF111" s="6"/>
      <c r="EG111" s="6"/>
      <c r="EH111" s="7">
        <f>ROUND(3.35999999999999,2)</f>
        <v>3.36</v>
      </c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7">
        <f>ROUND(1344,2)</f>
        <v>1344</v>
      </c>
      <c r="EV111" s="7">
        <f>ROUND(13769.76,2)</f>
        <v>13769.76</v>
      </c>
    </row>
    <row r="112" spans="1:152">
      <c r="A112" s="4" t="s">
        <v>403</v>
      </c>
      <c r="B112" s="4" t="s">
        <v>1058</v>
      </c>
      <c r="C112" s="5" t="s">
        <v>152</v>
      </c>
      <c r="D112" s="5" t="s">
        <v>404</v>
      </c>
      <c r="E112" s="5" t="s">
        <v>0</v>
      </c>
      <c r="F112" s="5" t="s">
        <v>0</v>
      </c>
      <c r="G112" s="5" t="s">
        <v>155</v>
      </c>
      <c r="H112" s="10">
        <v>30.4</v>
      </c>
      <c r="I112" s="6"/>
      <c r="J112" s="6"/>
      <c r="K112" s="6"/>
      <c r="L112" s="6"/>
      <c r="M112" s="7">
        <f>ROUND(1739.81,2)</f>
        <v>1739.81</v>
      </c>
      <c r="N112" s="6"/>
      <c r="O112" s="6"/>
      <c r="P112" s="7">
        <f>ROUND(212.59,2)</f>
        <v>212.59</v>
      </c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7">
        <f>ROUND(82,2)</f>
        <v>82</v>
      </c>
      <c r="AI112" s="6"/>
      <c r="AJ112" s="7">
        <f>ROUND(136,2)</f>
        <v>136</v>
      </c>
      <c r="AK112" s="6"/>
      <c r="AL112" s="7">
        <f>ROUND(13.58,2)</f>
        <v>13.58</v>
      </c>
      <c r="AM112" s="6"/>
      <c r="AN112" s="7">
        <f>ROUND(2.67,2)</f>
        <v>2.67</v>
      </c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7">
        <f>ROUND(24,2)</f>
        <v>24</v>
      </c>
      <c r="BC112" s="7">
        <f>ROUND(8,2)</f>
        <v>8</v>
      </c>
      <c r="BD112" s="7">
        <f>ROUND(1.45,2)</f>
        <v>1.45</v>
      </c>
      <c r="BE112" s="6"/>
      <c r="BF112" s="6"/>
      <c r="BG112" s="6"/>
      <c r="BH112" s="6"/>
      <c r="BI112" s="6"/>
      <c r="BJ112" s="7">
        <f>ROUND(88,2)</f>
        <v>88</v>
      </c>
      <c r="BK112" s="6"/>
      <c r="BL112" s="6"/>
      <c r="BM112" s="7">
        <f>ROUND(40,2)</f>
        <v>40</v>
      </c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7">
        <f>ROUND(72,2)</f>
        <v>72</v>
      </c>
      <c r="CB112" s="7">
        <f>ROUND(2420.1,2)</f>
        <v>2420.1</v>
      </c>
      <c r="CC112" s="6"/>
      <c r="CD112" s="6"/>
      <c r="CE112" s="6"/>
      <c r="CF112" s="6"/>
      <c r="CG112" s="7">
        <f>ROUND(49006.1399999998,2)</f>
        <v>49006.14</v>
      </c>
      <c r="CH112" s="6"/>
      <c r="CI112" s="6"/>
      <c r="CJ112" s="7">
        <f>ROUND(9198.52,2)</f>
        <v>9198.52</v>
      </c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7">
        <f>ROUND(2319.87999999999,2)</f>
        <v>2319.88</v>
      </c>
      <c r="DD112" s="6"/>
      <c r="DE112" s="7">
        <f>ROUND(3778.08,2)</f>
        <v>3778.08</v>
      </c>
      <c r="DF112" s="6"/>
      <c r="DG112" s="6"/>
      <c r="DH112" s="6"/>
      <c r="DI112" s="7">
        <f>ROUND(396.25,2)</f>
        <v>396.25</v>
      </c>
      <c r="DJ112" s="6"/>
      <c r="DK112" s="7">
        <f>ROUND(115.19,2)</f>
        <v>115.19</v>
      </c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7">
        <f>ROUND(525,2)</f>
        <v>525</v>
      </c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7">
        <f>ROUND(1250,2)</f>
        <v>1250</v>
      </c>
      <c r="ER112" s="6"/>
      <c r="ES112" s="6"/>
      <c r="ET112" s="6"/>
      <c r="EU112" s="7">
        <f>ROUND(2188.8,2)</f>
        <v>2188.8000000000002</v>
      </c>
      <c r="EV112" s="7">
        <f>ROUND(68777.86,2)</f>
        <v>68777.86</v>
      </c>
    </row>
    <row r="113" spans="1:152">
      <c r="A113" s="4" t="s">
        <v>405</v>
      </c>
      <c r="B113" s="4" t="s">
        <v>1058</v>
      </c>
      <c r="C113" s="5" t="s">
        <v>152</v>
      </c>
      <c r="D113" s="5" t="s">
        <v>406</v>
      </c>
      <c r="E113" s="5" t="s">
        <v>0</v>
      </c>
      <c r="F113" s="5" t="s">
        <v>0</v>
      </c>
      <c r="G113" s="5" t="s">
        <v>155</v>
      </c>
      <c r="H113" s="10">
        <v>30.4</v>
      </c>
      <c r="I113" s="6"/>
      <c r="J113" s="6"/>
      <c r="K113" s="6"/>
      <c r="L113" s="6"/>
      <c r="M113" s="7">
        <f>ROUND(749.41,2)</f>
        <v>749.41</v>
      </c>
      <c r="N113" s="6"/>
      <c r="O113" s="6"/>
      <c r="P113" s="7">
        <f>ROUND(129.36,2)</f>
        <v>129.36000000000001</v>
      </c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7">
        <f>ROUND(223.42,2)</f>
        <v>223.42</v>
      </c>
      <c r="AD113" s="7">
        <f>ROUND(0.92,2)</f>
        <v>0.92</v>
      </c>
      <c r="AE113" s="6"/>
      <c r="AF113" s="6"/>
      <c r="AG113" s="6"/>
      <c r="AH113" s="7">
        <f>ROUND(72,2)</f>
        <v>72</v>
      </c>
      <c r="AI113" s="6"/>
      <c r="AJ113" s="7">
        <f>ROUND(136,2)</f>
        <v>136</v>
      </c>
      <c r="AK113" s="6"/>
      <c r="AL113" s="7">
        <f>ROUND(19,2)</f>
        <v>19</v>
      </c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7">
        <f>ROUND(8,2)</f>
        <v>8</v>
      </c>
      <c r="BC113" s="7">
        <f>ROUND(912,2)</f>
        <v>912</v>
      </c>
      <c r="BD113" s="6"/>
      <c r="BE113" s="7">
        <f>ROUND(8,2)</f>
        <v>8</v>
      </c>
      <c r="BF113" s="6"/>
      <c r="BG113" s="6"/>
      <c r="BH113" s="7">
        <f>ROUND(16,2)</f>
        <v>16</v>
      </c>
      <c r="BI113" s="6"/>
      <c r="BJ113" s="6"/>
      <c r="BK113" s="6"/>
      <c r="BL113" s="6"/>
      <c r="BM113" s="6"/>
      <c r="BN113" s="6"/>
      <c r="BO113" s="6"/>
      <c r="BP113" s="7">
        <f>ROUND(0.75,2)</f>
        <v>0.75</v>
      </c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7">
        <f>ROUND(24,2)</f>
        <v>24</v>
      </c>
      <c r="CB113" s="7">
        <f>ROUND(2298.86,2)</f>
        <v>2298.86</v>
      </c>
      <c r="CC113" s="6"/>
      <c r="CD113" s="6"/>
      <c r="CE113" s="6"/>
      <c r="CF113" s="6"/>
      <c r="CG113" s="7">
        <f>ROUND(21401.83,2)</f>
        <v>21401.83</v>
      </c>
      <c r="CH113" s="6"/>
      <c r="CI113" s="6"/>
      <c r="CJ113" s="7">
        <f>ROUND(5597.92,2)</f>
        <v>5597.92</v>
      </c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7">
        <f>ROUND(6269.49,2)</f>
        <v>6269.49</v>
      </c>
      <c r="CX113" s="7">
        <f>ROUND(38.34,2)</f>
        <v>38.340000000000003</v>
      </c>
      <c r="CY113" s="6"/>
      <c r="CZ113" s="6"/>
      <c r="DA113" s="6"/>
      <c r="DB113" s="6"/>
      <c r="DC113" s="7">
        <f>ROUND(2174.16,2)</f>
        <v>2174.16</v>
      </c>
      <c r="DD113" s="6"/>
      <c r="DE113" s="7">
        <f>ROUND(3819.99999999999,2)</f>
        <v>3820</v>
      </c>
      <c r="DF113" s="6"/>
      <c r="DG113" s="6"/>
      <c r="DH113" s="6"/>
      <c r="DI113" s="7">
        <f>ROUND(548.78,2)</f>
        <v>548.78</v>
      </c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7">
        <f>ROUND(375,2)</f>
        <v>375</v>
      </c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7">
        <f>ROUND(826.56,2)</f>
        <v>826.56</v>
      </c>
      <c r="ER113" s="6"/>
      <c r="ES113" s="6"/>
      <c r="ET113" s="6"/>
      <c r="EU113" s="7">
        <f>ROUND(729.6,2)</f>
        <v>729.6</v>
      </c>
      <c r="EV113" s="7">
        <f>ROUND(41781.6799999999,2)</f>
        <v>41781.68</v>
      </c>
    </row>
    <row r="114" spans="1:152">
      <c r="A114" s="4" t="s">
        <v>407</v>
      </c>
      <c r="B114" s="4" t="s">
        <v>1058</v>
      </c>
      <c r="C114" s="5" t="s">
        <v>152</v>
      </c>
      <c r="D114" s="5" t="s">
        <v>281</v>
      </c>
      <c r="E114" s="5" t="s">
        <v>0</v>
      </c>
      <c r="F114" s="5" t="s">
        <v>0</v>
      </c>
      <c r="G114" s="5" t="s">
        <v>155</v>
      </c>
      <c r="H114" s="10">
        <v>24.32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7">
        <f>ROUND(5,2)</f>
        <v>5</v>
      </c>
      <c r="AI114" s="6"/>
      <c r="AJ114" s="6"/>
      <c r="AK114" s="6"/>
      <c r="AL114" s="7">
        <f>ROUND(136,2)</f>
        <v>136</v>
      </c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7">
        <f>ROUND(5,2)</f>
        <v>5</v>
      </c>
      <c r="BI114" s="6"/>
      <c r="BJ114" s="6"/>
      <c r="BK114" s="6"/>
      <c r="BL114" s="6"/>
      <c r="BM114" s="7">
        <f>ROUND(50,2)</f>
        <v>50</v>
      </c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7">
        <f>ROUND(196,2)</f>
        <v>196</v>
      </c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7">
        <f>ROUND(87.5,2)</f>
        <v>87.5</v>
      </c>
      <c r="DD114" s="6"/>
      <c r="DE114" s="6"/>
      <c r="DF114" s="6"/>
      <c r="DG114" s="6"/>
      <c r="DH114" s="6"/>
      <c r="DI114" s="7">
        <f>ROUND(2380,2)</f>
        <v>2380</v>
      </c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7">
        <f>ROUND(2467.5,2)</f>
        <v>2467.5</v>
      </c>
    </row>
    <row r="115" spans="1:152">
      <c r="A115" s="4" t="s">
        <v>408</v>
      </c>
      <c r="B115" s="4" t="s">
        <v>1058</v>
      </c>
      <c r="C115" s="5" t="s">
        <v>211</v>
      </c>
      <c r="D115" s="5" t="s">
        <v>409</v>
      </c>
      <c r="E115" s="5" t="s">
        <v>0</v>
      </c>
      <c r="F115" s="5" t="s">
        <v>0</v>
      </c>
      <c r="G115" s="5" t="s">
        <v>213</v>
      </c>
      <c r="H115" s="10">
        <v>28</v>
      </c>
      <c r="I115" s="6"/>
      <c r="J115" s="6"/>
      <c r="K115" s="6"/>
      <c r="L115" s="6"/>
      <c r="M115" s="6"/>
      <c r="N115" s="6"/>
      <c r="O115" s="6"/>
      <c r="P115" s="6"/>
      <c r="Q115" s="7">
        <f>ROUND(1688,2)</f>
        <v>1688</v>
      </c>
      <c r="R115" s="7">
        <f>ROUND(26,2)</f>
        <v>26</v>
      </c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7">
        <f>ROUND(112,2)</f>
        <v>112</v>
      </c>
      <c r="AI115" s="6"/>
      <c r="AJ115" s="7">
        <f>ROUND(40,2)</f>
        <v>40</v>
      </c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7">
        <f>ROUND(24,2)</f>
        <v>24</v>
      </c>
      <c r="BC115" s="6"/>
      <c r="BD115" s="6"/>
      <c r="BE115" s="7">
        <f>ROUND(88,2)</f>
        <v>88</v>
      </c>
      <c r="BF115" s="7">
        <f>ROUND(80,2)</f>
        <v>80</v>
      </c>
      <c r="BG115" s="6"/>
      <c r="BH115" s="6"/>
      <c r="BI115" s="7">
        <f>ROUND(40,2)</f>
        <v>40</v>
      </c>
      <c r="BJ115" s="6"/>
      <c r="BK115" s="6"/>
      <c r="BL115" s="6"/>
      <c r="BM115" s="6"/>
      <c r="BN115" s="6"/>
      <c r="BO115" s="7">
        <f>ROUND(8,2)</f>
        <v>8</v>
      </c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7">
        <f>ROUND(2106,2)</f>
        <v>2106</v>
      </c>
      <c r="CC115" s="6"/>
      <c r="CD115" s="6"/>
      <c r="CE115" s="6"/>
      <c r="CF115" s="6"/>
      <c r="CG115" s="6"/>
      <c r="CH115" s="6"/>
      <c r="CI115" s="6"/>
      <c r="CJ115" s="6"/>
      <c r="CK115" s="7">
        <f>ROUND(46599.92,2)</f>
        <v>46599.92</v>
      </c>
      <c r="CL115" s="7">
        <f>ROUND(1082.73,2)</f>
        <v>1082.73</v>
      </c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7">
        <f>ROUND(3090.64,2)</f>
        <v>3090.64</v>
      </c>
      <c r="DD115" s="6"/>
      <c r="DE115" s="7">
        <f>ROUND(1094.8,2)</f>
        <v>1094.8</v>
      </c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7">
        <f>ROUND(2195.6,2)</f>
        <v>2195.6</v>
      </c>
      <c r="ED115" s="6"/>
      <c r="EE115" s="7">
        <f>ROUND(1250,2)</f>
        <v>1250</v>
      </c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7">
        <f>ROUND(1250,2)</f>
        <v>1250</v>
      </c>
      <c r="ER115" s="6"/>
      <c r="ES115" s="6"/>
      <c r="ET115" s="6"/>
      <c r="EU115" s="6"/>
      <c r="EV115" s="7">
        <f>ROUND(56563.69,2)</f>
        <v>56563.69</v>
      </c>
    </row>
    <row r="116" spans="1:152">
      <c r="A116" s="4" t="s">
        <v>410</v>
      </c>
      <c r="B116" s="4" t="s">
        <v>1058</v>
      </c>
      <c r="C116" s="5" t="s">
        <v>152</v>
      </c>
      <c r="D116" s="5" t="s">
        <v>411</v>
      </c>
      <c r="E116" s="5" t="s">
        <v>0</v>
      </c>
      <c r="F116" s="5" t="s">
        <v>0</v>
      </c>
      <c r="G116" s="5" t="s">
        <v>155</v>
      </c>
      <c r="H116" s="10">
        <v>30.4</v>
      </c>
      <c r="I116" s="6"/>
      <c r="J116" s="6"/>
      <c r="K116" s="6"/>
      <c r="L116" s="6"/>
      <c r="M116" s="7">
        <f>ROUND(1580.94,2)</f>
        <v>1580.94</v>
      </c>
      <c r="N116" s="6"/>
      <c r="O116" s="6"/>
      <c r="P116" s="7">
        <f>ROUND(181.019999999999,2)</f>
        <v>181.02</v>
      </c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7">
        <f>ROUND(144.56,2)</f>
        <v>144.56</v>
      </c>
      <c r="AD116" s="6"/>
      <c r="AE116" s="6"/>
      <c r="AF116" s="6"/>
      <c r="AG116" s="6"/>
      <c r="AH116" s="7">
        <f>ROUND(88,2)</f>
        <v>88</v>
      </c>
      <c r="AI116" s="6"/>
      <c r="AJ116" s="7">
        <f>ROUND(184,2)</f>
        <v>184</v>
      </c>
      <c r="AK116" s="6"/>
      <c r="AL116" s="7">
        <f>ROUND(8.5,2)</f>
        <v>8.5</v>
      </c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7">
        <f>ROUND(24,2)</f>
        <v>24</v>
      </c>
      <c r="BC116" s="7">
        <f>ROUND(8,2)</f>
        <v>8</v>
      </c>
      <c r="BD116" s="6"/>
      <c r="BE116" s="6"/>
      <c r="BF116" s="7">
        <f>ROUND(51,2)</f>
        <v>51</v>
      </c>
      <c r="BG116" s="7">
        <f>ROUND(32,2)</f>
        <v>32</v>
      </c>
      <c r="BH116" s="6"/>
      <c r="BI116" s="6"/>
      <c r="BJ116" s="6"/>
      <c r="BK116" s="6"/>
      <c r="BL116" s="6"/>
      <c r="BM116" s="7">
        <f>ROUND(16,2)</f>
        <v>16</v>
      </c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7">
        <f>ROUND(2318.02,2)</f>
        <v>2318.02</v>
      </c>
      <c r="CC116" s="6"/>
      <c r="CD116" s="6"/>
      <c r="CE116" s="6"/>
      <c r="CF116" s="6"/>
      <c r="CG116" s="7">
        <f>ROUND(44563.59,2)</f>
        <v>44563.59</v>
      </c>
      <c r="CH116" s="6"/>
      <c r="CI116" s="6"/>
      <c r="CJ116" s="7">
        <f>ROUND(7614.42,2)</f>
        <v>7614.42</v>
      </c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7">
        <f>ROUND(4015.88,2)</f>
        <v>4015.88</v>
      </c>
      <c r="CX116" s="6"/>
      <c r="CY116" s="6"/>
      <c r="CZ116" s="6"/>
      <c r="DA116" s="6"/>
      <c r="DB116" s="6"/>
      <c r="DC116" s="7">
        <f>ROUND(2486.56,2)</f>
        <v>2486.56</v>
      </c>
      <c r="DD116" s="6"/>
      <c r="DE116" s="7">
        <f>ROUND(5111.52,2)</f>
        <v>5111.5200000000004</v>
      </c>
      <c r="DF116" s="6"/>
      <c r="DG116" s="6"/>
      <c r="DH116" s="6"/>
      <c r="DI116" s="7">
        <f>ROUND(236.13,2)</f>
        <v>236.13</v>
      </c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7">
        <f>ROUND(444.48,2)</f>
        <v>444.48</v>
      </c>
      <c r="ED116" s="6"/>
      <c r="EE116" s="7">
        <f>ROUND(750,2)</f>
        <v>750</v>
      </c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7">
        <f>ROUND(1250,2)</f>
        <v>1250</v>
      </c>
      <c r="ER116" s="6"/>
      <c r="ES116" s="6"/>
      <c r="ET116" s="6"/>
      <c r="EU116" s="6"/>
      <c r="EV116" s="7">
        <f>ROUND(66472.58,2)</f>
        <v>66472.58</v>
      </c>
    </row>
    <row r="117" spans="1:152">
      <c r="A117" s="4" t="s">
        <v>412</v>
      </c>
      <c r="B117" s="4" t="s">
        <v>1058</v>
      </c>
      <c r="C117" s="5" t="s">
        <v>152</v>
      </c>
      <c r="D117" s="5" t="s">
        <v>413</v>
      </c>
      <c r="E117" s="5" t="s">
        <v>0</v>
      </c>
      <c r="F117" s="5" t="s">
        <v>0</v>
      </c>
      <c r="G117" s="5" t="s">
        <v>155</v>
      </c>
      <c r="H117" s="10">
        <v>30.4</v>
      </c>
      <c r="I117" s="6"/>
      <c r="J117" s="6"/>
      <c r="K117" s="6"/>
      <c r="L117" s="6"/>
      <c r="M117" s="7">
        <f>ROUND(1450.62,2)</f>
        <v>1450.62</v>
      </c>
      <c r="N117" s="6"/>
      <c r="O117" s="6"/>
      <c r="P117" s="7">
        <f>ROUND(263.949999999999,2)</f>
        <v>263.95</v>
      </c>
      <c r="Q117" s="6"/>
      <c r="R117" s="6"/>
      <c r="S117" s="6"/>
      <c r="T117" s="6"/>
      <c r="U117" s="7">
        <f>ROUND(64.86,2)</f>
        <v>64.86</v>
      </c>
      <c r="V117" s="7">
        <f>ROUND(12,2)</f>
        <v>12</v>
      </c>
      <c r="W117" s="7">
        <f>ROUND(1.31999999999999,2)</f>
        <v>1.32</v>
      </c>
      <c r="X117" s="6"/>
      <c r="Y117" s="6"/>
      <c r="Z117" s="6"/>
      <c r="AA117" s="6"/>
      <c r="AB117" s="6"/>
      <c r="AC117" s="7">
        <f>ROUND(208.5,2)</f>
        <v>208.5</v>
      </c>
      <c r="AD117" s="7">
        <f>ROUND(3.25,2)</f>
        <v>3.25</v>
      </c>
      <c r="AE117" s="6"/>
      <c r="AF117" s="7">
        <f>ROUND(67.15,2)</f>
        <v>67.150000000000006</v>
      </c>
      <c r="AG117" s="7">
        <f>ROUND(15.28,2)</f>
        <v>15.28</v>
      </c>
      <c r="AH117" s="7">
        <f>ROUND(80,2)</f>
        <v>80</v>
      </c>
      <c r="AI117" s="6"/>
      <c r="AJ117" s="7">
        <f>ROUND(120,2)</f>
        <v>120</v>
      </c>
      <c r="AK117" s="6"/>
      <c r="AL117" s="7">
        <f>ROUND(8.5,2)</f>
        <v>8.5</v>
      </c>
      <c r="AM117" s="7">
        <f>ROUND(1.75,2)</f>
        <v>1.75</v>
      </c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7">
        <f>ROUND(51,2)</f>
        <v>51</v>
      </c>
      <c r="AY117" s="6"/>
      <c r="AZ117" s="6"/>
      <c r="BA117" s="6"/>
      <c r="BB117" s="7">
        <f>ROUND(16,2)</f>
        <v>16</v>
      </c>
      <c r="BC117" s="6"/>
      <c r="BD117" s="6"/>
      <c r="BE117" s="6"/>
      <c r="BF117" s="6"/>
      <c r="BG117" s="6"/>
      <c r="BH117" s="7">
        <f>ROUND(8,2)</f>
        <v>8</v>
      </c>
      <c r="BI117" s="6"/>
      <c r="BJ117" s="6"/>
      <c r="BK117" s="6"/>
      <c r="BL117" s="6"/>
      <c r="BM117" s="7">
        <f>ROUND(8,2)</f>
        <v>8</v>
      </c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7">
        <f>ROUND(2380.18,2)</f>
        <v>2380.1799999999998</v>
      </c>
      <c r="CC117" s="6"/>
      <c r="CD117" s="6"/>
      <c r="CE117" s="6"/>
      <c r="CF117" s="6"/>
      <c r="CG117" s="7">
        <f>ROUND(40932.62,2)</f>
        <v>40932.620000000003</v>
      </c>
      <c r="CH117" s="6"/>
      <c r="CI117" s="6"/>
      <c r="CJ117" s="7">
        <f>ROUND(11180.06,2)</f>
        <v>11180.06</v>
      </c>
      <c r="CK117" s="6"/>
      <c r="CL117" s="6"/>
      <c r="CM117" s="6"/>
      <c r="CN117" s="6"/>
      <c r="CO117" s="7">
        <f>ROUND(1803.39,2)</f>
        <v>1803.39</v>
      </c>
      <c r="CP117" s="7">
        <f>ROUND(500.849999999999,2)</f>
        <v>500.85</v>
      </c>
      <c r="CQ117" s="7">
        <f>ROUND(36.67,2)</f>
        <v>36.67</v>
      </c>
      <c r="CR117" s="6"/>
      <c r="CS117" s="6"/>
      <c r="CT117" s="6"/>
      <c r="CU117" s="6"/>
      <c r="CV117" s="6"/>
      <c r="CW117" s="7">
        <f>ROUND(5855.01,2)</f>
        <v>5855.01</v>
      </c>
      <c r="CX117" s="7">
        <f>ROUND(135.43,2)</f>
        <v>135.43</v>
      </c>
      <c r="CY117" s="6"/>
      <c r="CZ117" s="6"/>
      <c r="DA117" s="7">
        <f>ROUND(1870.42,2)</f>
        <v>1870.42</v>
      </c>
      <c r="DB117" s="7">
        <f>ROUND(638.939999999999,2)</f>
        <v>638.94000000000005</v>
      </c>
      <c r="DC117" s="7">
        <f>ROUND(2285.28,2)</f>
        <v>2285.2800000000002</v>
      </c>
      <c r="DD117" s="6"/>
      <c r="DE117" s="7">
        <f>ROUND(3333.6,2)</f>
        <v>3333.6</v>
      </c>
      <c r="DF117" s="6"/>
      <c r="DG117" s="6"/>
      <c r="DH117" s="6"/>
      <c r="DI117" s="7">
        <f>ROUND(236.13,2)</f>
        <v>236.13</v>
      </c>
      <c r="DJ117" s="7">
        <f>ROUND(48.62,2)</f>
        <v>48.62</v>
      </c>
      <c r="DK117" s="6"/>
      <c r="DL117" s="6"/>
      <c r="DM117" s="6"/>
      <c r="DN117" s="6"/>
      <c r="DO117" s="6"/>
      <c r="DP117" s="6"/>
      <c r="DQ117" s="6"/>
      <c r="DR117" s="7">
        <f>ROUND(500,2)</f>
        <v>500</v>
      </c>
      <c r="DS117" s="6"/>
      <c r="DT117" s="6"/>
      <c r="DU117" s="6"/>
      <c r="DV117" s="6"/>
      <c r="DW117" s="6"/>
      <c r="DX117" s="6"/>
      <c r="DY117" s="7">
        <f>ROUND(1416.8,2)</f>
        <v>1416.8</v>
      </c>
      <c r="DZ117" s="6"/>
      <c r="EA117" s="6"/>
      <c r="EB117" s="6"/>
      <c r="EC117" s="6"/>
      <c r="ED117" s="6"/>
      <c r="EE117" s="7">
        <f>ROUND(1325,2)</f>
        <v>1325</v>
      </c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7">
        <f>ROUND(1250,2)</f>
        <v>1250</v>
      </c>
      <c r="ER117" s="6"/>
      <c r="ES117" s="6"/>
      <c r="ET117" s="6"/>
      <c r="EU117" s="6"/>
      <c r="EV117" s="7">
        <f>ROUND(73348.82,2)</f>
        <v>73348.820000000007</v>
      </c>
    </row>
    <row r="118" spans="1:152">
      <c r="A118" s="4" t="s">
        <v>414</v>
      </c>
      <c r="B118" s="4"/>
      <c r="C118" s="5" t="s">
        <v>277</v>
      </c>
      <c r="D118" s="5" t="s">
        <v>415</v>
      </c>
      <c r="E118" s="5" t="s">
        <v>0</v>
      </c>
      <c r="F118" s="5" t="s">
        <v>0</v>
      </c>
      <c r="G118" s="5" t="s">
        <v>416</v>
      </c>
      <c r="H118" s="10">
        <v>18.91</v>
      </c>
      <c r="I118" s="7">
        <f>ROUND(1399.75,2)</f>
        <v>1399.75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7">
        <f>ROUND(15,2)</f>
        <v>15</v>
      </c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7">
        <f>ROUND(20,2)</f>
        <v>20</v>
      </c>
      <c r="BU118" s="6"/>
      <c r="BV118" s="6"/>
      <c r="BW118" s="6"/>
      <c r="BX118" s="6"/>
      <c r="BY118" s="7">
        <f>ROUND(50,2)</f>
        <v>50</v>
      </c>
      <c r="BZ118" s="6"/>
      <c r="CA118" s="6"/>
      <c r="CB118" s="7">
        <f>ROUND(1484.75,2)</f>
        <v>1484.75</v>
      </c>
      <c r="CC118" s="7">
        <f>ROUND(25391.7399999999,2)</f>
        <v>25391.74</v>
      </c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7">
        <f>ROUND(270,2)</f>
        <v>270</v>
      </c>
      <c r="EE118" s="7">
        <f>ROUND(907.68,2)</f>
        <v>907.68</v>
      </c>
      <c r="EF118" s="6"/>
      <c r="EG118" s="7">
        <f>ROUND(364.55,2)</f>
        <v>364.55</v>
      </c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7">
        <f>ROUND(922.749999999999,2)</f>
        <v>922.75</v>
      </c>
      <c r="ET118" s="6"/>
      <c r="EU118" s="6"/>
      <c r="EV118" s="7">
        <f>ROUND(27856.7199999999,2)</f>
        <v>27856.720000000001</v>
      </c>
    </row>
    <row r="119" spans="1:152" ht="24">
      <c r="A119" s="4" t="s">
        <v>417</v>
      </c>
      <c r="B119" s="4"/>
      <c r="C119" s="5" t="s">
        <v>178</v>
      </c>
      <c r="D119" s="5" t="s">
        <v>418</v>
      </c>
      <c r="E119" s="5" t="s">
        <v>0</v>
      </c>
      <c r="F119" s="5" t="s">
        <v>0</v>
      </c>
      <c r="G119" s="5" t="s">
        <v>248</v>
      </c>
      <c r="H119" s="10">
        <v>23.33</v>
      </c>
      <c r="I119" s="7">
        <f>ROUND(1712.25,2)</f>
        <v>1712.25</v>
      </c>
      <c r="J119" s="7">
        <f>ROUND(58.5,2)</f>
        <v>58.5</v>
      </c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7">
        <f>ROUND(24,2)</f>
        <v>24</v>
      </c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7">
        <f>ROUND(32,2)</f>
        <v>32</v>
      </c>
      <c r="BU119" s="7">
        <f>ROUND(48,2)</f>
        <v>48</v>
      </c>
      <c r="BV119" s="7">
        <f>ROUND(8,2)</f>
        <v>8</v>
      </c>
      <c r="BW119" s="6"/>
      <c r="BX119" s="7">
        <f>ROUND(40,2)</f>
        <v>40</v>
      </c>
      <c r="BY119" s="7">
        <f>ROUND(216,2)</f>
        <v>216</v>
      </c>
      <c r="BZ119" s="6"/>
      <c r="CA119" s="6"/>
      <c r="CB119" s="7">
        <f>ROUND(2138.75,2)</f>
        <v>2138.75</v>
      </c>
      <c r="CC119" s="7">
        <f>ROUND(37997.09,2)</f>
        <v>37997.089999999997</v>
      </c>
      <c r="CD119" s="7">
        <f>ROUND(1954.69,2)</f>
        <v>1954.69</v>
      </c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7">
        <f>ROUND(533.02,2)</f>
        <v>533.02</v>
      </c>
      <c r="EE119" s="7">
        <f>ROUND(2239.68,2)</f>
        <v>2239.6799999999998</v>
      </c>
      <c r="EF119" s="6"/>
      <c r="EG119" s="7">
        <f>ROUND(714.37,2)</f>
        <v>714.37</v>
      </c>
      <c r="EH119" s="7">
        <f>ROUND(1055.46,2)</f>
        <v>1055.46</v>
      </c>
      <c r="EI119" s="7">
        <f>ROUND(263.87,2)</f>
        <v>263.87</v>
      </c>
      <c r="EJ119" s="6"/>
      <c r="EK119" s="6"/>
      <c r="EL119" s="6"/>
      <c r="EM119" s="6"/>
      <c r="EN119" s="7">
        <f>ROUND(885.529999999999,2)</f>
        <v>885.53</v>
      </c>
      <c r="EO119" s="6"/>
      <c r="EP119" s="6"/>
      <c r="EQ119" s="6"/>
      <c r="ER119" s="6"/>
      <c r="ES119" s="7">
        <f>ROUND(5389.47,2)</f>
        <v>5389.47</v>
      </c>
      <c r="ET119" s="6"/>
      <c r="EU119" s="6"/>
      <c r="EV119" s="7">
        <f>ROUND(51033.18,2)</f>
        <v>51033.18</v>
      </c>
    </row>
    <row r="120" spans="1:152" ht="24">
      <c r="A120" s="4" t="s">
        <v>419</v>
      </c>
      <c r="B120" s="4"/>
      <c r="C120" s="5" t="s">
        <v>178</v>
      </c>
      <c r="D120" s="5" t="s">
        <v>420</v>
      </c>
      <c r="E120" s="5" t="s">
        <v>0</v>
      </c>
      <c r="F120" s="5" t="s">
        <v>0</v>
      </c>
      <c r="G120" s="5" t="s">
        <v>248</v>
      </c>
      <c r="H120" s="10">
        <v>19.670000000000002</v>
      </c>
      <c r="I120" s="7">
        <f>ROUND(1884,2)</f>
        <v>1884</v>
      </c>
      <c r="J120" s="7">
        <f>ROUND(68.75,2)</f>
        <v>68.75</v>
      </c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7">
        <f>ROUND(8,2)</f>
        <v>8</v>
      </c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7">
        <f>ROUND(48,2)</f>
        <v>48</v>
      </c>
      <c r="BU120" s="7">
        <f>ROUND(32,2)</f>
        <v>32</v>
      </c>
      <c r="BV120" s="7">
        <f>ROUND(8,2)</f>
        <v>8</v>
      </c>
      <c r="BW120" s="6"/>
      <c r="BX120" s="7">
        <f>ROUND(39.5,2)</f>
        <v>39.5</v>
      </c>
      <c r="BY120" s="7">
        <f>ROUND(64,2)</f>
        <v>64</v>
      </c>
      <c r="BZ120" s="6"/>
      <c r="CA120" s="6"/>
      <c r="CB120" s="7">
        <f>ROUND(2152.25,2)</f>
        <v>2152.25</v>
      </c>
      <c r="CC120" s="7">
        <f>ROUND(35296.3399999999,2)</f>
        <v>35296.339999999997</v>
      </c>
      <c r="CD120" s="7">
        <f>ROUND(1921.66999999999,2)</f>
        <v>1921.67</v>
      </c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7">
        <f>ROUND(148.32,2)</f>
        <v>148.32</v>
      </c>
      <c r="EE120" s="7">
        <f>ROUND(1888.32,2)</f>
        <v>1888.32</v>
      </c>
      <c r="EF120" s="6"/>
      <c r="EG120" s="7">
        <f>ROUND(898.959999999999,2)</f>
        <v>898.96</v>
      </c>
      <c r="EH120" s="7">
        <f>ROUND(597.76,2)</f>
        <v>597.76</v>
      </c>
      <c r="EI120" s="7">
        <f>ROUND(236.04,2)</f>
        <v>236.04</v>
      </c>
      <c r="EJ120" s="6"/>
      <c r="EK120" s="6"/>
      <c r="EL120" s="6"/>
      <c r="EM120" s="6"/>
      <c r="EN120" s="7">
        <f>ROUND(734.589999999999,2)</f>
        <v>734.59</v>
      </c>
      <c r="EO120" s="6"/>
      <c r="EP120" s="6"/>
      <c r="EQ120" s="6"/>
      <c r="ER120" s="6"/>
      <c r="ES120" s="7">
        <f>ROUND(1200.08,2)</f>
        <v>1200.08</v>
      </c>
      <c r="ET120" s="6"/>
      <c r="EU120" s="6"/>
      <c r="EV120" s="7">
        <f>ROUND(42922.08,2)</f>
        <v>42922.080000000002</v>
      </c>
    </row>
    <row r="121" spans="1:152">
      <c r="A121" s="4" t="s">
        <v>421</v>
      </c>
      <c r="B121" s="4" t="s">
        <v>1058</v>
      </c>
      <c r="C121" s="5" t="s">
        <v>152</v>
      </c>
      <c r="D121" s="5" t="s">
        <v>298</v>
      </c>
      <c r="E121" s="5" t="s">
        <v>422</v>
      </c>
      <c r="F121" s="5" t="s">
        <v>0</v>
      </c>
      <c r="G121" s="5" t="s">
        <v>155</v>
      </c>
      <c r="H121" s="10">
        <v>23.34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7">
        <f>ROUND(544,2)</f>
        <v>544</v>
      </c>
      <c r="BD121" s="6"/>
      <c r="BE121" s="6"/>
      <c r="BF121" s="6"/>
      <c r="BG121" s="6"/>
      <c r="BH121" s="7">
        <f>ROUND(8,2)</f>
        <v>8</v>
      </c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7">
        <f>ROUND(552,2)</f>
        <v>552</v>
      </c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</row>
    <row r="122" spans="1:152">
      <c r="A122" s="4" t="s">
        <v>423</v>
      </c>
      <c r="B122" s="4" t="s">
        <v>1058</v>
      </c>
      <c r="C122" s="5" t="s">
        <v>152</v>
      </c>
      <c r="D122" s="5" t="s">
        <v>424</v>
      </c>
      <c r="E122" s="5" t="s">
        <v>0</v>
      </c>
      <c r="F122" s="5" t="s">
        <v>0</v>
      </c>
      <c r="G122" s="5" t="s">
        <v>155</v>
      </c>
      <c r="H122" s="10">
        <v>30.4</v>
      </c>
      <c r="I122" s="6"/>
      <c r="J122" s="6"/>
      <c r="K122" s="6"/>
      <c r="L122" s="6"/>
      <c r="M122" s="7">
        <f>ROUND(1716.36,2)</f>
        <v>1716.36</v>
      </c>
      <c r="N122" s="6"/>
      <c r="O122" s="6"/>
      <c r="P122" s="7">
        <f>ROUND(217.6,2)</f>
        <v>217.6</v>
      </c>
      <c r="Q122" s="6"/>
      <c r="R122" s="6"/>
      <c r="S122" s="6"/>
      <c r="T122" s="6"/>
      <c r="U122" s="7">
        <f>ROUND(50.01,2)</f>
        <v>50.01</v>
      </c>
      <c r="V122" s="7">
        <f>ROUND(7.03,2)</f>
        <v>7.03</v>
      </c>
      <c r="W122" s="7">
        <f>ROUND(0.8,2)</f>
        <v>0.8</v>
      </c>
      <c r="X122" s="6"/>
      <c r="Y122" s="6"/>
      <c r="Z122" s="6"/>
      <c r="AA122" s="6"/>
      <c r="AB122" s="6"/>
      <c r="AC122" s="6"/>
      <c r="AD122" s="6"/>
      <c r="AE122" s="6"/>
      <c r="AF122" s="7">
        <f>ROUND(52.0199999999999,2)</f>
        <v>52.02</v>
      </c>
      <c r="AG122" s="7">
        <f>ROUND(2.92,2)</f>
        <v>2.92</v>
      </c>
      <c r="AH122" s="7">
        <f>ROUND(80,2)</f>
        <v>80</v>
      </c>
      <c r="AI122" s="6"/>
      <c r="AJ122" s="7">
        <f>ROUND(64,2)</f>
        <v>64</v>
      </c>
      <c r="AK122" s="6"/>
      <c r="AL122" s="7">
        <f>ROUND(8,2)</f>
        <v>8</v>
      </c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7">
        <f>ROUND(24,2)</f>
        <v>24</v>
      </c>
      <c r="BC122" s="7">
        <f>ROUND(64,2)</f>
        <v>64</v>
      </c>
      <c r="BD122" s="7">
        <f>ROUND(10.73,2)</f>
        <v>10.73</v>
      </c>
      <c r="BE122" s="7">
        <f>ROUND(8,2)</f>
        <v>8</v>
      </c>
      <c r="BF122" s="7">
        <f>ROUND(32,2)</f>
        <v>32</v>
      </c>
      <c r="BG122" s="6"/>
      <c r="BH122" s="7">
        <f>ROUND(8,2)</f>
        <v>8</v>
      </c>
      <c r="BI122" s="6"/>
      <c r="BJ122" s="6"/>
      <c r="BK122" s="6"/>
      <c r="BL122" s="6"/>
      <c r="BM122" s="7">
        <f>ROUND(16,2)</f>
        <v>16</v>
      </c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7">
        <f>ROUND(2361.47,2)</f>
        <v>2361.4699999999998</v>
      </c>
      <c r="CC122" s="6"/>
      <c r="CD122" s="6"/>
      <c r="CE122" s="6"/>
      <c r="CF122" s="6"/>
      <c r="CG122" s="7">
        <f>ROUND(44385.06,2)</f>
        <v>44385.06</v>
      </c>
      <c r="CH122" s="6"/>
      <c r="CI122" s="6"/>
      <c r="CJ122" s="7">
        <f>ROUND(8465.75,2)</f>
        <v>8465.75</v>
      </c>
      <c r="CK122" s="6"/>
      <c r="CL122" s="6"/>
      <c r="CM122" s="6"/>
      <c r="CN122" s="6"/>
      <c r="CO122" s="7">
        <f>ROUND(1252.34,2)</f>
        <v>1252.3399999999999</v>
      </c>
      <c r="CP122" s="7">
        <f>ROUND(263.64,2)</f>
        <v>263.64</v>
      </c>
      <c r="CQ122" s="7">
        <f>ROUND(20,2)</f>
        <v>20</v>
      </c>
      <c r="CR122" s="6"/>
      <c r="CS122" s="6"/>
      <c r="CT122" s="6"/>
      <c r="CU122" s="6"/>
      <c r="CV122" s="6"/>
      <c r="CW122" s="6"/>
      <c r="CX122" s="6"/>
      <c r="CY122" s="6"/>
      <c r="CZ122" s="6"/>
      <c r="DA122" s="7">
        <f>ROUND(1303.77,2)</f>
        <v>1303.77</v>
      </c>
      <c r="DB122" s="7">
        <f>ROUND(110.16,2)</f>
        <v>110.16</v>
      </c>
      <c r="DC122" s="7">
        <f>ROUND(2086.48,2)</f>
        <v>2086.48</v>
      </c>
      <c r="DD122" s="6"/>
      <c r="DE122" s="7">
        <f>ROUND(1600.08,2)</f>
        <v>1600.08</v>
      </c>
      <c r="DF122" s="6"/>
      <c r="DG122" s="6"/>
      <c r="DH122" s="6"/>
      <c r="DI122" s="7">
        <f>ROUND(200.01,2)</f>
        <v>200.01</v>
      </c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7">
        <f>ROUND(400.02,2)</f>
        <v>400.02</v>
      </c>
      <c r="ED122" s="6"/>
      <c r="EE122" s="7">
        <f>ROUND(825,2)</f>
        <v>825</v>
      </c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7">
        <f>ROUND(1250,2)</f>
        <v>1250</v>
      </c>
      <c r="ER122" s="6"/>
      <c r="ES122" s="6"/>
      <c r="ET122" s="6"/>
      <c r="EU122" s="6"/>
      <c r="EV122" s="7">
        <f>ROUND(62162.3099999999,2)</f>
        <v>62162.31</v>
      </c>
    </row>
    <row r="123" spans="1:152">
      <c r="A123" s="4" t="s">
        <v>425</v>
      </c>
      <c r="B123" s="4" t="s">
        <v>1058</v>
      </c>
      <c r="C123" s="5" t="s">
        <v>152</v>
      </c>
      <c r="D123" s="5" t="s">
        <v>363</v>
      </c>
      <c r="E123" s="5" t="s">
        <v>0</v>
      </c>
      <c r="F123" s="5" t="s">
        <v>0</v>
      </c>
      <c r="G123" s="5" t="s">
        <v>155</v>
      </c>
      <c r="H123" s="10">
        <v>30.4</v>
      </c>
      <c r="I123" s="6"/>
      <c r="J123" s="6"/>
      <c r="K123" s="6"/>
      <c r="L123" s="6"/>
      <c r="M123" s="7">
        <f>ROUND(1599.34,2)</f>
        <v>1599.34</v>
      </c>
      <c r="N123" s="6"/>
      <c r="O123" s="6"/>
      <c r="P123" s="7">
        <f>ROUND(301.43,2)</f>
        <v>301.43</v>
      </c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7">
        <f>ROUND(106,2)</f>
        <v>106</v>
      </c>
      <c r="AI123" s="6"/>
      <c r="AJ123" s="7">
        <f>ROUND(112,2)</f>
        <v>112</v>
      </c>
      <c r="AK123" s="6"/>
      <c r="AL123" s="7">
        <f>ROUND(8,2)</f>
        <v>8</v>
      </c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7">
        <f>ROUND(24,2)</f>
        <v>24</v>
      </c>
      <c r="BC123" s="7">
        <f>ROUND(208,2)</f>
        <v>208</v>
      </c>
      <c r="BD123" s="7">
        <f>ROUND(0.8,2)</f>
        <v>0.8</v>
      </c>
      <c r="BE123" s="7">
        <f>ROUND(4.83,2)</f>
        <v>4.83</v>
      </c>
      <c r="BF123" s="6"/>
      <c r="BG123" s="6"/>
      <c r="BH123" s="6"/>
      <c r="BI123" s="6"/>
      <c r="BJ123" s="6"/>
      <c r="BK123" s="6"/>
      <c r="BL123" s="7">
        <f>ROUND(8,2)</f>
        <v>8</v>
      </c>
      <c r="BM123" s="7">
        <f>ROUND(40,2)</f>
        <v>40</v>
      </c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7">
        <f>ROUND(8,2)</f>
        <v>8</v>
      </c>
      <c r="CB123" s="7">
        <f>ROUND(2420.39999999999,2)</f>
        <v>2420.4</v>
      </c>
      <c r="CC123" s="6"/>
      <c r="CD123" s="6"/>
      <c r="CE123" s="6"/>
      <c r="CF123" s="6"/>
      <c r="CG123" s="7">
        <f>ROUND(45211.0699999999,2)</f>
        <v>45211.07</v>
      </c>
      <c r="CH123" s="6"/>
      <c r="CI123" s="6"/>
      <c r="CJ123" s="7">
        <f>ROUND(12837.29,2)</f>
        <v>12837.29</v>
      </c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7">
        <f>ROUND(3028.51999999999,2)</f>
        <v>3028.52</v>
      </c>
      <c r="DD123" s="6"/>
      <c r="DE123" s="7">
        <f>ROUND(3132.31999999999,2)</f>
        <v>3132.32</v>
      </c>
      <c r="DF123" s="6"/>
      <c r="DG123" s="6"/>
      <c r="DH123" s="6"/>
      <c r="DI123" s="7">
        <f>ROUND(222.24,2)</f>
        <v>222.24</v>
      </c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7">
        <f>ROUND(550,2)</f>
        <v>550</v>
      </c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7">
        <f>ROUND(1250,2)</f>
        <v>1250</v>
      </c>
      <c r="ER123" s="6"/>
      <c r="ES123" s="6"/>
      <c r="ET123" s="6"/>
      <c r="EU123" s="7">
        <f>ROUND(243.2,2)</f>
        <v>243.2</v>
      </c>
      <c r="EV123" s="7">
        <f>ROUND(66474.6399999999,2)</f>
        <v>66474.64</v>
      </c>
    </row>
    <row r="124" spans="1:152">
      <c r="A124" s="4" t="s">
        <v>426</v>
      </c>
      <c r="B124" s="4" t="s">
        <v>1058</v>
      </c>
      <c r="C124" s="5" t="s">
        <v>152</v>
      </c>
      <c r="D124" s="5" t="s">
        <v>171</v>
      </c>
      <c r="E124" s="5" t="s">
        <v>0</v>
      </c>
      <c r="F124" s="5" t="s">
        <v>0</v>
      </c>
      <c r="G124" s="5" t="s">
        <v>155</v>
      </c>
      <c r="H124" s="10">
        <v>27.36</v>
      </c>
      <c r="I124" s="6"/>
      <c r="J124" s="6"/>
      <c r="K124" s="6"/>
      <c r="L124" s="6"/>
      <c r="M124" s="7">
        <f>ROUND(886.57,2)</f>
        <v>886.57</v>
      </c>
      <c r="N124" s="6"/>
      <c r="O124" s="6"/>
      <c r="P124" s="7">
        <f>ROUND(135.98,2)</f>
        <v>135.97999999999999</v>
      </c>
      <c r="Q124" s="6"/>
      <c r="R124" s="6"/>
      <c r="S124" s="6"/>
      <c r="T124" s="6"/>
      <c r="U124" s="7">
        <f>ROUND(72.67,2)</f>
        <v>72.67</v>
      </c>
      <c r="V124" s="7">
        <f>ROUND(28.48,2)</f>
        <v>28.48</v>
      </c>
      <c r="W124" s="7">
        <f>ROUND(10.23,2)</f>
        <v>10.23</v>
      </c>
      <c r="X124" s="7">
        <f>ROUND(2.24,2)</f>
        <v>2.2400000000000002</v>
      </c>
      <c r="Y124" s="6"/>
      <c r="Z124" s="6"/>
      <c r="AA124" s="6"/>
      <c r="AB124" s="6"/>
      <c r="AC124" s="7">
        <f>ROUND(183.3,2)</f>
        <v>183.3</v>
      </c>
      <c r="AD124" s="7">
        <f>ROUND(5.05,2)</f>
        <v>5.05</v>
      </c>
      <c r="AE124" s="6"/>
      <c r="AF124" s="7">
        <f>ROUND(636.559999999999,2)</f>
        <v>636.55999999999995</v>
      </c>
      <c r="AG124" s="7">
        <f>ROUND(86.09,2)</f>
        <v>86.09</v>
      </c>
      <c r="AH124" s="7">
        <f>ROUND(72,2)</f>
        <v>72</v>
      </c>
      <c r="AI124" s="6"/>
      <c r="AJ124" s="7">
        <f>ROUND(40,2)</f>
        <v>40</v>
      </c>
      <c r="AK124" s="6"/>
      <c r="AL124" s="7">
        <f>ROUND(8,2)</f>
        <v>8</v>
      </c>
      <c r="AM124" s="6"/>
      <c r="AN124" s="6"/>
      <c r="AO124" s="6"/>
      <c r="AP124" s="7">
        <f>ROUND(80,2)</f>
        <v>80</v>
      </c>
      <c r="AQ124" s="6"/>
      <c r="AR124" s="7">
        <f>ROUND(4,2)</f>
        <v>4</v>
      </c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7">
        <f>ROUND(56,2)</f>
        <v>56</v>
      </c>
      <c r="BD124" s="7">
        <f>ROUND(0.5,2)</f>
        <v>0.5</v>
      </c>
      <c r="BE124" s="7">
        <f>ROUND(16,2)</f>
        <v>16</v>
      </c>
      <c r="BF124" s="6"/>
      <c r="BG124" s="6"/>
      <c r="BH124" s="7">
        <f>ROUND(16,2)</f>
        <v>16</v>
      </c>
      <c r="BI124" s="6"/>
      <c r="BJ124" s="6"/>
      <c r="BK124" s="6"/>
      <c r="BL124" s="6"/>
      <c r="BM124" s="7">
        <f>ROUND(16,2)</f>
        <v>16</v>
      </c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7">
        <f>ROUND(2355.66999999999,2)</f>
        <v>2355.67</v>
      </c>
      <c r="CC124" s="6"/>
      <c r="CD124" s="6"/>
      <c r="CE124" s="6"/>
      <c r="CF124" s="6"/>
      <c r="CG124" s="7">
        <f>ROUND(19092.0999999999,2)</f>
        <v>19092.099999999999</v>
      </c>
      <c r="CH124" s="6"/>
      <c r="CI124" s="6"/>
      <c r="CJ124" s="7">
        <f>ROUND(4502.50999999999,2)</f>
        <v>4502.51</v>
      </c>
      <c r="CK124" s="6"/>
      <c r="CL124" s="6"/>
      <c r="CM124" s="6"/>
      <c r="CN124" s="6"/>
      <c r="CO124" s="7">
        <f>ROUND(1571.60999999999,2)</f>
        <v>1571.61</v>
      </c>
      <c r="CP124" s="7">
        <f>ROUND(993.72,2)</f>
        <v>993.72</v>
      </c>
      <c r="CQ124" s="7">
        <f>ROUND(214.01,2)</f>
        <v>214.01</v>
      </c>
      <c r="CR124" s="7">
        <f>ROUND(70.09,2)</f>
        <v>70.09</v>
      </c>
      <c r="CS124" s="6"/>
      <c r="CT124" s="6"/>
      <c r="CU124" s="6"/>
      <c r="CV124" s="6"/>
      <c r="CW124" s="7">
        <f>ROUND(4100,2)</f>
        <v>4100</v>
      </c>
      <c r="CX124" s="7">
        <f>ROUND(157.82,2)</f>
        <v>157.82</v>
      </c>
      <c r="CY124" s="6"/>
      <c r="CZ124" s="6"/>
      <c r="DA124" s="7">
        <f>ROUND(13698.04,2)</f>
        <v>13698.04</v>
      </c>
      <c r="DB124" s="7">
        <f>ROUND(2729.85999999999,2)</f>
        <v>2729.86</v>
      </c>
      <c r="DC124" s="7">
        <f>ROUND(1604.52,2)</f>
        <v>1604.52</v>
      </c>
      <c r="DD124" s="6"/>
      <c r="DE124" s="7">
        <f>ROUND(1042.2,2)</f>
        <v>1042.2</v>
      </c>
      <c r="DF124" s="6"/>
      <c r="DG124" s="6"/>
      <c r="DH124" s="6"/>
      <c r="DI124" s="7">
        <f>ROUND(166.68,2)</f>
        <v>166.68</v>
      </c>
      <c r="DJ124" s="6"/>
      <c r="DK124" s="6"/>
      <c r="DL124" s="6"/>
      <c r="DM124" s="7">
        <f>ROUND(1927.8,2)</f>
        <v>1927.8</v>
      </c>
      <c r="DN124" s="6"/>
      <c r="DO124" s="6"/>
      <c r="DP124" s="7">
        <f>ROUND(83.64,2)</f>
        <v>83.64</v>
      </c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7">
        <f>ROUND(2075,2)</f>
        <v>2075</v>
      </c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7">
        <f>ROUND(1500,2)</f>
        <v>1500</v>
      </c>
      <c r="ER124" s="6"/>
      <c r="ES124" s="6"/>
      <c r="ET124" s="6"/>
      <c r="EU124" s="6"/>
      <c r="EV124" s="7">
        <f>ROUND(55529.6,2)</f>
        <v>55529.599999999999</v>
      </c>
    </row>
    <row r="125" spans="1:152" ht="24">
      <c r="A125" s="4" t="s">
        <v>427</v>
      </c>
      <c r="B125" s="4"/>
      <c r="C125" s="5" t="s">
        <v>233</v>
      </c>
      <c r="D125" s="5" t="s">
        <v>428</v>
      </c>
      <c r="E125" s="5" t="s">
        <v>0</v>
      </c>
      <c r="F125" s="5" t="s">
        <v>0</v>
      </c>
      <c r="G125" s="5" t="s">
        <v>236</v>
      </c>
      <c r="H125" s="10">
        <v>19.100000000000001</v>
      </c>
      <c r="I125" s="7">
        <f>ROUND(1598,2)</f>
        <v>1598</v>
      </c>
      <c r="J125" s="7">
        <f>ROUND(12.75,2)</f>
        <v>12.75</v>
      </c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7">
        <f>ROUND(8,2)</f>
        <v>8</v>
      </c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7">
        <f>ROUND(37,2)</f>
        <v>37</v>
      </c>
      <c r="BU125" s="7">
        <f>ROUND(32,2)</f>
        <v>32</v>
      </c>
      <c r="BV125" s="6"/>
      <c r="BW125" s="6"/>
      <c r="BX125" s="6"/>
      <c r="BY125" s="6"/>
      <c r="BZ125" s="6"/>
      <c r="CA125" s="6"/>
      <c r="CB125" s="7">
        <f>ROUND(1687.75,2)</f>
        <v>1687.75</v>
      </c>
      <c r="CC125" s="7">
        <f>ROUND(27535.72,2)</f>
        <v>27535.72</v>
      </c>
      <c r="CD125" s="7">
        <f>ROUND(311.82,2)</f>
        <v>311.82</v>
      </c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7">
        <f>ROUND(152.8,2)</f>
        <v>152.80000000000001</v>
      </c>
      <c r="EE125" s="7">
        <f>ROUND(1833.6,2)</f>
        <v>1833.6</v>
      </c>
      <c r="EF125" s="6"/>
      <c r="EG125" s="7">
        <f>ROUND(644.67,2)</f>
        <v>644.66999999999996</v>
      </c>
      <c r="EH125" s="7">
        <f>ROUND(511.11,2)</f>
        <v>511.11</v>
      </c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7">
        <f>ROUND(30989.72,2)</f>
        <v>30989.72</v>
      </c>
    </row>
    <row r="126" spans="1:152" ht="24">
      <c r="A126" s="4" t="s">
        <v>429</v>
      </c>
      <c r="B126" s="4"/>
      <c r="C126" s="5" t="s">
        <v>430</v>
      </c>
      <c r="D126" s="5" t="s">
        <v>431</v>
      </c>
      <c r="E126" s="5" t="s">
        <v>432</v>
      </c>
      <c r="F126" s="5" t="s">
        <v>0</v>
      </c>
      <c r="G126" s="5" t="s">
        <v>433</v>
      </c>
      <c r="H126" s="10">
        <v>1261.21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7">
        <f>ROUND(14,2)</f>
        <v>14</v>
      </c>
      <c r="AF126" s="6"/>
      <c r="AG126" s="6"/>
      <c r="AH126" s="6"/>
      <c r="AI126" s="6"/>
      <c r="AJ126" s="6"/>
      <c r="AK126" s="7">
        <f>ROUND(8,2)</f>
        <v>8</v>
      </c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7">
        <f>ROUND(16,2)</f>
        <v>16</v>
      </c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7">
        <f>ROUND(24,2)</f>
        <v>24</v>
      </c>
      <c r="BU126" s="7">
        <f>ROUND(32,2)</f>
        <v>32</v>
      </c>
      <c r="BV126" s="6"/>
      <c r="BW126" s="6"/>
      <c r="BX126" s="6"/>
      <c r="BY126" s="7">
        <f>ROUND(80,2)</f>
        <v>80</v>
      </c>
      <c r="BZ126" s="6"/>
      <c r="CA126" s="7">
        <f>ROUND(40,2)</f>
        <v>40</v>
      </c>
      <c r="CB126" s="7">
        <f>ROUND(214,2)</f>
        <v>214</v>
      </c>
      <c r="CC126" s="7">
        <f>ROUND(37836.2999999999,2)</f>
        <v>37836.300000000003</v>
      </c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7">
        <f>ROUND(5250,2)</f>
        <v>5250</v>
      </c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7">
        <f>ROUND(2017.94,2)</f>
        <v>2017.94</v>
      </c>
      <c r="EM126" s="6"/>
      <c r="EN126" s="6"/>
      <c r="EO126" s="6"/>
      <c r="EP126" s="6"/>
      <c r="EQ126" s="6"/>
      <c r="ER126" s="6"/>
      <c r="ES126" s="6"/>
      <c r="ET126" s="6"/>
      <c r="EU126" s="7">
        <f>ROUND(1261.21,2)</f>
        <v>1261.21</v>
      </c>
      <c r="EV126" s="7">
        <f>ROUND(46365.4499999999,2)</f>
        <v>46365.45</v>
      </c>
    </row>
    <row r="127" spans="1:152" ht="24">
      <c r="A127" s="4" t="s">
        <v>434</v>
      </c>
      <c r="B127" s="4"/>
      <c r="C127" s="5" t="s">
        <v>285</v>
      </c>
      <c r="D127" s="5" t="s">
        <v>349</v>
      </c>
      <c r="E127" s="5" t="s">
        <v>0</v>
      </c>
      <c r="F127" s="5" t="s">
        <v>0</v>
      </c>
      <c r="G127" s="5" t="s">
        <v>435</v>
      </c>
      <c r="H127" s="10">
        <v>1326.13</v>
      </c>
      <c r="I127" s="7">
        <f>ROUND(400,2)</f>
        <v>400</v>
      </c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7">
        <f>ROUND(18,2)</f>
        <v>18</v>
      </c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7">
        <f>ROUND(16,2)</f>
        <v>16</v>
      </c>
      <c r="BI127" s="6"/>
      <c r="BJ127" s="6"/>
      <c r="BK127" s="6"/>
      <c r="BL127" s="6"/>
      <c r="BM127" s="6"/>
      <c r="BN127" s="6"/>
      <c r="BO127" s="6"/>
      <c r="BP127" s="6"/>
      <c r="BQ127" s="6"/>
      <c r="BR127" s="7">
        <f>ROUND(40,2)</f>
        <v>40</v>
      </c>
      <c r="BS127" s="6"/>
      <c r="BT127" s="7">
        <f>ROUND(16,2)</f>
        <v>16</v>
      </c>
      <c r="BU127" s="7">
        <f>ROUND(16,2)</f>
        <v>16</v>
      </c>
      <c r="BV127" s="6"/>
      <c r="BW127" s="6"/>
      <c r="BX127" s="6"/>
      <c r="BY127" s="7">
        <f>ROUND(120,2)</f>
        <v>120</v>
      </c>
      <c r="BZ127" s="6"/>
      <c r="CA127" s="6"/>
      <c r="CB127" s="7">
        <f>ROUND(626,2)</f>
        <v>626</v>
      </c>
      <c r="CC127" s="7">
        <f>ROUND(65681.7799999999,2)</f>
        <v>65681.78</v>
      </c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7">
        <f>ROUND(6750,2)</f>
        <v>6750</v>
      </c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7">
        <f>ROUND(3182.4,2)</f>
        <v>3182.4</v>
      </c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7">
        <f>ROUND(1250,2)</f>
        <v>1250</v>
      </c>
      <c r="ET127" s="6"/>
      <c r="EU127" s="6"/>
      <c r="EV127" s="7">
        <f>ROUND(76864.18,2)</f>
        <v>76864.179999999993</v>
      </c>
    </row>
    <row r="128" spans="1:152" ht="24">
      <c r="A128" s="4" t="s">
        <v>436</v>
      </c>
      <c r="B128" s="4"/>
      <c r="C128" s="5" t="s">
        <v>430</v>
      </c>
      <c r="D128" s="5" t="s">
        <v>437</v>
      </c>
      <c r="E128" s="5" t="s">
        <v>0</v>
      </c>
      <c r="F128" s="5" t="s">
        <v>0</v>
      </c>
      <c r="G128" s="5" t="s">
        <v>433</v>
      </c>
      <c r="H128" s="10">
        <v>1287.5</v>
      </c>
      <c r="I128" s="6"/>
      <c r="J128" s="6"/>
      <c r="K128" s="6"/>
      <c r="L128" s="6"/>
      <c r="M128" s="7">
        <f>ROUND(794.579999999999,2)</f>
        <v>794.58</v>
      </c>
      <c r="N128" s="6"/>
      <c r="O128" s="6"/>
      <c r="P128" s="7">
        <f>ROUND(122.27,2)</f>
        <v>122.27</v>
      </c>
      <c r="Q128" s="6"/>
      <c r="R128" s="6"/>
      <c r="S128" s="6"/>
      <c r="T128" s="6"/>
      <c r="U128" s="7">
        <f>ROUND(30.94,2)</f>
        <v>30.94</v>
      </c>
      <c r="V128" s="6"/>
      <c r="W128" s="7">
        <f>ROUND(5.75,2)</f>
        <v>5.75</v>
      </c>
      <c r="X128" s="7">
        <f>ROUND(1.92,2)</f>
        <v>1.92</v>
      </c>
      <c r="Y128" s="6"/>
      <c r="Z128" s="6"/>
      <c r="AA128" s="6"/>
      <c r="AB128" s="6"/>
      <c r="AC128" s="7">
        <f>ROUND(76.48,2)</f>
        <v>76.48</v>
      </c>
      <c r="AD128" s="7">
        <f>ROUND(10.33,2)</f>
        <v>10.33</v>
      </c>
      <c r="AE128" s="7">
        <f>ROUND(7,2)</f>
        <v>7</v>
      </c>
      <c r="AF128" s="7">
        <f>ROUND(288.439999999999,2)</f>
        <v>288.44</v>
      </c>
      <c r="AG128" s="7">
        <f>ROUND(25.98,2)</f>
        <v>25.98</v>
      </c>
      <c r="AH128" s="7">
        <f>ROUND(64,2)</f>
        <v>64</v>
      </c>
      <c r="AI128" s="6"/>
      <c r="AJ128" s="7">
        <f>ROUND(72,2)</f>
        <v>72</v>
      </c>
      <c r="AK128" s="6"/>
      <c r="AL128" s="7">
        <f>ROUND(8.5,2)</f>
        <v>8.5</v>
      </c>
      <c r="AM128" s="7">
        <f>ROUND(0.78,2)</f>
        <v>0.78</v>
      </c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7">
        <f>ROUND(24,2)</f>
        <v>24</v>
      </c>
      <c r="BC128" s="7">
        <f>ROUND(8,2)</f>
        <v>8</v>
      </c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7">
        <f>ROUND(24,2)</f>
        <v>24</v>
      </c>
      <c r="BS128" s="6"/>
      <c r="BT128" s="7">
        <f>ROUND(8,2)</f>
        <v>8</v>
      </c>
      <c r="BU128" s="6"/>
      <c r="BV128" s="6"/>
      <c r="BW128" s="6"/>
      <c r="BX128" s="6"/>
      <c r="BY128" s="7">
        <f>ROUND(40,2)</f>
        <v>40</v>
      </c>
      <c r="BZ128" s="6"/>
      <c r="CA128" s="6"/>
      <c r="CB128" s="7">
        <f>ROUND(1612.96999999999,2)</f>
        <v>1612.97</v>
      </c>
      <c r="CC128" s="7">
        <f>ROUND(22725,2)</f>
        <v>22725</v>
      </c>
      <c r="CD128" s="6"/>
      <c r="CE128" s="6"/>
      <c r="CF128" s="6"/>
      <c r="CG128" s="7">
        <f>ROUND(22098.21,2)</f>
        <v>22098.21</v>
      </c>
      <c r="CH128" s="6"/>
      <c r="CI128" s="6"/>
      <c r="CJ128" s="7">
        <f>ROUND(5101.09999999999,2)</f>
        <v>5101.1000000000004</v>
      </c>
      <c r="CK128" s="6"/>
      <c r="CL128" s="6"/>
      <c r="CM128" s="6"/>
      <c r="CN128" s="6"/>
      <c r="CO128" s="7">
        <f>ROUND(859.52,2)</f>
        <v>859.52</v>
      </c>
      <c r="CP128" s="6"/>
      <c r="CQ128" s="7">
        <f>ROUND(159.849999999999,2)</f>
        <v>159.85</v>
      </c>
      <c r="CR128" s="7">
        <f>ROUND(80.02,2)</f>
        <v>80.02</v>
      </c>
      <c r="CS128" s="6"/>
      <c r="CT128" s="6"/>
      <c r="CU128" s="6"/>
      <c r="CV128" s="6"/>
      <c r="CW128" s="7">
        <f>ROUND(2126.36,2)</f>
        <v>2126.36</v>
      </c>
      <c r="CX128" s="7">
        <f>ROUND(432.15,2)</f>
        <v>432.15</v>
      </c>
      <c r="CY128" s="7">
        <f>ROUND(2625,2)</f>
        <v>2625</v>
      </c>
      <c r="CZ128" s="6"/>
      <c r="DA128" s="7">
        <f>ROUND(8040.26,2)</f>
        <v>8040.26</v>
      </c>
      <c r="DB128" s="7">
        <f>ROUND(1085.37,2)</f>
        <v>1085.3699999999999</v>
      </c>
      <c r="DC128" s="7">
        <f>ROUND(1777.92,2)</f>
        <v>1777.92</v>
      </c>
      <c r="DD128" s="6"/>
      <c r="DE128" s="7">
        <f>ROUND(2000.16,2)</f>
        <v>2000.16</v>
      </c>
      <c r="DF128" s="6"/>
      <c r="DG128" s="6"/>
      <c r="DH128" s="6"/>
      <c r="DI128" s="7">
        <f>ROUND(236.13,2)</f>
        <v>236.13</v>
      </c>
      <c r="DJ128" s="7">
        <f>ROUND(21.67,2)</f>
        <v>21.67</v>
      </c>
      <c r="DK128" s="6"/>
      <c r="DL128" s="6"/>
      <c r="DM128" s="6"/>
      <c r="DN128" s="6"/>
      <c r="DO128" s="6"/>
      <c r="DP128" s="6"/>
      <c r="DQ128" s="6"/>
      <c r="DR128" s="7">
        <f>ROUND(500,2)</f>
        <v>500</v>
      </c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7">
        <f>ROUND(2680.08,2)</f>
        <v>2680.08</v>
      </c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7">
        <f>ROUND(72548.8,2)</f>
        <v>72548.800000000003</v>
      </c>
    </row>
    <row r="129" spans="1:152">
      <c r="A129" s="4" t="s">
        <v>438</v>
      </c>
      <c r="B129" s="4" t="s">
        <v>1058</v>
      </c>
      <c r="C129" s="5" t="s">
        <v>152</v>
      </c>
      <c r="D129" s="5" t="s">
        <v>331</v>
      </c>
      <c r="E129" s="5" t="s">
        <v>0</v>
      </c>
      <c r="F129" s="5" t="s">
        <v>0</v>
      </c>
      <c r="G129" s="5" t="s">
        <v>155</v>
      </c>
      <c r="H129" s="10">
        <v>30.4</v>
      </c>
      <c r="I129" s="6"/>
      <c r="J129" s="6"/>
      <c r="K129" s="6"/>
      <c r="L129" s="6"/>
      <c r="M129" s="7">
        <f>ROUND(1459.19999999999,2)</f>
        <v>1459.2</v>
      </c>
      <c r="N129" s="6"/>
      <c r="O129" s="6"/>
      <c r="P129" s="7">
        <f>ROUND(304.25,2)</f>
        <v>304.25</v>
      </c>
      <c r="Q129" s="6"/>
      <c r="R129" s="6"/>
      <c r="S129" s="6"/>
      <c r="T129" s="6"/>
      <c r="U129" s="7">
        <f>ROUND(41.82,2)</f>
        <v>41.82</v>
      </c>
      <c r="V129" s="7">
        <f>ROUND(17.42,2)</f>
        <v>17.420000000000002</v>
      </c>
      <c r="W129" s="7">
        <f>ROUND(3.65,2)</f>
        <v>3.65</v>
      </c>
      <c r="X129" s="7">
        <f>ROUND(1.58,2)</f>
        <v>1.58</v>
      </c>
      <c r="Y129" s="6"/>
      <c r="Z129" s="6"/>
      <c r="AA129" s="6"/>
      <c r="AB129" s="6"/>
      <c r="AC129" s="7">
        <f>ROUND(67.62,2)</f>
        <v>67.62</v>
      </c>
      <c r="AD129" s="7">
        <f>ROUND(13.21,2)</f>
        <v>13.21</v>
      </c>
      <c r="AE129" s="6"/>
      <c r="AF129" s="7">
        <f>ROUND(284.05,2)</f>
        <v>284.05</v>
      </c>
      <c r="AG129" s="7">
        <f>ROUND(22.17,2)</f>
        <v>22.17</v>
      </c>
      <c r="AH129" s="7">
        <f>ROUND(72,2)</f>
        <v>72</v>
      </c>
      <c r="AI129" s="6"/>
      <c r="AJ129" s="7">
        <f>ROUND(56,2)</f>
        <v>56</v>
      </c>
      <c r="AK129" s="6"/>
      <c r="AL129" s="7">
        <f>ROUND(8,2)</f>
        <v>8</v>
      </c>
      <c r="AM129" s="7">
        <f>ROUND(1.73,2)</f>
        <v>1.73</v>
      </c>
      <c r="AN129" s="6"/>
      <c r="AO129" s="6"/>
      <c r="AP129" s="7">
        <f>ROUND(24,2)</f>
        <v>24</v>
      </c>
      <c r="AQ129" s="6"/>
      <c r="AR129" s="6"/>
      <c r="AS129" s="6"/>
      <c r="AT129" s="6"/>
      <c r="AU129" s="6"/>
      <c r="AV129" s="6"/>
      <c r="AW129" s="6"/>
      <c r="AX129" s="7">
        <f>ROUND(51.72,2)</f>
        <v>51.72</v>
      </c>
      <c r="AY129" s="7">
        <f>ROUND(7.26,2)</f>
        <v>7.26</v>
      </c>
      <c r="AZ129" s="6"/>
      <c r="BA129" s="6"/>
      <c r="BB129" s="6"/>
      <c r="BC129" s="6"/>
      <c r="BD129" s="7">
        <f>ROUND(8,2)</f>
        <v>8</v>
      </c>
      <c r="BE129" s="7">
        <f>ROUND(16,2)</f>
        <v>16</v>
      </c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7">
        <f>ROUND(64,2)</f>
        <v>64</v>
      </c>
      <c r="CB129" s="7">
        <f>ROUND(2523.68,2)</f>
        <v>2523.6799999999998</v>
      </c>
      <c r="CC129" s="6"/>
      <c r="CD129" s="6"/>
      <c r="CE129" s="6"/>
      <c r="CF129" s="6"/>
      <c r="CG129" s="7">
        <f>ROUND(41165.79,2)</f>
        <v>41165.79</v>
      </c>
      <c r="CH129" s="6"/>
      <c r="CI129" s="6"/>
      <c r="CJ129" s="7">
        <f>ROUND(12914.9199999999,2)</f>
        <v>12914.92</v>
      </c>
      <c r="CK129" s="6"/>
      <c r="CL129" s="6"/>
      <c r="CM129" s="6"/>
      <c r="CN129" s="6"/>
      <c r="CO129" s="7">
        <f>ROUND(1177.78,2)</f>
        <v>1177.78</v>
      </c>
      <c r="CP129" s="7">
        <f>ROUND(725.89,2)</f>
        <v>725.89</v>
      </c>
      <c r="CQ129" s="7">
        <f>ROUND(103.35,2)</f>
        <v>103.35</v>
      </c>
      <c r="CR129" s="7">
        <f>ROUND(65.84,2)</f>
        <v>65.84</v>
      </c>
      <c r="CS129" s="6"/>
      <c r="CT129" s="6"/>
      <c r="CU129" s="6"/>
      <c r="CV129" s="6"/>
      <c r="CW129" s="7">
        <f>ROUND(1901.52,2)</f>
        <v>1901.52</v>
      </c>
      <c r="CX129" s="7">
        <f>ROUND(552.94,2)</f>
        <v>552.94000000000005</v>
      </c>
      <c r="CY129" s="6"/>
      <c r="CZ129" s="6"/>
      <c r="DA129" s="7">
        <f>ROUND(7972.70999999999,2)</f>
        <v>7972.71</v>
      </c>
      <c r="DB129" s="7">
        <f>ROUND(927.02,2)</f>
        <v>927.02</v>
      </c>
      <c r="DC129" s="7">
        <f>ROUND(2042.08,2)</f>
        <v>2042.08</v>
      </c>
      <c r="DD129" s="6"/>
      <c r="DE129" s="7">
        <f>ROUND(1555.68,2)</f>
        <v>1555.68</v>
      </c>
      <c r="DF129" s="6"/>
      <c r="DG129" s="6"/>
      <c r="DH129" s="6"/>
      <c r="DI129" s="7">
        <f>ROUND(222.24,2)</f>
        <v>222.24</v>
      </c>
      <c r="DJ129" s="7">
        <f>ROUND(52.59,2)</f>
        <v>52.59</v>
      </c>
      <c r="DK129" s="6"/>
      <c r="DL129" s="6"/>
      <c r="DM129" s="7">
        <f>ROUND(666.72,2)</f>
        <v>666.72</v>
      </c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7">
        <f>ROUND(1436.8,2)</f>
        <v>1436.8</v>
      </c>
      <c r="DZ129" s="7">
        <f>ROUND(302.53,2)</f>
        <v>302.52999999999997</v>
      </c>
      <c r="EA129" s="6"/>
      <c r="EB129" s="6"/>
      <c r="EC129" s="6"/>
      <c r="ED129" s="6"/>
      <c r="EE129" s="7">
        <f>ROUND(1150,2)</f>
        <v>1150</v>
      </c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7">
        <f>ROUND(1250,2)</f>
        <v>1250</v>
      </c>
      <c r="ER129" s="6"/>
      <c r="ES129" s="6"/>
      <c r="ET129" s="6"/>
      <c r="EU129" s="7">
        <f>ROUND(1945.6,2)</f>
        <v>1945.6</v>
      </c>
      <c r="EV129" s="7">
        <f>ROUND(78132,2)</f>
        <v>78132</v>
      </c>
    </row>
    <row r="130" spans="1:152">
      <c r="A130" s="4" t="s">
        <v>439</v>
      </c>
      <c r="B130" s="4" t="s">
        <v>1058</v>
      </c>
      <c r="C130" s="5" t="s">
        <v>152</v>
      </c>
      <c r="D130" s="5" t="s">
        <v>402</v>
      </c>
      <c r="E130" s="5" t="s">
        <v>0</v>
      </c>
      <c r="F130" s="5" t="s">
        <v>0</v>
      </c>
      <c r="G130" s="5" t="s">
        <v>155</v>
      </c>
      <c r="H130" s="10">
        <v>30.4</v>
      </c>
      <c r="I130" s="6"/>
      <c r="J130" s="6"/>
      <c r="K130" s="6"/>
      <c r="L130" s="6"/>
      <c r="M130" s="7">
        <f>ROUND(1350.35,2)</f>
        <v>1350.35</v>
      </c>
      <c r="N130" s="6"/>
      <c r="O130" s="6"/>
      <c r="P130" s="7">
        <f>ROUND(195.359999999999,2)</f>
        <v>195.36</v>
      </c>
      <c r="Q130" s="6"/>
      <c r="R130" s="6"/>
      <c r="S130" s="6"/>
      <c r="T130" s="6"/>
      <c r="U130" s="7">
        <f>ROUND(54.25,2)</f>
        <v>54.25</v>
      </c>
      <c r="V130" s="7">
        <f>ROUND(9.41,2)</f>
        <v>9.41</v>
      </c>
      <c r="W130" s="7">
        <f>ROUND(10.77,2)</f>
        <v>10.77</v>
      </c>
      <c r="X130" s="7">
        <f>ROUND(2.58,2)</f>
        <v>2.58</v>
      </c>
      <c r="Y130" s="6"/>
      <c r="Z130" s="6"/>
      <c r="AA130" s="6"/>
      <c r="AB130" s="6"/>
      <c r="AC130" s="7">
        <f>ROUND(73,2)</f>
        <v>73</v>
      </c>
      <c r="AD130" s="7">
        <f>ROUND(4.25,2)</f>
        <v>4.25</v>
      </c>
      <c r="AE130" s="6"/>
      <c r="AF130" s="7">
        <f>ROUND(362.769999999999,2)</f>
        <v>362.77</v>
      </c>
      <c r="AG130" s="7">
        <f>ROUND(28.7299999999999,2)</f>
        <v>28.73</v>
      </c>
      <c r="AH130" s="7">
        <f>ROUND(80,2)</f>
        <v>80</v>
      </c>
      <c r="AI130" s="6"/>
      <c r="AJ130" s="7">
        <f>ROUND(80,2)</f>
        <v>80</v>
      </c>
      <c r="AK130" s="6"/>
      <c r="AL130" s="7">
        <f>ROUND(8,2)</f>
        <v>8</v>
      </c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7">
        <f>ROUND(16,2)</f>
        <v>16</v>
      </c>
      <c r="BC130" s="7">
        <f>ROUND(8,2)</f>
        <v>8</v>
      </c>
      <c r="BD130" s="6"/>
      <c r="BE130" s="7">
        <f>ROUND(72,2)</f>
        <v>72</v>
      </c>
      <c r="BF130" s="6"/>
      <c r="BG130" s="6"/>
      <c r="BH130" s="7">
        <f>ROUND(8,2)</f>
        <v>8</v>
      </c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7">
        <f>ROUND(2363.47,2)</f>
        <v>2363.4699999999998</v>
      </c>
      <c r="CC130" s="6"/>
      <c r="CD130" s="6"/>
      <c r="CE130" s="6"/>
      <c r="CF130" s="6"/>
      <c r="CG130" s="7">
        <f>ROUND(38169.92,2)</f>
        <v>38169.919999999998</v>
      </c>
      <c r="CH130" s="6"/>
      <c r="CI130" s="6"/>
      <c r="CJ130" s="7">
        <f>ROUND(8331.98,2)</f>
        <v>8331.98</v>
      </c>
      <c r="CK130" s="6"/>
      <c r="CL130" s="6"/>
      <c r="CM130" s="6"/>
      <c r="CN130" s="6"/>
      <c r="CO130" s="7">
        <f>ROUND(1520.8,2)</f>
        <v>1520.8</v>
      </c>
      <c r="CP130" s="7">
        <f>ROUND(392.48,2)</f>
        <v>392.48</v>
      </c>
      <c r="CQ130" s="7">
        <f>ROUND(302.809999999999,2)</f>
        <v>302.81</v>
      </c>
      <c r="CR130" s="7">
        <f>ROUND(107.59,2)</f>
        <v>107.59</v>
      </c>
      <c r="CS130" s="6"/>
      <c r="CT130" s="6"/>
      <c r="CU130" s="6"/>
      <c r="CV130" s="6"/>
      <c r="CW130" s="7">
        <f>ROUND(2029.62,2)</f>
        <v>2029.62</v>
      </c>
      <c r="CX130" s="7">
        <f>ROUND(178.05,2)</f>
        <v>178.05</v>
      </c>
      <c r="CY130" s="6"/>
      <c r="CZ130" s="6"/>
      <c r="DA130" s="7">
        <f>ROUND(10149.57,2)</f>
        <v>10149.57</v>
      </c>
      <c r="DB130" s="7">
        <f>ROUND(1200.49,2)</f>
        <v>1200.49</v>
      </c>
      <c r="DC130" s="7">
        <f>ROUND(2264.32,2)</f>
        <v>2264.3200000000002</v>
      </c>
      <c r="DD130" s="6"/>
      <c r="DE130" s="7">
        <f>ROUND(2264.32,2)</f>
        <v>2264.3200000000002</v>
      </c>
      <c r="DF130" s="6"/>
      <c r="DG130" s="6"/>
      <c r="DH130" s="6"/>
      <c r="DI130" s="7">
        <f>ROUND(222.24,2)</f>
        <v>222.24</v>
      </c>
      <c r="DJ130" s="6"/>
      <c r="DK130" s="6"/>
      <c r="DL130" s="6"/>
      <c r="DM130" s="6"/>
      <c r="DN130" s="6"/>
      <c r="DO130" s="6"/>
      <c r="DP130" s="6"/>
      <c r="DQ130" s="6"/>
      <c r="DR130" s="7">
        <f>ROUND(500,2)</f>
        <v>500</v>
      </c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7">
        <f>ROUND(825,2)</f>
        <v>825</v>
      </c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7">
        <f>ROUND(1250,2)</f>
        <v>1250</v>
      </c>
      <c r="ER130" s="6"/>
      <c r="ES130" s="6"/>
      <c r="ET130" s="6"/>
      <c r="EU130" s="6"/>
      <c r="EV130" s="7">
        <f>ROUND(69709.1899999999,2)</f>
        <v>69709.19</v>
      </c>
    </row>
    <row r="131" spans="1:152">
      <c r="A131" s="4" t="s">
        <v>440</v>
      </c>
      <c r="B131" s="4" t="s">
        <v>1058</v>
      </c>
      <c r="C131" s="5" t="s">
        <v>152</v>
      </c>
      <c r="D131" s="5" t="s">
        <v>353</v>
      </c>
      <c r="E131" s="5" t="s">
        <v>0</v>
      </c>
      <c r="F131" s="5" t="s">
        <v>0</v>
      </c>
      <c r="G131" s="5" t="s">
        <v>155</v>
      </c>
      <c r="H131" s="10">
        <v>30.4</v>
      </c>
      <c r="I131" s="6"/>
      <c r="J131" s="6"/>
      <c r="K131" s="6"/>
      <c r="L131" s="6"/>
      <c r="M131" s="7">
        <f>ROUND(1283.28,2)</f>
        <v>1283.28</v>
      </c>
      <c r="N131" s="6"/>
      <c r="O131" s="6"/>
      <c r="P131" s="7">
        <f>ROUND(413.18,2)</f>
        <v>413.18</v>
      </c>
      <c r="Q131" s="6"/>
      <c r="R131" s="6"/>
      <c r="S131" s="6"/>
      <c r="T131" s="6"/>
      <c r="U131" s="7">
        <f>ROUND(46.5,2)</f>
        <v>46.5</v>
      </c>
      <c r="V131" s="7">
        <f>ROUND(9.97,2)</f>
        <v>9.9700000000000006</v>
      </c>
      <c r="W131" s="7">
        <f>ROUND(7.06,2)</f>
        <v>7.06</v>
      </c>
      <c r="X131" s="7">
        <f>ROUND(2.07,2)</f>
        <v>2.0699999999999998</v>
      </c>
      <c r="Y131" s="7">
        <f>ROUND(0.42,2)</f>
        <v>0.42</v>
      </c>
      <c r="Z131" s="6"/>
      <c r="AA131" s="6"/>
      <c r="AB131" s="6"/>
      <c r="AC131" s="7">
        <f>ROUND(116.92,2)</f>
        <v>116.92</v>
      </c>
      <c r="AD131" s="7">
        <f>ROUND(24,2)</f>
        <v>24</v>
      </c>
      <c r="AE131" s="6"/>
      <c r="AF131" s="7">
        <f>ROUND(442.71,2)</f>
        <v>442.71</v>
      </c>
      <c r="AG131" s="7">
        <f>ROUND(64.37,2)</f>
        <v>64.37</v>
      </c>
      <c r="AH131" s="7">
        <f>ROUND(88,2)</f>
        <v>88</v>
      </c>
      <c r="AI131" s="6"/>
      <c r="AJ131" s="7">
        <f>ROUND(80,2)</f>
        <v>80</v>
      </c>
      <c r="AK131" s="6"/>
      <c r="AL131" s="7">
        <f>ROUND(8,2)</f>
        <v>8</v>
      </c>
      <c r="AM131" s="6"/>
      <c r="AN131" s="6"/>
      <c r="AO131" s="6"/>
      <c r="AP131" s="7">
        <f>ROUND(32.8799999999999,2)</f>
        <v>32.880000000000003</v>
      </c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7">
        <f>ROUND(1.08,2)</f>
        <v>1.08</v>
      </c>
      <c r="BE131" s="6"/>
      <c r="BF131" s="6"/>
      <c r="BG131" s="6"/>
      <c r="BH131" s="6"/>
      <c r="BI131" s="6"/>
      <c r="BJ131" s="6"/>
      <c r="BK131" s="6"/>
      <c r="BL131" s="6"/>
      <c r="BM131" s="7">
        <f>ROUND(8,2)</f>
        <v>8</v>
      </c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7">
        <f>ROUND(40,2)</f>
        <v>40</v>
      </c>
      <c r="CB131" s="7">
        <f>ROUND(2668.43999999999,2)</f>
        <v>2668.44</v>
      </c>
      <c r="CC131" s="6"/>
      <c r="CD131" s="6"/>
      <c r="CE131" s="6"/>
      <c r="CF131" s="6"/>
      <c r="CG131" s="7">
        <f>ROUND(36241.81,2)</f>
        <v>36241.81</v>
      </c>
      <c r="CH131" s="6"/>
      <c r="CI131" s="6"/>
      <c r="CJ131" s="7">
        <f>ROUND(17544.02,2)</f>
        <v>17544.02</v>
      </c>
      <c r="CK131" s="6"/>
      <c r="CL131" s="6"/>
      <c r="CM131" s="6"/>
      <c r="CN131" s="6"/>
      <c r="CO131" s="7">
        <f>ROUND(1321.61,2)</f>
        <v>1321.61</v>
      </c>
      <c r="CP131" s="7">
        <f>ROUND(415.45,2)</f>
        <v>415.45</v>
      </c>
      <c r="CQ131" s="7">
        <f>ROUND(204.19,2)</f>
        <v>204.19</v>
      </c>
      <c r="CR131" s="7">
        <f>ROUND(86.26,2)</f>
        <v>86.26</v>
      </c>
      <c r="CS131" s="7">
        <f>ROUND(25.54,2)</f>
        <v>25.54</v>
      </c>
      <c r="CT131" s="6"/>
      <c r="CU131" s="6"/>
      <c r="CV131" s="6"/>
      <c r="CW131" s="7">
        <f>ROUND(3252.5,2)</f>
        <v>3252.5</v>
      </c>
      <c r="CX131" s="7">
        <f>ROUND(1031.83,2)</f>
        <v>1031.83</v>
      </c>
      <c r="CY131" s="6"/>
      <c r="CZ131" s="6"/>
      <c r="DA131" s="7">
        <f>ROUND(12358.83,2)</f>
        <v>12358.83</v>
      </c>
      <c r="DB131" s="7">
        <f>ROUND(2685.93,2)</f>
        <v>2685.93</v>
      </c>
      <c r="DC131" s="7">
        <f>ROUND(2549.43999999999,2)</f>
        <v>2549.44</v>
      </c>
      <c r="DD131" s="6"/>
      <c r="DE131" s="7">
        <f>ROUND(2243.36,2)</f>
        <v>2243.36</v>
      </c>
      <c r="DF131" s="6"/>
      <c r="DG131" s="7">
        <f>ROUND(50,2)</f>
        <v>50</v>
      </c>
      <c r="DH131" s="6"/>
      <c r="DI131" s="7">
        <f>ROUND(222.24,2)</f>
        <v>222.24</v>
      </c>
      <c r="DJ131" s="6"/>
      <c r="DK131" s="6"/>
      <c r="DL131" s="6"/>
      <c r="DM131" s="7">
        <f>ROUND(913.41,2)</f>
        <v>913.41</v>
      </c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7">
        <f>ROUND(1275,2)</f>
        <v>1275</v>
      </c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7">
        <f>ROUND(1250,2)</f>
        <v>1250</v>
      </c>
      <c r="ER131" s="6"/>
      <c r="ES131" s="6"/>
      <c r="ET131" s="6"/>
      <c r="EU131" s="7">
        <f>ROUND(1216,2)</f>
        <v>1216</v>
      </c>
      <c r="EV131" s="7">
        <f>ROUND(84887.4199999999,2)</f>
        <v>84887.42</v>
      </c>
    </row>
    <row r="132" spans="1:152" ht="24">
      <c r="A132" s="4" t="s">
        <v>441</v>
      </c>
      <c r="B132" s="4"/>
      <c r="C132" s="5" t="s">
        <v>253</v>
      </c>
      <c r="D132" s="5" t="s">
        <v>442</v>
      </c>
      <c r="E132" s="5" t="s">
        <v>0</v>
      </c>
      <c r="F132" s="5" t="s">
        <v>0</v>
      </c>
      <c r="G132" s="5" t="s">
        <v>443</v>
      </c>
      <c r="H132" s="10">
        <v>911.16</v>
      </c>
      <c r="I132" s="7">
        <f>ROUND(1477,2)</f>
        <v>1477</v>
      </c>
      <c r="J132" s="7">
        <f>ROUND(39.75,2)</f>
        <v>39.75</v>
      </c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7">
        <f>ROUND(8.5,2)</f>
        <v>8.5</v>
      </c>
      <c r="AJ132" s="6"/>
      <c r="AK132" s="7">
        <f>ROUND(16,2)</f>
        <v>16</v>
      </c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7">
        <f>ROUND(30.75,2)</f>
        <v>30.75</v>
      </c>
      <c r="BI132" s="6"/>
      <c r="BJ132" s="6"/>
      <c r="BK132" s="6"/>
      <c r="BL132" s="6"/>
      <c r="BM132" s="6"/>
      <c r="BN132" s="6"/>
      <c r="BO132" s="6"/>
      <c r="BP132" s="6"/>
      <c r="BQ132" s="6"/>
      <c r="BR132" s="7">
        <f>ROUND(20,2)</f>
        <v>20</v>
      </c>
      <c r="BS132" s="6"/>
      <c r="BT132" s="7">
        <f>ROUND(40,2)</f>
        <v>40</v>
      </c>
      <c r="BU132" s="7">
        <f>ROUND(41.5,2)</f>
        <v>41.5</v>
      </c>
      <c r="BV132" s="6"/>
      <c r="BW132" s="6"/>
      <c r="BX132" s="7">
        <f>ROUND(72,2)</f>
        <v>72</v>
      </c>
      <c r="BY132" s="7">
        <f>ROUND(80,2)</f>
        <v>80</v>
      </c>
      <c r="BZ132" s="6"/>
      <c r="CA132" s="6"/>
      <c r="CB132" s="7">
        <f>ROUND(1825.5,2)</f>
        <v>1825.5</v>
      </c>
      <c r="CC132" s="7">
        <f>ROUND(36506.68,2)</f>
        <v>36506.68</v>
      </c>
      <c r="CD132" s="7">
        <f>ROUND(1170.18,2)</f>
        <v>1170.18</v>
      </c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7">
        <f>ROUND(164.89,2)</f>
        <v>164.89</v>
      </c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7">
        <f>ROUND(500,2)</f>
        <v>500</v>
      </c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7">
        <f>ROUND(605.51,2)</f>
        <v>605.51</v>
      </c>
      <c r="EE132" s="7">
        <f>ROUND(2186.88,2)</f>
        <v>2186.88</v>
      </c>
      <c r="EF132" s="7">
        <f>ROUND(370.8,2)</f>
        <v>370.8</v>
      </c>
      <c r="EG132" s="7">
        <f>ROUND(616.64,2)</f>
        <v>616.64</v>
      </c>
      <c r="EH132" s="7">
        <f>ROUND(797.569999999999,2)</f>
        <v>797.57</v>
      </c>
      <c r="EI132" s="6"/>
      <c r="EJ132" s="6"/>
      <c r="EK132" s="6"/>
      <c r="EL132" s="6"/>
      <c r="EM132" s="6"/>
      <c r="EN132" s="7">
        <f>ROUND(1308.8,2)</f>
        <v>1308.8</v>
      </c>
      <c r="EO132" s="6"/>
      <c r="EP132" s="6"/>
      <c r="EQ132" s="6"/>
      <c r="ER132" s="6"/>
      <c r="ES132" s="7">
        <f>ROUND(1483.19999999999,2)</f>
        <v>1483.2</v>
      </c>
      <c r="ET132" s="6"/>
      <c r="EU132" s="6"/>
      <c r="EV132" s="7">
        <f>ROUND(45711.15,2)</f>
        <v>45711.15</v>
      </c>
    </row>
    <row r="133" spans="1:152">
      <c r="A133" s="4" t="s">
        <v>444</v>
      </c>
      <c r="B133" s="4" t="s">
        <v>1058</v>
      </c>
      <c r="C133" s="5" t="s">
        <v>211</v>
      </c>
      <c r="D133" s="5" t="s">
        <v>445</v>
      </c>
      <c r="E133" s="5" t="s">
        <v>446</v>
      </c>
      <c r="F133" s="5" t="s">
        <v>0</v>
      </c>
      <c r="G133" s="5" t="s">
        <v>213</v>
      </c>
      <c r="H133" s="10">
        <v>17.649999999999999</v>
      </c>
      <c r="I133" s="6"/>
      <c r="J133" s="6"/>
      <c r="K133" s="6"/>
      <c r="L133" s="6"/>
      <c r="M133" s="6"/>
      <c r="N133" s="6"/>
      <c r="O133" s="6"/>
      <c r="P133" s="6"/>
      <c r="Q133" s="7">
        <f>ROUND(80,2)</f>
        <v>80</v>
      </c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7">
        <f>ROUND(7,2)</f>
        <v>7</v>
      </c>
      <c r="BE133" s="6"/>
      <c r="BF133" s="6"/>
      <c r="BG133" s="6"/>
      <c r="BH133" s="6"/>
      <c r="BI133" s="6"/>
      <c r="BJ133" s="6"/>
      <c r="BK133" s="6"/>
      <c r="BL133" s="6"/>
      <c r="BM133" s="7">
        <f>ROUND(16,2)</f>
        <v>16</v>
      </c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7">
        <f>ROUND(103,2)</f>
        <v>103</v>
      </c>
      <c r="CC133" s="6"/>
      <c r="CD133" s="6"/>
      <c r="CE133" s="6"/>
      <c r="CF133" s="6"/>
      <c r="CG133" s="6"/>
      <c r="CH133" s="6"/>
      <c r="CI133" s="6"/>
      <c r="CJ133" s="6"/>
      <c r="CK133" s="7">
        <f>ROUND(1410.8,2)</f>
        <v>1410.8</v>
      </c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7">
        <f>ROUND(1410.8,2)</f>
        <v>1410.8</v>
      </c>
    </row>
    <row r="134" spans="1:152">
      <c r="A134" s="4" t="s">
        <v>447</v>
      </c>
      <c r="B134" s="4" t="s">
        <v>1058</v>
      </c>
      <c r="C134" s="5" t="s">
        <v>211</v>
      </c>
      <c r="D134" s="5" t="s">
        <v>448</v>
      </c>
      <c r="E134" s="5" t="s">
        <v>449</v>
      </c>
      <c r="F134" s="5" t="s">
        <v>0</v>
      </c>
      <c r="G134" s="5" t="s">
        <v>213</v>
      </c>
      <c r="H134" s="10">
        <v>27.37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7">
        <f>ROUND(1424,2)</f>
        <v>1424</v>
      </c>
      <c r="BD134" s="6"/>
      <c r="BE134" s="6"/>
      <c r="BF134" s="6"/>
      <c r="BG134" s="6"/>
      <c r="BH134" s="7">
        <f>ROUND(32,2)</f>
        <v>32</v>
      </c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7">
        <f>ROUND(1456,2)</f>
        <v>1456</v>
      </c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</row>
    <row r="135" spans="1:152">
      <c r="A135" s="4" t="s">
        <v>450</v>
      </c>
      <c r="B135" s="4" t="s">
        <v>1058</v>
      </c>
      <c r="C135" s="5" t="s">
        <v>152</v>
      </c>
      <c r="D135" s="5" t="s">
        <v>310</v>
      </c>
      <c r="E135" s="5" t="s">
        <v>0</v>
      </c>
      <c r="F135" s="5" t="s">
        <v>0</v>
      </c>
      <c r="G135" s="5" t="s">
        <v>155</v>
      </c>
      <c r="H135" s="10">
        <v>30.4</v>
      </c>
      <c r="I135" s="6"/>
      <c r="J135" s="6"/>
      <c r="K135" s="6"/>
      <c r="L135" s="6"/>
      <c r="M135" s="7">
        <f>ROUND(1502.24,2)</f>
        <v>1502.24</v>
      </c>
      <c r="N135" s="6"/>
      <c r="O135" s="6"/>
      <c r="P135" s="7">
        <f>ROUND(329.16,2)</f>
        <v>329.16</v>
      </c>
      <c r="Q135" s="6"/>
      <c r="R135" s="6"/>
      <c r="S135" s="6"/>
      <c r="T135" s="7">
        <f>ROUND(0.33,2)</f>
        <v>0.33</v>
      </c>
      <c r="U135" s="6"/>
      <c r="V135" s="6"/>
      <c r="W135" s="6"/>
      <c r="X135" s="6"/>
      <c r="Y135" s="6"/>
      <c r="Z135" s="6"/>
      <c r="AA135" s="6"/>
      <c r="AB135" s="6"/>
      <c r="AC135" s="7">
        <f>ROUND(408.88,2)</f>
        <v>408.88</v>
      </c>
      <c r="AD135" s="7">
        <f>ROUND(2.18,2)</f>
        <v>2.1800000000000002</v>
      </c>
      <c r="AE135" s="6"/>
      <c r="AF135" s="6"/>
      <c r="AG135" s="6"/>
      <c r="AH135" s="7">
        <f>ROUND(96,2)</f>
        <v>96</v>
      </c>
      <c r="AI135" s="7">
        <f>ROUND(8,2)</f>
        <v>8</v>
      </c>
      <c r="AJ135" s="7">
        <f>ROUND(56,2)</f>
        <v>56</v>
      </c>
      <c r="AK135" s="6"/>
      <c r="AL135" s="7">
        <f>ROUND(8,2)</f>
        <v>8</v>
      </c>
      <c r="AM135" s="6"/>
      <c r="AN135" s="6"/>
      <c r="AO135" s="6"/>
      <c r="AP135" s="6"/>
      <c r="AQ135" s="7">
        <f>ROUND(8.88,2)</f>
        <v>8.8800000000000008</v>
      </c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7">
        <f>ROUND(0,2)</f>
        <v>0</v>
      </c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7">
        <f>ROUND(56,2)</f>
        <v>56</v>
      </c>
      <c r="CB135" s="7">
        <f>ROUND(2475.67,2)</f>
        <v>2475.67</v>
      </c>
      <c r="CC135" s="6"/>
      <c r="CD135" s="6"/>
      <c r="CE135" s="6"/>
      <c r="CF135" s="6"/>
      <c r="CG135" s="7">
        <f>ROUND(42385.09,2)</f>
        <v>42385.09</v>
      </c>
      <c r="CH135" s="6"/>
      <c r="CI135" s="6"/>
      <c r="CJ135" s="7">
        <f>ROUND(13879.59,2)</f>
        <v>13879.59</v>
      </c>
      <c r="CK135" s="6"/>
      <c r="CL135" s="6"/>
      <c r="CM135" s="6"/>
      <c r="CN135" s="7">
        <f>ROUND(18.33,2)</f>
        <v>18.329999999999998</v>
      </c>
      <c r="CO135" s="6"/>
      <c r="CP135" s="6"/>
      <c r="CQ135" s="6"/>
      <c r="CR135" s="6"/>
      <c r="CS135" s="6"/>
      <c r="CT135" s="6"/>
      <c r="CU135" s="6"/>
      <c r="CV135" s="6"/>
      <c r="CW135" s="7">
        <f>ROUND(11376.5499999999,2)</f>
        <v>11376.55</v>
      </c>
      <c r="CX135" s="7">
        <f>ROUND(99.41,2)</f>
        <v>99.41</v>
      </c>
      <c r="CY135" s="6"/>
      <c r="CZ135" s="6"/>
      <c r="DA135" s="6"/>
      <c r="DB135" s="6"/>
      <c r="DC135" s="7">
        <f>ROUND(2729.75999999999,2)</f>
        <v>2729.76</v>
      </c>
      <c r="DD135" s="6"/>
      <c r="DE135" s="7">
        <f>ROUND(1555.68,2)</f>
        <v>1555.68</v>
      </c>
      <c r="DF135" s="6"/>
      <c r="DG135" s="6"/>
      <c r="DH135" s="6"/>
      <c r="DI135" s="7">
        <f>ROUND(222.24,2)</f>
        <v>222.24</v>
      </c>
      <c r="DJ135" s="6"/>
      <c r="DK135" s="6"/>
      <c r="DL135" s="6"/>
      <c r="DM135" s="6"/>
      <c r="DN135" s="6"/>
      <c r="DO135" s="7">
        <f>ROUND(246.69,2)</f>
        <v>246.69</v>
      </c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7">
        <f>ROUND(2000,2)</f>
        <v>2000</v>
      </c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7">
        <f>ROUND(1250,2)</f>
        <v>1250</v>
      </c>
      <c r="ER135" s="6"/>
      <c r="ES135" s="6"/>
      <c r="ET135" s="6"/>
      <c r="EU135" s="7">
        <f>ROUND(1702.4,2)</f>
        <v>1702.4</v>
      </c>
      <c r="EV135" s="7">
        <f>ROUND(77465.74,2)</f>
        <v>77465.740000000005</v>
      </c>
    </row>
    <row r="136" spans="1:152" ht="24">
      <c r="A136" s="4" t="s">
        <v>451</v>
      </c>
      <c r="B136" s="4"/>
      <c r="C136" s="5" t="s">
        <v>430</v>
      </c>
      <c r="D136" s="5" t="s">
        <v>452</v>
      </c>
      <c r="E136" s="5" t="s">
        <v>0</v>
      </c>
      <c r="F136" s="5" t="s">
        <v>0</v>
      </c>
      <c r="G136" s="5" t="s">
        <v>453</v>
      </c>
      <c r="H136" s="10">
        <v>1705.44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7">
        <f>ROUND(22,2)</f>
        <v>22</v>
      </c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7">
        <f>ROUND(24,2)</f>
        <v>24</v>
      </c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7">
        <f>ROUND(32,2)</f>
        <v>32</v>
      </c>
      <c r="BU136" s="7">
        <f>ROUND(32,2)</f>
        <v>32</v>
      </c>
      <c r="BV136" s="6"/>
      <c r="BW136" s="6"/>
      <c r="BX136" s="6"/>
      <c r="BY136" s="7">
        <f>ROUND(136,2)</f>
        <v>136</v>
      </c>
      <c r="BZ136" s="6"/>
      <c r="CA136" s="6"/>
      <c r="CB136" s="7">
        <f>ROUND(246,2)</f>
        <v>246</v>
      </c>
      <c r="CC136" s="7">
        <f>ROUND(82342.46,2)</f>
        <v>82342.460000000006</v>
      </c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7">
        <f>ROUND(8250,2)</f>
        <v>8250</v>
      </c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7">
        <f>ROUND(4093.44,2)</f>
        <v>4093.44</v>
      </c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7">
        <f>ROUND(926.88,2)</f>
        <v>926.88</v>
      </c>
      <c r="ET136" s="6"/>
      <c r="EU136" s="6"/>
      <c r="EV136" s="7">
        <f>ROUND(95612.78,2)</f>
        <v>95612.78</v>
      </c>
    </row>
    <row r="137" spans="1:152">
      <c r="A137" s="4" t="s">
        <v>454</v>
      </c>
      <c r="B137" s="4" t="s">
        <v>1058</v>
      </c>
      <c r="C137" s="5" t="s">
        <v>152</v>
      </c>
      <c r="D137" s="5" t="s">
        <v>455</v>
      </c>
      <c r="E137" s="5" t="s">
        <v>0</v>
      </c>
      <c r="F137" s="5" t="s">
        <v>0</v>
      </c>
      <c r="G137" s="5" t="s">
        <v>155</v>
      </c>
      <c r="H137" s="10">
        <v>30.4</v>
      </c>
      <c r="I137" s="6"/>
      <c r="J137" s="6"/>
      <c r="K137" s="6"/>
      <c r="L137" s="6"/>
      <c r="M137" s="7">
        <f>ROUND(1819.87,2)</f>
        <v>1819.87</v>
      </c>
      <c r="N137" s="6"/>
      <c r="O137" s="6"/>
      <c r="P137" s="7">
        <f>ROUND(456.309999999999,2)</f>
        <v>456.31</v>
      </c>
      <c r="Q137" s="6"/>
      <c r="R137" s="6"/>
      <c r="S137" s="6"/>
      <c r="T137" s="6"/>
      <c r="U137" s="6"/>
      <c r="V137" s="7">
        <f>ROUND(20.21,2)</f>
        <v>20.21</v>
      </c>
      <c r="W137" s="6"/>
      <c r="X137" s="6"/>
      <c r="Y137" s="6"/>
      <c r="Z137" s="6"/>
      <c r="AA137" s="6"/>
      <c r="AB137" s="6"/>
      <c r="AC137" s="7">
        <f>ROUND(5.33,2)</f>
        <v>5.33</v>
      </c>
      <c r="AD137" s="7">
        <f>ROUND(2.67,2)</f>
        <v>2.67</v>
      </c>
      <c r="AE137" s="6"/>
      <c r="AF137" s="7">
        <f>ROUND(3.77,2)</f>
        <v>3.77</v>
      </c>
      <c r="AG137" s="7">
        <f>ROUND(14.98,2)</f>
        <v>14.98</v>
      </c>
      <c r="AH137" s="7">
        <f>ROUND(80,2)</f>
        <v>80</v>
      </c>
      <c r="AI137" s="6"/>
      <c r="AJ137" s="7">
        <f>ROUND(160,2)</f>
        <v>160</v>
      </c>
      <c r="AK137" s="6"/>
      <c r="AL137" s="7">
        <f>ROUND(8,2)</f>
        <v>8</v>
      </c>
      <c r="AM137" s="7">
        <f>ROUND(3.03,2)</f>
        <v>3.03</v>
      </c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7">
        <f>ROUND(5.67,2)</f>
        <v>5.67</v>
      </c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7">
        <f>ROUND(2579.84,2)</f>
        <v>2579.84</v>
      </c>
      <c r="CC137" s="6"/>
      <c r="CD137" s="6"/>
      <c r="CE137" s="6"/>
      <c r="CF137" s="6"/>
      <c r="CG137" s="7">
        <f>ROUND(51247.6699999999,2)</f>
        <v>51247.67</v>
      </c>
      <c r="CH137" s="6"/>
      <c r="CI137" s="6"/>
      <c r="CJ137" s="7">
        <f>ROUND(19310.74,2)</f>
        <v>19310.740000000002</v>
      </c>
      <c r="CK137" s="6"/>
      <c r="CL137" s="6"/>
      <c r="CM137" s="6"/>
      <c r="CN137" s="6"/>
      <c r="CO137" s="6"/>
      <c r="CP137" s="7">
        <f>ROUND(864.85,2)</f>
        <v>864.85</v>
      </c>
      <c r="CQ137" s="6"/>
      <c r="CR137" s="6"/>
      <c r="CS137" s="6"/>
      <c r="CT137" s="6"/>
      <c r="CU137" s="6"/>
      <c r="CV137" s="6"/>
      <c r="CW137" s="7">
        <f>ROUND(148.07,2)</f>
        <v>148.07</v>
      </c>
      <c r="CX137" s="7">
        <f>ROUND(111.26,2)</f>
        <v>111.26</v>
      </c>
      <c r="CY137" s="6"/>
      <c r="CZ137" s="6"/>
      <c r="DA137" s="7">
        <f>ROUND(105.09,2)</f>
        <v>105.09</v>
      </c>
      <c r="DB137" s="7">
        <f>ROUND(632.76,2)</f>
        <v>632.76</v>
      </c>
      <c r="DC137" s="7">
        <f>ROUND(2264.32,2)</f>
        <v>2264.3200000000002</v>
      </c>
      <c r="DD137" s="6"/>
      <c r="DE137" s="7">
        <f>ROUND(4444.79999999999,2)</f>
        <v>4444.8</v>
      </c>
      <c r="DF137" s="6"/>
      <c r="DG137" s="6"/>
      <c r="DH137" s="6"/>
      <c r="DI137" s="7">
        <f>ROUND(222.24,2)</f>
        <v>222.24</v>
      </c>
      <c r="DJ137" s="7">
        <f>ROUND(84.17,2)</f>
        <v>84.17</v>
      </c>
      <c r="DK137" s="6"/>
      <c r="DL137" s="6"/>
      <c r="DM137" s="6"/>
      <c r="DN137" s="6"/>
      <c r="DO137" s="6"/>
      <c r="DP137" s="6"/>
      <c r="DQ137" s="6"/>
      <c r="DR137" s="7">
        <f>ROUND(500,2)</f>
        <v>500</v>
      </c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7">
        <f>ROUND(1450,2)</f>
        <v>1450</v>
      </c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7">
        <f>ROUND(1250,2)</f>
        <v>1250</v>
      </c>
      <c r="ER137" s="6"/>
      <c r="ES137" s="6"/>
      <c r="ET137" s="6"/>
      <c r="EU137" s="6"/>
      <c r="EV137" s="7">
        <f>ROUND(82635.97,2)</f>
        <v>82635.97</v>
      </c>
    </row>
    <row r="138" spans="1:152" ht="24">
      <c r="A138" s="4" t="s">
        <v>456</v>
      </c>
      <c r="B138" s="4"/>
      <c r="C138" s="5" t="s">
        <v>285</v>
      </c>
      <c r="D138" s="5" t="s">
        <v>457</v>
      </c>
      <c r="E138" s="5" t="s">
        <v>0</v>
      </c>
      <c r="F138" s="5" t="s">
        <v>0</v>
      </c>
      <c r="G138" s="5" t="s">
        <v>458</v>
      </c>
      <c r="H138" s="10">
        <v>1611.75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7">
        <f>ROUND(24,2)</f>
        <v>24</v>
      </c>
      <c r="BI138" s="6"/>
      <c r="BJ138" s="6"/>
      <c r="BK138" s="6"/>
      <c r="BL138" s="6"/>
      <c r="BM138" s="6"/>
      <c r="BN138" s="6"/>
      <c r="BO138" s="6"/>
      <c r="BP138" s="6"/>
      <c r="BQ138" s="6"/>
      <c r="BR138" s="7">
        <f>ROUND(8,2)</f>
        <v>8</v>
      </c>
      <c r="BS138" s="6"/>
      <c r="BT138" s="7">
        <f>ROUND(32,2)</f>
        <v>32</v>
      </c>
      <c r="BU138" s="7">
        <f>ROUND(32,2)</f>
        <v>32</v>
      </c>
      <c r="BV138" s="6"/>
      <c r="BW138" s="6"/>
      <c r="BX138" s="6"/>
      <c r="BY138" s="7">
        <f>ROUND(72,2)</f>
        <v>72</v>
      </c>
      <c r="BZ138" s="6"/>
      <c r="CA138" s="6"/>
      <c r="CB138" s="7">
        <f>ROUND(168,2)</f>
        <v>168</v>
      </c>
      <c r="CC138" s="7">
        <f>ROUND(73708.63,2)</f>
        <v>73708.63</v>
      </c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7">
        <f>ROUND(3867.84,2)</f>
        <v>3867.84</v>
      </c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7">
        <f>ROUND(77576.47,2)</f>
        <v>77576.47</v>
      </c>
    </row>
    <row r="139" spans="1:152" ht="24">
      <c r="A139" s="4" t="s">
        <v>459</v>
      </c>
      <c r="B139" s="4"/>
      <c r="C139" s="5" t="s">
        <v>178</v>
      </c>
      <c r="D139" s="5" t="s">
        <v>460</v>
      </c>
      <c r="E139" s="5" t="s">
        <v>0</v>
      </c>
      <c r="F139" s="5" t="s">
        <v>0</v>
      </c>
      <c r="G139" s="5" t="s">
        <v>248</v>
      </c>
      <c r="H139" s="10">
        <v>19.100000000000001</v>
      </c>
      <c r="I139" s="7">
        <f>ROUND(778,2)</f>
        <v>778</v>
      </c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7">
        <f>ROUND(15,2)</f>
        <v>15</v>
      </c>
      <c r="BU139" s="7">
        <f>ROUND(20,2)</f>
        <v>20</v>
      </c>
      <c r="BV139" s="7">
        <f>ROUND(8,2)</f>
        <v>8</v>
      </c>
      <c r="BW139" s="6"/>
      <c r="BX139" s="6"/>
      <c r="BY139" s="7">
        <f>ROUND(40,2)</f>
        <v>40</v>
      </c>
      <c r="BZ139" s="6"/>
      <c r="CA139" s="6"/>
      <c r="CB139" s="7">
        <f>ROUND(861,2)</f>
        <v>861</v>
      </c>
      <c r="CC139" s="7">
        <f>ROUND(13209.1799999999,2)</f>
        <v>13209.18</v>
      </c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7">
        <f>ROUND(916.8,2)</f>
        <v>916.8</v>
      </c>
      <c r="EF139" s="6"/>
      <c r="EG139" s="7">
        <f>ROUND(257.65,2)</f>
        <v>257.64999999999998</v>
      </c>
      <c r="EH139" s="7">
        <f>ROUND(340.7,2)</f>
        <v>340.7</v>
      </c>
      <c r="EI139" s="7">
        <f>ROUND(186.36,2)</f>
        <v>186.36</v>
      </c>
      <c r="EJ139" s="6"/>
      <c r="EK139" s="6"/>
      <c r="EL139" s="6"/>
      <c r="EM139" s="6"/>
      <c r="EN139" s="6"/>
      <c r="EO139" s="6"/>
      <c r="EP139" s="6"/>
      <c r="EQ139" s="6"/>
      <c r="ER139" s="6"/>
      <c r="ES139" s="7">
        <f>ROUND(724.15,2)</f>
        <v>724.15</v>
      </c>
      <c r="ET139" s="6"/>
      <c r="EU139" s="6"/>
      <c r="EV139" s="7">
        <f>ROUND(15634.8399999999,2)</f>
        <v>15634.84</v>
      </c>
    </row>
    <row r="140" spans="1:152">
      <c r="A140" s="4" t="s">
        <v>461</v>
      </c>
      <c r="B140" s="4"/>
      <c r="C140" s="5" t="s">
        <v>277</v>
      </c>
      <c r="D140" s="5" t="s">
        <v>462</v>
      </c>
      <c r="E140" s="5" t="s">
        <v>0</v>
      </c>
      <c r="F140" s="5" t="s">
        <v>0</v>
      </c>
      <c r="G140" s="5" t="s">
        <v>463</v>
      </c>
      <c r="H140" s="10">
        <v>2646.91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7">
        <f>ROUND(24,2)</f>
        <v>24</v>
      </c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7">
        <f>ROUND(32,2)</f>
        <v>32</v>
      </c>
      <c r="BU140" s="7">
        <f>ROUND(48,2)</f>
        <v>48</v>
      </c>
      <c r="BV140" s="6"/>
      <c r="BW140" s="6"/>
      <c r="BX140" s="6"/>
      <c r="BY140" s="7">
        <f>ROUND(56,2)</f>
        <v>56</v>
      </c>
      <c r="BZ140" s="6"/>
      <c r="CA140" s="6"/>
      <c r="CB140" s="7">
        <f>ROUND(160,2)</f>
        <v>160</v>
      </c>
      <c r="CC140" s="7">
        <f>ROUND(131099.18,2)</f>
        <v>131099.18</v>
      </c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7">
        <f>ROUND(6352.32,2)</f>
        <v>6352.32</v>
      </c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7">
        <f>ROUND(137451.5,2)</f>
        <v>137451.5</v>
      </c>
    </row>
    <row r="141" spans="1:152">
      <c r="A141" s="4" t="s">
        <v>464</v>
      </c>
      <c r="B141" s="4" t="s">
        <v>1058</v>
      </c>
      <c r="C141" s="5" t="s">
        <v>211</v>
      </c>
      <c r="D141" s="5" t="s">
        <v>465</v>
      </c>
      <c r="E141" s="5" t="s">
        <v>0</v>
      </c>
      <c r="F141" s="5" t="s">
        <v>0</v>
      </c>
      <c r="G141" s="5" t="s">
        <v>466</v>
      </c>
      <c r="H141" s="10">
        <v>35.200000000000003</v>
      </c>
      <c r="I141" s="6"/>
      <c r="J141" s="6"/>
      <c r="K141" s="7">
        <f>ROUND(1864,2)</f>
        <v>1864</v>
      </c>
      <c r="L141" s="7">
        <f>ROUND(231.96,2)</f>
        <v>231.96</v>
      </c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7">
        <f>ROUND(88,2)</f>
        <v>88</v>
      </c>
      <c r="AI141" s="6"/>
      <c r="AJ141" s="7">
        <f>ROUND(112,2)</f>
        <v>112</v>
      </c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7">
        <f>ROUND(10.98,2)</f>
        <v>10.98</v>
      </c>
      <c r="BF141" s="6"/>
      <c r="BG141" s="6"/>
      <c r="BH141" s="6"/>
      <c r="BI141" s="6"/>
      <c r="BJ141" s="6"/>
      <c r="BK141" s="6"/>
      <c r="BL141" s="6"/>
      <c r="BM141" s="6"/>
      <c r="BN141" s="6"/>
      <c r="BO141" s="7">
        <f>ROUND(8,2)</f>
        <v>8</v>
      </c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7">
        <f>ROUND(48,2)</f>
        <v>48</v>
      </c>
      <c r="CB141" s="7">
        <f>ROUND(2362.93999999999,2)</f>
        <v>2362.94</v>
      </c>
      <c r="CC141" s="6"/>
      <c r="CD141" s="6"/>
      <c r="CE141" s="7">
        <f>ROUND(60529.9,2)</f>
        <v>60529.9</v>
      </c>
      <c r="CF141" s="7">
        <f>ROUND(11207.7799999999,2)</f>
        <v>11207.78</v>
      </c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7">
        <f>ROUND(2936.79999999999,2)</f>
        <v>2936.8</v>
      </c>
      <c r="DD141" s="6"/>
      <c r="DE141" s="7">
        <f>ROUND(3694,2)</f>
        <v>3694</v>
      </c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7">
        <f>ROUND(1450,2)</f>
        <v>1450</v>
      </c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7">
        <f>ROUND(1250,2)</f>
        <v>1250</v>
      </c>
      <c r="ER141" s="6"/>
      <c r="ES141" s="6"/>
      <c r="ET141" s="6"/>
      <c r="EU141" s="7">
        <f>ROUND(1689.6,2)</f>
        <v>1689.6</v>
      </c>
      <c r="EV141" s="7">
        <f>ROUND(82758.08,2)</f>
        <v>82758.080000000002</v>
      </c>
    </row>
    <row r="142" spans="1:152">
      <c r="A142" s="4" t="s">
        <v>467</v>
      </c>
      <c r="B142" s="4" t="s">
        <v>1058</v>
      </c>
      <c r="C142" s="5" t="s">
        <v>152</v>
      </c>
      <c r="D142" s="5" t="s">
        <v>197</v>
      </c>
      <c r="E142" s="5" t="s">
        <v>0</v>
      </c>
      <c r="F142" s="5" t="s">
        <v>0</v>
      </c>
      <c r="G142" s="5" t="s">
        <v>155</v>
      </c>
      <c r="H142" s="10">
        <v>30.4</v>
      </c>
      <c r="I142" s="6"/>
      <c r="J142" s="6"/>
      <c r="K142" s="6"/>
      <c r="L142" s="6"/>
      <c r="M142" s="7">
        <f>ROUND(1481.57,2)</f>
        <v>1481.57</v>
      </c>
      <c r="N142" s="6"/>
      <c r="O142" s="6"/>
      <c r="P142" s="7">
        <f>ROUND(534.47,2)</f>
        <v>534.47</v>
      </c>
      <c r="Q142" s="6"/>
      <c r="R142" s="6"/>
      <c r="S142" s="6"/>
      <c r="T142" s="6"/>
      <c r="U142" s="7">
        <f>ROUND(22.09,2)</f>
        <v>22.09</v>
      </c>
      <c r="V142" s="7">
        <f>ROUND(20.75,2)</f>
        <v>20.75</v>
      </c>
      <c r="W142" s="7">
        <f>ROUND(2.06,2)</f>
        <v>2.06</v>
      </c>
      <c r="X142" s="7">
        <f>ROUND(0.83,2)</f>
        <v>0.83</v>
      </c>
      <c r="Y142" s="6"/>
      <c r="Z142" s="6"/>
      <c r="AA142" s="6"/>
      <c r="AB142" s="6"/>
      <c r="AC142" s="7">
        <f>ROUND(121.68,2)</f>
        <v>121.68</v>
      </c>
      <c r="AD142" s="7">
        <f>ROUND(6.65,2)</f>
        <v>6.65</v>
      </c>
      <c r="AE142" s="6"/>
      <c r="AF142" s="7">
        <f>ROUND(220.329999999999,2)</f>
        <v>220.33</v>
      </c>
      <c r="AG142" s="7">
        <f>ROUND(51.12,2)</f>
        <v>51.12</v>
      </c>
      <c r="AH142" s="7">
        <f>ROUND(80,2)</f>
        <v>80</v>
      </c>
      <c r="AI142" s="6"/>
      <c r="AJ142" s="7">
        <f>ROUND(104,2)</f>
        <v>104</v>
      </c>
      <c r="AK142" s="6"/>
      <c r="AL142" s="7">
        <f>ROUND(8,2)</f>
        <v>8</v>
      </c>
      <c r="AM142" s="7">
        <f>ROUND(2.17,2)</f>
        <v>2.17</v>
      </c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7">
        <f>ROUND(8,2)</f>
        <v>8</v>
      </c>
      <c r="BC142" s="7">
        <f>ROUND(24,2)</f>
        <v>24</v>
      </c>
      <c r="BD142" s="7">
        <f>ROUND(3,2)</f>
        <v>3</v>
      </c>
      <c r="BE142" s="7">
        <f>ROUND(16,2)</f>
        <v>16</v>
      </c>
      <c r="BF142" s="6"/>
      <c r="BG142" s="6"/>
      <c r="BH142" s="6"/>
      <c r="BI142" s="6"/>
      <c r="BJ142" s="6"/>
      <c r="BK142" s="6"/>
      <c r="BL142" s="6"/>
      <c r="BM142" s="7">
        <f>ROUND(14.67,2)</f>
        <v>14.67</v>
      </c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7">
        <f>ROUND(16,2)</f>
        <v>16</v>
      </c>
      <c r="CB142" s="7">
        <f>ROUND(2737.38999999999,2)</f>
        <v>2737.39</v>
      </c>
      <c r="CC142" s="6"/>
      <c r="CD142" s="6"/>
      <c r="CE142" s="6"/>
      <c r="CF142" s="6"/>
      <c r="CG142" s="7">
        <f>ROUND(41782.77,2)</f>
        <v>41782.769999999997</v>
      </c>
      <c r="CH142" s="6"/>
      <c r="CI142" s="6"/>
      <c r="CJ142" s="7">
        <f>ROUND(22484.51,2)</f>
        <v>22484.51</v>
      </c>
      <c r="CK142" s="6"/>
      <c r="CL142" s="6"/>
      <c r="CM142" s="6"/>
      <c r="CN142" s="6"/>
      <c r="CO142" s="7">
        <f>ROUND(614.28,2)</f>
        <v>614.28</v>
      </c>
      <c r="CP142" s="7">
        <f>ROUND(865.89,2)</f>
        <v>865.89</v>
      </c>
      <c r="CQ142" s="7">
        <f>ROUND(57.39,2)</f>
        <v>57.39</v>
      </c>
      <c r="CR142" s="7">
        <f>ROUND(34.59,2)</f>
        <v>34.590000000000003</v>
      </c>
      <c r="CS142" s="6"/>
      <c r="CT142" s="6"/>
      <c r="CU142" s="6"/>
      <c r="CV142" s="6"/>
      <c r="CW142" s="7">
        <f>ROUND(3469.17999999999,2)</f>
        <v>3469.18</v>
      </c>
      <c r="CX142" s="7">
        <f>ROUND(278.01,2)</f>
        <v>278.01</v>
      </c>
      <c r="CY142" s="6"/>
      <c r="CZ142" s="6"/>
      <c r="DA142" s="7">
        <f>ROUND(6142.5,2)</f>
        <v>6142.5</v>
      </c>
      <c r="DB142" s="7">
        <f>ROUND(2133.14,2)</f>
        <v>2133.14</v>
      </c>
      <c r="DC142" s="7">
        <f>ROUND(2264.32,2)</f>
        <v>2264.3200000000002</v>
      </c>
      <c r="DD142" s="6"/>
      <c r="DE142" s="7">
        <f>ROUND(2889.12,2)</f>
        <v>2889.12</v>
      </c>
      <c r="DF142" s="6"/>
      <c r="DG142" s="6"/>
      <c r="DH142" s="6"/>
      <c r="DI142" s="7">
        <f>ROUND(222.24,2)</f>
        <v>222.24</v>
      </c>
      <c r="DJ142" s="7">
        <f>ROUND(60.28,2)</f>
        <v>60.28</v>
      </c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7">
        <f>ROUND(1075,2)</f>
        <v>1075</v>
      </c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7">
        <f>ROUND(1250,2)</f>
        <v>1250</v>
      </c>
      <c r="ER142" s="6"/>
      <c r="ES142" s="6"/>
      <c r="ET142" s="6"/>
      <c r="EU142" s="7">
        <f>ROUND(486.4,2)</f>
        <v>486.4</v>
      </c>
      <c r="EV142" s="7">
        <f>ROUND(86109.62,2)</f>
        <v>86109.62</v>
      </c>
    </row>
    <row r="143" spans="1:152">
      <c r="A143" s="4" t="s">
        <v>468</v>
      </c>
      <c r="B143" s="4"/>
      <c r="C143" s="5" t="s">
        <v>273</v>
      </c>
      <c r="D143" s="5" t="s">
        <v>469</v>
      </c>
      <c r="E143" s="5" t="s">
        <v>0</v>
      </c>
      <c r="F143" s="5" t="s">
        <v>0</v>
      </c>
      <c r="G143" s="5" t="s">
        <v>470</v>
      </c>
      <c r="H143" s="10">
        <v>3530.77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7">
        <f>ROUND(32,2)</f>
        <v>32</v>
      </c>
      <c r="BU143" s="6"/>
      <c r="BV143" s="6"/>
      <c r="BW143" s="6"/>
      <c r="BX143" s="6"/>
      <c r="BY143" s="7">
        <f>ROUND(112,2)</f>
        <v>112</v>
      </c>
      <c r="BZ143" s="6"/>
      <c r="CA143" s="6"/>
      <c r="CB143" s="7">
        <f>ROUND(144,2)</f>
        <v>144</v>
      </c>
      <c r="CC143" s="7">
        <f>ROUND(183600.039999999,2)</f>
        <v>183600.04</v>
      </c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7">
        <f>ROUND(8473.92,2)</f>
        <v>8473.92</v>
      </c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7">
        <f>ROUND(192073.959999999,2)</f>
        <v>192073.96</v>
      </c>
    </row>
    <row r="144" spans="1:152">
      <c r="A144" s="4" t="s">
        <v>471</v>
      </c>
      <c r="B144" s="4" t="s">
        <v>1058</v>
      </c>
      <c r="C144" s="5" t="s">
        <v>152</v>
      </c>
      <c r="D144" s="5" t="s">
        <v>472</v>
      </c>
      <c r="E144" s="5" t="s">
        <v>0</v>
      </c>
      <c r="F144" s="5" t="s">
        <v>0</v>
      </c>
      <c r="G144" s="5" t="s">
        <v>155</v>
      </c>
      <c r="H144" s="10">
        <v>30.4</v>
      </c>
      <c r="I144" s="6"/>
      <c r="J144" s="6"/>
      <c r="K144" s="6"/>
      <c r="L144" s="6"/>
      <c r="M144" s="7">
        <f>ROUND(946.479999999999,2)</f>
        <v>946.48</v>
      </c>
      <c r="N144" s="6"/>
      <c r="O144" s="6"/>
      <c r="P144" s="7">
        <f>ROUND(233.34,2)</f>
        <v>233.34</v>
      </c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7">
        <f>ROUND(558.329999999999,2)</f>
        <v>558.33000000000004</v>
      </c>
      <c r="AD144" s="7">
        <f>ROUND(288.52,2)</f>
        <v>288.52</v>
      </c>
      <c r="AE144" s="6"/>
      <c r="AF144" s="6"/>
      <c r="AG144" s="6"/>
      <c r="AH144" s="7">
        <f>ROUND(82,2)</f>
        <v>82</v>
      </c>
      <c r="AI144" s="6"/>
      <c r="AJ144" s="7">
        <f>ROUND(232,2)</f>
        <v>232</v>
      </c>
      <c r="AK144" s="6"/>
      <c r="AL144" s="7">
        <f>ROUND(16.5,2)</f>
        <v>16.5</v>
      </c>
      <c r="AM144" s="7">
        <f>ROUND(2.84,2)</f>
        <v>2.84</v>
      </c>
      <c r="AN144" s="7">
        <f>ROUND(3,2)</f>
        <v>3</v>
      </c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7">
        <f>ROUND(224,2)</f>
        <v>224</v>
      </c>
      <c r="BD144" s="6"/>
      <c r="BE144" s="6"/>
      <c r="BF144" s="6"/>
      <c r="BG144" s="6"/>
      <c r="BH144" s="7">
        <f>ROUND(8,2)</f>
        <v>8</v>
      </c>
      <c r="BI144" s="6"/>
      <c r="BJ144" s="6"/>
      <c r="BK144" s="6"/>
      <c r="BL144" s="6"/>
      <c r="BM144" s="7">
        <f>ROUND(32,2)</f>
        <v>32</v>
      </c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7">
        <f>ROUND(8,2)</f>
        <v>8</v>
      </c>
      <c r="CB144" s="7">
        <f>ROUND(2635.00999999999,2)</f>
        <v>2635.01</v>
      </c>
      <c r="CC144" s="6"/>
      <c r="CD144" s="6"/>
      <c r="CE144" s="6"/>
      <c r="CF144" s="6"/>
      <c r="CG144" s="7">
        <f>ROUND(26448.78,2)</f>
        <v>26448.78</v>
      </c>
      <c r="CH144" s="6"/>
      <c r="CI144" s="6"/>
      <c r="CJ144" s="7">
        <f>ROUND(9812.24,2)</f>
        <v>9812.24</v>
      </c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7">
        <f>ROUND(16117.5799999999,2)</f>
        <v>16117.58</v>
      </c>
      <c r="CX144" s="7">
        <f>ROUND(12429.05,2)</f>
        <v>12429.05</v>
      </c>
      <c r="CY144" s="6"/>
      <c r="CZ144" s="6"/>
      <c r="DA144" s="6"/>
      <c r="DB144" s="6"/>
      <c r="DC144" s="7">
        <f>ROUND(2361.79999999999,2)</f>
        <v>2361.8000000000002</v>
      </c>
      <c r="DD144" s="6"/>
      <c r="DE144" s="7">
        <f>ROUND(6507.84,2)</f>
        <v>6507.84</v>
      </c>
      <c r="DF144" s="6"/>
      <c r="DG144" s="6"/>
      <c r="DH144" s="6"/>
      <c r="DI144" s="7">
        <f>ROUND(479.33,2)</f>
        <v>479.33</v>
      </c>
      <c r="DJ144" s="7">
        <f>ROUND(89.31,2)</f>
        <v>89.31</v>
      </c>
      <c r="DK144" s="7">
        <f>ROUND(136.8,2)</f>
        <v>136.80000000000001</v>
      </c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7">
        <f>ROUND(1250,2)</f>
        <v>1250</v>
      </c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7">
        <f>ROUND(954.48,2)</f>
        <v>954.48</v>
      </c>
      <c r="ER144" s="6"/>
      <c r="ES144" s="6"/>
      <c r="ET144" s="6"/>
      <c r="EU144" s="7">
        <f>ROUND(243.2,2)</f>
        <v>243.2</v>
      </c>
      <c r="EV144" s="7">
        <f>ROUND(76830.4099999999,2)</f>
        <v>76830.41</v>
      </c>
    </row>
    <row r="145" spans="1:152">
      <c r="A145" s="4" t="s">
        <v>473</v>
      </c>
      <c r="B145" s="4" t="s">
        <v>1058</v>
      </c>
      <c r="C145" s="5" t="s">
        <v>152</v>
      </c>
      <c r="D145" s="5" t="s">
        <v>160</v>
      </c>
      <c r="E145" s="5" t="s">
        <v>474</v>
      </c>
      <c r="F145" s="5" t="s">
        <v>0</v>
      </c>
      <c r="G145" s="5" t="s">
        <v>155</v>
      </c>
      <c r="H145" s="10">
        <v>17.649999999999999</v>
      </c>
      <c r="I145" s="6"/>
      <c r="J145" s="6"/>
      <c r="K145" s="6"/>
      <c r="L145" s="6"/>
      <c r="M145" s="6"/>
      <c r="N145" s="6"/>
      <c r="O145" s="6"/>
      <c r="P145" s="6"/>
      <c r="Q145" s="7">
        <f>ROUND(552,2)</f>
        <v>552</v>
      </c>
      <c r="R145" s="7">
        <f>ROUND(4,2)</f>
        <v>4</v>
      </c>
      <c r="S145" s="6"/>
      <c r="T145" s="6"/>
      <c r="U145" s="6"/>
      <c r="V145" s="6"/>
      <c r="W145" s="7">
        <f>ROUND(0.58,2)</f>
        <v>0.57999999999999996</v>
      </c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7">
        <f>ROUND(18,2)</f>
        <v>18</v>
      </c>
      <c r="AI145" s="6"/>
      <c r="AJ145" s="6"/>
      <c r="AK145" s="6"/>
      <c r="AL145" s="7">
        <f>ROUND(251.25,2)</f>
        <v>251.25</v>
      </c>
      <c r="AM145" s="6"/>
      <c r="AN145" s="7">
        <f>ROUND(2.68,2)</f>
        <v>2.68</v>
      </c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7">
        <f>ROUND(21,2)</f>
        <v>21</v>
      </c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7">
        <f>ROUND(849.51,2)</f>
        <v>849.51</v>
      </c>
      <c r="CC145" s="6"/>
      <c r="CD145" s="6"/>
      <c r="CE145" s="6"/>
      <c r="CF145" s="6"/>
      <c r="CG145" s="6"/>
      <c r="CH145" s="6"/>
      <c r="CI145" s="6"/>
      <c r="CJ145" s="6"/>
      <c r="CK145" s="7">
        <f>ROUND(9743.4,2)</f>
        <v>9743.4</v>
      </c>
      <c r="CL145" s="7">
        <f>ROUND(105.9,2)</f>
        <v>105.9</v>
      </c>
      <c r="CM145" s="6"/>
      <c r="CN145" s="6"/>
      <c r="CO145" s="6"/>
      <c r="CP145" s="6"/>
      <c r="CQ145" s="7">
        <f>ROUND(10.15,2)</f>
        <v>10.15</v>
      </c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7">
        <f>ROUND(227.5,2)</f>
        <v>227.5</v>
      </c>
      <c r="DD145" s="6"/>
      <c r="DE145" s="6"/>
      <c r="DF145" s="6"/>
      <c r="DG145" s="6"/>
      <c r="DH145" s="6"/>
      <c r="DI145" s="7">
        <f>ROUND(4396.88,2)</f>
        <v>4396.88</v>
      </c>
      <c r="DJ145" s="6"/>
      <c r="DK145" s="7">
        <f>ROUND(70.35,2)</f>
        <v>70.349999999999994</v>
      </c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7">
        <f>ROUND(14554.18,2)</f>
        <v>14554.18</v>
      </c>
    </row>
    <row r="146" spans="1:152">
      <c r="A146" s="4" t="s">
        <v>475</v>
      </c>
      <c r="B146" s="4" t="s">
        <v>1058</v>
      </c>
      <c r="C146" s="5" t="s">
        <v>152</v>
      </c>
      <c r="D146" s="5" t="s">
        <v>476</v>
      </c>
      <c r="E146" s="5" t="s">
        <v>0</v>
      </c>
      <c r="F146" s="5" t="s">
        <v>0</v>
      </c>
      <c r="G146" s="5" t="s">
        <v>155</v>
      </c>
      <c r="H146" s="10">
        <v>30.4</v>
      </c>
      <c r="I146" s="6"/>
      <c r="J146" s="6"/>
      <c r="K146" s="6"/>
      <c r="L146" s="6"/>
      <c r="M146" s="7">
        <f>ROUND(1613.13,2)</f>
        <v>1613.13</v>
      </c>
      <c r="N146" s="6"/>
      <c r="O146" s="6"/>
      <c r="P146" s="7">
        <f>ROUND(99.9899999999999,2)</f>
        <v>99.99</v>
      </c>
      <c r="Q146" s="6"/>
      <c r="R146" s="6"/>
      <c r="S146" s="6"/>
      <c r="T146" s="7">
        <f>ROUND(0.5,2)</f>
        <v>0.5</v>
      </c>
      <c r="U146" s="6"/>
      <c r="V146" s="6"/>
      <c r="W146" s="6"/>
      <c r="X146" s="6"/>
      <c r="Y146" s="6"/>
      <c r="Z146" s="6"/>
      <c r="AA146" s="6"/>
      <c r="AB146" s="6"/>
      <c r="AC146" s="7">
        <f>ROUND(48.33,2)</f>
        <v>48.33</v>
      </c>
      <c r="AD146" s="6"/>
      <c r="AE146" s="6"/>
      <c r="AF146" s="6"/>
      <c r="AG146" s="6"/>
      <c r="AH146" s="7">
        <f>ROUND(80,2)</f>
        <v>80</v>
      </c>
      <c r="AI146" s="6"/>
      <c r="AJ146" s="7">
        <f>ROUND(64,2)</f>
        <v>64</v>
      </c>
      <c r="AK146" s="6"/>
      <c r="AL146" s="7">
        <f>ROUND(8.5,2)</f>
        <v>8.5</v>
      </c>
      <c r="AM146" s="6"/>
      <c r="AN146" s="6"/>
      <c r="AO146" s="6"/>
      <c r="AP146" s="6"/>
      <c r="AQ146" s="6"/>
      <c r="AR146" s="6"/>
      <c r="AS146" s="6"/>
      <c r="AT146" s="7">
        <f>ROUND(8.73,2)</f>
        <v>8.73</v>
      </c>
      <c r="AU146" s="6"/>
      <c r="AV146" s="6"/>
      <c r="AW146" s="6"/>
      <c r="AX146" s="6"/>
      <c r="AY146" s="6"/>
      <c r="AZ146" s="6"/>
      <c r="BA146" s="6"/>
      <c r="BB146" s="7">
        <f>ROUND(24,2)</f>
        <v>24</v>
      </c>
      <c r="BC146" s="7">
        <f>ROUND(40,2)</f>
        <v>40</v>
      </c>
      <c r="BD146" s="7">
        <f>ROUND(6.74,2)</f>
        <v>6.74</v>
      </c>
      <c r="BE146" s="7">
        <f>ROUND(53.67,2)</f>
        <v>53.67</v>
      </c>
      <c r="BF146" s="7">
        <f>ROUND(98.52,2)</f>
        <v>98.52</v>
      </c>
      <c r="BG146" s="7">
        <f>ROUND(53.17,2)</f>
        <v>53.17</v>
      </c>
      <c r="BH146" s="7">
        <f>ROUND(8,2)</f>
        <v>8</v>
      </c>
      <c r="BI146" s="6"/>
      <c r="BJ146" s="7">
        <f>ROUND(8,2)</f>
        <v>8</v>
      </c>
      <c r="BK146" s="6"/>
      <c r="BL146" s="6"/>
      <c r="BM146" s="7">
        <f>ROUND(8,2)</f>
        <v>8</v>
      </c>
      <c r="BN146" s="7">
        <f>ROUND(8,2)</f>
        <v>8</v>
      </c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7">
        <f>ROUND(2231.27999999999,2)</f>
        <v>2231.2800000000002</v>
      </c>
      <c r="CC146" s="6"/>
      <c r="CD146" s="6"/>
      <c r="CE146" s="6"/>
      <c r="CF146" s="6"/>
      <c r="CG146" s="7">
        <f>ROUND(45479.5399999999,2)</f>
        <v>45479.54</v>
      </c>
      <c r="CH146" s="6"/>
      <c r="CI146" s="6"/>
      <c r="CJ146" s="7">
        <f>ROUND(4258.45999999999,2)</f>
        <v>4258.46</v>
      </c>
      <c r="CK146" s="6"/>
      <c r="CL146" s="6"/>
      <c r="CM146" s="6"/>
      <c r="CN146" s="7">
        <f>ROUND(27.78,2)</f>
        <v>27.78</v>
      </c>
      <c r="CO146" s="6"/>
      <c r="CP146" s="6"/>
      <c r="CQ146" s="6"/>
      <c r="CR146" s="6"/>
      <c r="CS146" s="6"/>
      <c r="CT146" s="6"/>
      <c r="CU146" s="6"/>
      <c r="CV146" s="6"/>
      <c r="CW146" s="7">
        <f>ROUND(1342.61,2)</f>
        <v>1342.61</v>
      </c>
      <c r="CX146" s="6"/>
      <c r="CY146" s="6"/>
      <c r="CZ146" s="6"/>
      <c r="DA146" s="6"/>
      <c r="DB146" s="6"/>
      <c r="DC146" s="7">
        <f>ROUND(2264.32,2)</f>
        <v>2264.3200000000002</v>
      </c>
      <c r="DD146" s="6"/>
      <c r="DE146" s="7">
        <f>ROUND(1798.88,2)</f>
        <v>1798.88</v>
      </c>
      <c r="DF146" s="6"/>
      <c r="DG146" s="6"/>
      <c r="DH146" s="6"/>
      <c r="DI146" s="7">
        <f>ROUND(236.13,2)</f>
        <v>236.13</v>
      </c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7">
        <f>ROUND(242.52,2)</f>
        <v>242.52</v>
      </c>
      <c r="DV146" s="6"/>
      <c r="DW146" s="6"/>
      <c r="DX146" s="6"/>
      <c r="DY146" s="6"/>
      <c r="DZ146" s="6"/>
      <c r="EA146" s="6"/>
      <c r="EB146" s="6"/>
      <c r="EC146" s="7">
        <f>ROUND(1555.68,2)</f>
        <v>1555.68</v>
      </c>
      <c r="ED146" s="6"/>
      <c r="EE146" s="7">
        <f>ROUND(325,2)</f>
        <v>325</v>
      </c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7">
        <f>ROUND(1121.76,2)</f>
        <v>1121.76</v>
      </c>
      <c r="ER146" s="6"/>
      <c r="ES146" s="6"/>
      <c r="ET146" s="6"/>
      <c r="EU146" s="6"/>
      <c r="EV146" s="7">
        <f>ROUND(58652.68,2)</f>
        <v>58652.68</v>
      </c>
    </row>
    <row r="147" spans="1:152">
      <c r="A147" s="4" t="s">
        <v>477</v>
      </c>
      <c r="B147" s="4" t="s">
        <v>1058</v>
      </c>
      <c r="C147" s="5" t="s">
        <v>152</v>
      </c>
      <c r="D147" s="5" t="s">
        <v>478</v>
      </c>
      <c r="E147" s="5" t="s">
        <v>0</v>
      </c>
      <c r="F147" s="5" t="s">
        <v>0</v>
      </c>
      <c r="G147" s="5" t="s">
        <v>155</v>
      </c>
      <c r="H147" s="10">
        <v>30.4</v>
      </c>
      <c r="I147" s="6"/>
      <c r="J147" s="6"/>
      <c r="K147" s="6"/>
      <c r="L147" s="6"/>
      <c r="M147" s="7">
        <f>ROUND(667.79,2)</f>
        <v>667.79</v>
      </c>
      <c r="N147" s="6"/>
      <c r="O147" s="6"/>
      <c r="P147" s="7">
        <f>ROUND(67.65,2)</f>
        <v>67.650000000000006</v>
      </c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7">
        <f>ROUND(48,2)</f>
        <v>48</v>
      </c>
      <c r="AI147" s="6"/>
      <c r="AJ147" s="7">
        <f>ROUND(200,2)</f>
        <v>200</v>
      </c>
      <c r="AK147" s="6"/>
      <c r="AL147" s="7">
        <f>ROUND(2,2)</f>
        <v>2</v>
      </c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7">
        <f>ROUND(8,2)</f>
        <v>8</v>
      </c>
      <c r="BC147" s="7">
        <f>ROUND(312,2)</f>
        <v>312</v>
      </c>
      <c r="BD147" s="7">
        <f>ROUND(3.67,2)</f>
        <v>3.67</v>
      </c>
      <c r="BE147" s="7">
        <f>ROUND(4,2)</f>
        <v>4</v>
      </c>
      <c r="BF147" s="6"/>
      <c r="BG147" s="6"/>
      <c r="BH147" s="7">
        <f>ROUND(40,2)</f>
        <v>40</v>
      </c>
      <c r="BI147" s="6"/>
      <c r="BJ147" s="6"/>
      <c r="BK147" s="6"/>
      <c r="BL147" s="6"/>
      <c r="BM147" s="7">
        <f>ROUND(32,2)</f>
        <v>32</v>
      </c>
      <c r="BN147" s="6"/>
      <c r="BO147" s="6"/>
      <c r="BP147" s="7">
        <f>ROUND(800,2)</f>
        <v>800</v>
      </c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7">
        <f>ROUND(2185.11,2)</f>
        <v>2185.11</v>
      </c>
      <c r="CC147" s="6"/>
      <c r="CD147" s="6"/>
      <c r="CE147" s="6"/>
      <c r="CF147" s="6"/>
      <c r="CG147" s="7">
        <f>ROUND(18588.94,2)</f>
        <v>18588.939999999999</v>
      </c>
      <c r="CH147" s="6"/>
      <c r="CI147" s="6"/>
      <c r="CJ147" s="7">
        <f>ROUND(2822.02,2)</f>
        <v>2822.02</v>
      </c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7">
        <f>ROUND(1333.44,2)</f>
        <v>1333.44</v>
      </c>
      <c r="DD147" s="6"/>
      <c r="DE147" s="7">
        <f>ROUND(5556,2)</f>
        <v>5556</v>
      </c>
      <c r="DF147" s="6"/>
      <c r="DG147" s="6"/>
      <c r="DH147" s="6"/>
      <c r="DI147" s="7">
        <f>ROUND(55.86,2)</f>
        <v>55.86</v>
      </c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7">
        <f>ROUND(325,2)</f>
        <v>325</v>
      </c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7">
        <f>ROUND(1111.92,2)</f>
        <v>1111.92</v>
      </c>
      <c r="ER147" s="6"/>
      <c r="ES147" s="6"/>
      <c r="ET147" s="6"/>
      <c r="EU147" s="6"/>
      <c r="EV147" s="7">
        <f>ROUND(29793.18,2)</f>
        <v>29793.18</v>
      </c>
    </row>
    <row r="148" spans="1:152" ht="24">
      <c r="A148" s="4" t="s">
        <v>479</v>
      </c>
      <c r="B148" s="4"/>
      <c r="C148" s="5" t="s">
        <v>285</v>
      </c>
      <c r="D148" s="5" t="s">
        <v>480</v>
      </c>
      <c r="E148" s="5" t="s">
        <v>481</v>
      </c>
      <c r="F148" s="5" t="s">
        <v>0</v>
      </c>
      <c r="G148" s="5" t="s">
        <v>287</v>
      </c>
      <c r="H148" s="10">
        <v>2378.87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7">
        <f>ROUND(24,2)</f>
        <v>24</v>
      </c>
      <c r="BZ148" s="6"/>
      <c r="CA148" s="6"/>
      <c r="CB148" s="7">
        <f>ROUND(24,2)</f>
        <v>24</v>
      </c>
      <c r="CC148" s="7">
        <f>ROUND(9515.48,2)</f>
        <v>9515.48</v>
      </c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7">
        <f>ROUND(40440.79,2)</f>
        <v>40440.79</v>
      </c>
      <c r="EQ148" s="6"/>
      <c r="ER148" s="6"/>
      <c r="ES148" s="6"/>
      <c r="ET148" s="6"/>
      <c r="EU148" s="6"/>
      <c r="EV148" s="7">
        <f>ROUND(49956.27,2)</f>
        <v>49956.27</v>
      </c>
    </row>
    <row r="149" spans="1:152">
      <c r="A149" s="4" t="s">
        <v>482</v>
      </c>
      <c r="B149" s="4" t="s">
        <v>1058</v>
      </c>
      <c r="C149" s="5" t="s">
        <v>211</v>
      </c>
      <c r="D149" s="5" t="s">
        <v>483</v>
      </c>
      <c r="E149" s="5" t="s">
        <v>0</v>
      </c>
      <c r="F149" s="5" t="s">
        <v>0</v>
      </c>
      <c r="G149" s="5" t="s">
        <v>213</v>
      </c>
      <c r="H149" s="10">
        <v>28</v>
      </c>
      <c r="I149" s="6"/>
      <c r="J149" s="6"/>
      <c r="K149" s="6"/>
      <c r="L149" s="6"/>
      <c r="M149" s="6"/>
      <c r="N149" s="6"/>
      <c r="O149" s="6"/>
      <c r="P149" s="6"/>
      <c r="Q149" s="7">
        <f>ROUND(1811.68,2)</f>
        <v>1811.68</v>
      </c>
      <c r="R149" s="7">
        <f>ROUND(365,2)</f>
        <v>365</v>
      </c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7">
        <f>ROUND(96,2)</f>
        <v>96</v>
      </c>
      <c r="AI149" s="6"/>
      <c r="AJ149" s="7">
        <f>ROUND(144,2)</f>
        <v>144</v>
      </c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7">
        <f>ROUND(36.32,2)</f>
        <v>36.32</v>
      </c>
      <c r="BD149" s="6"/>
      <c r="BE149" s="7">
        <f>ROUND(8,2)</f>
        <v>8</v>
      </c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7">
        <f>ROUND(16,2)</f>
        <v>16</v>
      </c>
      <c r="CB149" s="7">
        <f>ROUND(2477,2)</f>
        <v>2477</v>
      </c>
      <c r="CC149" s="6"/>
      <c r="CD149" s="6"/>
      <c r="CE149" s="6"/>
      <c r="CF149" s="6"/>
      <c r="CG149" s="6"/>
      <c r="CH149" s="6"/>
      <c r="CI149" s="6"/>
      <c r="CJ149" s="6"/>
      <c r="CK149" s="7">
        <f>ROUND(50008.08,2)</f>
        <v>50008.08</v>
      </c>
      <c r="CL149" s="7">
        <f>ROUND(15107.9299999999,2)</f>
        <v>15107.93</v>
      </c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7">
        <f>ROUND(2647.68,2)</f>
        <v>2647.68</v>
      </c>
      <c r="DD149" s="6"/>
      <c r="DE149" s="7">
        <f>ROUND(3946.32,2)</f>
        <v>3946.32</v>
      </c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7">
        <f>ROUND(1375,2)</f>
        <v>1375</v>
      </c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7">
        <f>ROUND(1250,2)</f>
        <v>1250</v>
      </c>
      <c r="ER149" s="6"/>
      <c r="ES149" s="6"/>
      <c r="ET149" s="6"/>
      <c r="EU149" s="7">
        <f>ROUND(448,2)</f>
        <v>448</v>
      </c>
      <c r="EV149" s="7">
        <f>ROUND(74783.01,2)</f>
        <v>74783.009999999995</v>
      </c>
    </row>
    <row r="150" spans="1:152">
      <c r="A150" s="4" t="s">
        <v>484</v>
      </c>
      <c r="B150" s="4" t="s">
        <v>1058</v>
      </c>
      <c r="C150" s="5" t="s">
        <v>152</v>
      </c>
      <c r="D150" s="5" t="s">
        <v>153</v>
      </c>
      <c r="E150" s="5" t="s">
        <v>0</v>
      </c>
      <c r="F150" s="5" t="s">
        <v>0</v>
      </c>
      <c r="G150" s="5" t="s">
        <v>155</v>
      </c>
      <c r="H150" s="10">
        <v>30.4</v>
      </c>
      <c r="I150" s="6"/>
      <c r="J150" s="6"/>
      <c r="K150" s="6"/>
      <c r="L150" s="6"/>
      <c r="M150" s="7">
        <f>ROUND(1271.78,2)</f>
        <v>1271.78</v>
      </c>
      <c r="N150" s="6"/>
      <c r="O150" s="6"/>
      <c r="P150" s="7">
        <f>ROUND(200.149999999999,2)</f>
        <v>200.15</v>
      </c>
      <c r="Q150" s="6"/>
      <c r="R150" s="6"/>
      <c r="S150" s="6"/>
      <c r="T150" s="6"/>
      <c r="U150" s="7">
        <f>ROUND(98.9,2)</f>
        <v>98.9</v>
      </c>
      <c r="V150" s="7">
        <f>ROUND(4.57,2)</f>
        <v>4.57</v>
      </c>
      <c r="W150" s="7">
        <f>ROUND(8.35,2)</f>
        <v>8.35</v>
      </c>
      <c r="X150" s="7">
        <f>ROUND(1.49,2)</f>
        <v>1.49</v>
      </c>
      <c r="Y150" s="6"/>
      <c r="Z150" s="6"/>
      <c r="AA150" s="6"/>
      <c r="AB150" s="6"/>
      <c r="AC150" s="7">
        <f>ROUND(130.85,2)</f>
        <v>130.85</v>
      </c>
      <c r="AD150" s="7">
        <f>ROUND(7.23,2)</f>
        <v>7.23</v>
      </c>
      <c r="AE150" s="6"/>
      <c r="AF150" s="7">
        <f>ROUND(350.619999999999,2)</f>
        <v>350.62</v>
      </c>
      <c r="AG150" s="7">
        <f>ROUND(43.26,2)</f>
        <v>43.26</v>
      </c>
      <c r="AH150" s="7">
        <f>ROUND(88,2)</f>
        <v>88</v>
      </c>
      <c r="AI150" s="6"/>
      <c r="AJ150" s="7">
        <f>ROUND(72,2)</f>
        <v>72</v>
      </c>
      <c r="AK150" s="6"/>
      <c r="AL150" s="7">
        <f>ROUND(16.5,2)</f>
        <v>16.5</v>
      </c>
      <c r="AM150" s="7">
        <f>ROUND(2.08,2)</f>
        <v>2.08</v>
      </c>
      <c r="AN150" s="6"/>
      <c r="AO150" s="6"/>
      <c r="AP150" s="6"/>
      <c r="AQ150" s="6"/>
      <c r="AR150" s="6"/>
      <c r="AS150" s="6"/>
      <c r="AT150" s="6"/>
      <c r="AU150" s="6"/>
      <c r="AV150" s="7">
        <f>ROUND(5.62,2)</f>
        <v>5.62</v>
      </c>
      <c r="AW150" s="7">
        <f>ROUND(5.38,2)</f>
        <v>5.38</v>
      </c>
      <c r="AX150" s="6"/>
      <c r="AY150" s="6"/>
      <c r="AZ150" s="6"/>
      <c r="BA150" s="6"/>
      <c r="BB150" s="6"/>
      <c r="BC150" s="7">
        <f>ROUND(32,2)</f>
        <v>32</v>
      </c>
      <c r="BD150" s="6"/>
      <c r="BE150" s="6"/>
      <c r="BF150" s="6"/>
      <c r="BG150" s="6"/>
      <c r="BH150" s="6"/>
      <c r="BI150" s="6"/>
      <c r="BJ150" s="6"/>
      <c r="BK150" s="6"/>
      <c r="BL150" s="6"/>
      <c r="BM150" s="7">
        <f>ROUND(8,2)</f>
        <v>8</v>
      </c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7">
        <f>ROUND(2346.78,2)</f>
        <v>2346.7800000000002</v>
      </c>
      <c r="CC150" s="6"/>
      <c r="CD150" s="6"/>
      <c r="CE150" s="6"/>
      <c r="CF150" s="6"/>
      <c r="CG150" s="7">
        <f>ROUND(30618.97,2)</f>
        <v>30618.97</v>
      </c>
      <c r="CH150" s="6"/>
      <c r="CI150" s="6"/>
      <c r="CJ150" s="7">
        <f>ROUND(7191.62,2)</f>
        <v>7191.62</v>
      </c>
      <c r="CK150" s="6"/>
      <c r="CL150" s="6"/>
      <c r="CM150" s="6"/>
      <c r="CN150" s="6"/>
      <c r="CO150" s="7">
        <f>ROUND(2312.56999999999,2)</f>
        <v>2312.5700000000002</v>
      </c>
      <c r="CP150" s="7">
        <f>ROUND(160.4,2)</f>
        <v>160.4</v>
      </c>
      <c r="CQ150" s="7">
        <f>ROUND(195.359999999999,2)</f>
        <v>195.36</v>
      </c>
      <c r="CR150" s="7">
        <f>ROUND(52.22,2)</f>
        <v>52.22</v>
      </c>
      <c r="CS150" s="6"/>
      <c r="CT150" s="6"/>
      <c r="CU150" s="6"/>
      <c r="CV150" s="6"/>
      <c r="CW150" s="7">
        <f>ROUND(3167.61999999999,2)</f>
        <v>3167.62</v>
      </c>
      <c r="CX150" s="7">
        <f>ROUND(253.06,2)</f>
        <v>253.06</v>
      </c>
      <c r="CY150" s="6"/>
      <c r="CZ150" s="6"/>
      <c r="DA150" s="7">
        <f>ROUND(8296.24,2)</f>
        <v>8296.24</v>
      </c>
      <c r="DB150" s="7">
        <f>ROUND(1520.51,2)</f>
        <v>1520.51</v>
      </c>
      <c r="DC150" s="7">
        <f>ROUND(2166.52,2)</f>
        <v>2166.52</v>
      </c>
      <c r="DD150" s="6"/>
      <c r="DE150" s="7">
        <f>ROUND(2132.27999999999,2)</f>
        <v>2132.2800000000002</v>
      </c>
      <c r="DF150" s="6"/>
      <c r="DG150" s="6"/>
      <c r="DH150" s="6"/>
      <c r="DI150" s="7">
        <f>ROUND(441.549999999999,2)</f>
        <v>441.55</v>
      </c>
      <c r="DJ150" s="7">
        <f>ROUND(72.81,2)</f>
        <v>72.81</v>
      </c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7">
        <f>ROUND(131.14,2)</f>
        <v>131.13999999999999</v>
      </c>
      <c r="DX150" s="7">
        <f>ROUND(188.31,2)</f>
        <v>188.31</v>
      </c>
      <c r="DY150" s="6"/>
      <c r="DZ150" s="6"/>
      <c r="EA150" s="6"/>
      <c r="EB150" s="6"/>
      <c r="EC150" s="6"/>
      <c r="ED150" s="6"/>
      <c r="EE150" s="7">
        <f>ROUND(2000,2)</f>
        <v>2000</v>
      </c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7">
        <f>ROUND(1250,2)</f>
        <v>1250</v>
      </c>
      <c r="ER150" s="6"/>
      <c r="ES150" s="6"/>
      <c r="ET150" s="6"/>
      <c r="EU150" s="6"/>
      <c r="EV150" s="7">
        <f>ROUND(62151.18,2)</f>
        <v>62151.18</v>
      </c>
    </row>
    <row r="151" spans="1:152">
      <c r="A151" s="4" t="s">
        <v>485</v>
      </c>
      <c r="B151" s="4" t="s">
        <v>1058</v>
      </c>
      <c r="C151" s="5" t="s">
        <v>152</v>
      </c>
      <c r="D151" s="5" t="s">
        <v>186</v>
      </c>
      <c r="E151" s="5" t="s">
        <v>486</v>
      </c>
      <c r="F151" s="5" t="s">
        <v>0</v>
      </c>
      <c r="G151" s="5" t="s">
        <v>155</v>
      </c>
      <c r="H151" s="10">
        <v>17.5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7">
        <f>ROUND(111.5,2)</f>
        <v>111.5</v>
      </c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7">
        <f>ROUND(5,2)</f>
        <v>5</v>
      </c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7">
        <f>ROUND(116.5,2)</f>
        <v>116.5</v>
      </c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7">
        <f>ROUND(1951.25,2)</f>
        <v>1951.25</v>
      </c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7">
        <f>ROUND(1951.25,2)</f>
        <v>1951.25</v>
      </c>
    </row>
    <row r="152" spans="1:152">
      <c r="A152" s="4" t="s">
        <v>487</v>
      </c>
      <c r="B152" s="4" t="s">
        <v>1058</v>
      </c>
      <c r="C152" s="5" t="s">
        <v>152</v>
      </c>
      <c r="D152" s="5" t="s">
        <v>325</v>
      </c>
      <c r="E152" s="5" t="s">
        <v>0</v>
      </c>
      <c r="F152" s="5" t="s">
        <v>0</v>
      </c>
      <c r="G152" s="5" t="s">
        <v>155</v>
      </c>
      <c r="H152" s="10">
        <v>30.4</v>
      </c>
      <c r="I152" s="6"/>
      <c r="J152" s="6"/>
      <c r="K152" s="6"/>
      <c r="L152" s="6"/>
      <c r="M152" s="7">
        <f>ROUND(1092.65999999999,2)</f>
        <v>1092.6600000000001</v>
      </c>
      <c r="N152" s="6"/>
      <c r="O152" s="6"/>
      <c r="P152" s="7">
        <f>ROUND(209.64,2)</f>
        <v>209.64</v>
      </c>
      <c r="Q152" s="6"/>
      <c r="R152" s="6"/>
      <c r="S152" s="6"/>
      <c r="T152" s="6"/>
      <c r="U152" s="7">
        <f>ROUND(48.76,2)</f>
        <v>48.76</v>
      </c>
      <c r="V152" s="7">
        <f>ROUND(5,2)</f>
        <v>5</v>
      </c>
      <c r="W152" s="7">
        <f>ROUND(14.87,2)</f>
        <v>14.87</v>
      </c>
      <c r="X152" s="7">
        <f>ROUND(2.82999999999999,2)</f>
        <v>2.83</v>
      </c>
      <c r="Y152" s="6"/>
      <c r="Z152" s="6"/>
      <c r="AA152" s="6"/>
      <c r="AB152" s="6"/>
      <c r="AC152" s="7">
        <f>ROUND(168.43,2)</f>
        <v>168.43</v>
      </c>
      <c r="AD152" s="7">
        <f>ROUND(9.05,2)</f>
        <v>9.0500000000000007</v>
      </c>
      <c r="AE152" s="6"/>
      <c r="AF152" s="7">
        <f>ROUND(563.39,2)</f>
        <v>563.39</v>
      </c>
      <c r="AG152" s="7">
        <f>ROUND(106.379999999999,2)</f>
        <v>106.38</v>
      </c>
      <c r="AH152" s="7">
        <f>ROUND(88,2)</f>
        <v>88</v>
      </c>
      <c r="AI152" s="6"/>
      <c r="AJ152" s="7">
        <f>ROUND(40,2)</f>
        <v>40</v>
      </c>
      <c r="AK152" s="6"/>
      <c r="AL152" s="7">
        <f>ROUND(16,2)</f>
        <v>16</v>
      </c>
      <c r="AM152" s="7">
        <f>ROUND(2.08,2)</f>
        <v>2.08</v>
      </c>
      <c r="AN152" s="6"/>
      <c r="AO152" s="6"/>
      <c r="AP152" s="7">
        <f>ROUND(24,2)</f>
        <v>24</v>
      </c>
      <c r="AQ152" s="6"/>
      <c r="AR152" s="7">
        <f>ROUND(2,2)</f>
        <v>2</v>
      </c>
      <c r="AS152" s="6"/>
      <c r="AT152" s="6"/>
      <c r="AU152" s="6"/>
      <c r="AV152" s="7">
        <f>ROUND(1.17,2)</f>
        <v>1.17</v>
      </c>
      <c r="AW152" s="7">
        <f>ROUND(5.91,2)</f>
        <v>5.91</v>
      </c>
      <c r="AX152" s="6"/>
      <c r="AY152" s="6"/>
      <c r="AZ152" s="6"/>
      <c r="BA152" s="6"/>
      <c r="BB152" s="7">
        <f>ROUND(24,2)</f>
        <v>24</v>
      </c>
      <c r="BC152" s="6"/>
      <c r="BD152" s="7">
        <f>ROUND(8,2)</f>
        <v>8</v>
      </c>
      <c r="BE152" s="7">
        <f>ROUND(3.9,2)</f>
        <v>3.9</v>
      </c>
      <c r="BF152" s="6"/>
      <c r="BG152" s="6"/>
      <c r="BH152" s="6"/>
      <c r="BI152" s="6"/>
      <c r="BJ152" s="7">
        <f>ROUND(8,2)</f>
        <v>8</v>
      </c>
      <c r="BK152" s="6"/>
      <c r="BL152" s="6"/>
      <c r="BM152" s="7">
        <f>ROUND(8,2)</f>
        <v>8</v>
      </c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7">
        <f>ROUND(2452.07,2)</f>
        <v>2452.0700000000002</v>
      </c>
      <c r="CC152" s="6"/>
      <c r="CD152" s="6"/>
      <c r="CE152" s="6"/>
      <c r="CF152" s="6"/>
      <c r="CG152" s="7">
        <f>ROUND(25903.6999999999,2)</f>
        <v>25903.7</v>
      </c>
      <c r="CH152" s="6"/>
      <c r="CI152" s="6"/>
      <c r="CJ152" s="7">
        <f>ROUND(7589.23,2)</f>
        <v>7589.23</v>
      </c>
      <c r="CK152" s="6"/>
      <c r="CL152" s="6"/>
      <c r="CM152" s="6"/>
      <c r="CN152" s="6"/>
      <c r="CO152" s="7">
        <f>ROUND(1143.96999999999,2)</f>
        <v>1143.97</v>
      </c>
      <c r="CP152" s="7">
        <f>ROUND(169.88,2)</f>
        <v>169.88</v>
      </c>
      <c r="CQ152" s="7">
        <f>ROUND(340.65,2)</f>
        <v>340.65</v>
      </c>
      <c r="CR152" s="7">
        <f>ROUND(105.84,2)</f>
        <v>105.84</v>
      </c>
      <c r="CS152" s="6"/>
      <c r="CT152" s="6"/>
      <c r="CU152" s="6"/>
      <c r="CV152" s="6"/>
      <c r="CW152" s="7">
        <f>ROUND(3942.18,2)</f>
        <v>3942.18</v>
      </c>
      <c r="CX152" s="7">
        <f>ROUND(305.45,2)</f>
        <v>305.45</v>
      </c>
      <c r="CY152" s="6"/>
      <c r="CZ152" s="6"/>
      <c r="DA152" s="7">
        <f>ROUND(13429.81,2)</f>
        <v>13429.81</v>
      </c>
      <c r="DB152" s="7">
        <f>ROUND(3980.35,2)</f>
        <v>3980.35</v>
      </c>
      <c r="DC152" s="7">
        <f>ROUND(2169.68,2)</f>
        <v>2169.6799999999998</v>
      </c>
      <c r="DD152" s="6"/>
      <c r="DE152" s="7">
        <f>ROUND(900.04,2)</f>
        <v>900.04</v>
      </c>
      <c r="DF152" s="6"/>
      <c r="DG152" s="6"/>
      <c r="DH152" s="6"/>
      <c r="DI152" s="7">
        <f>ROUND(423.21,2)</f>
        <v>423.21</v>
      </c>
      <c r="DJ152" s="7">
        <f>ROUND(47.11,2)</f>
        <v>47.11</v>
      </c>
      <c r="DK152" s="6"/>
      <c r="DL152" s="6"/>
      <c r="DM152" s="7">
        <f>ROUND(540.03,2)</f>
        <v>540.03</v>
      </c>
      <c r="DN152" s="6"/>
      <c r="DO152" s="6"/>
      <c r="DP152" s="7">
        <f>ROUND(45,2)</f>
        <v>45</v>
      </c>
      <c r="DQ152" s="6"/>
      <c r="DR152" s="6"/>
      <c r="DS152" s="6"/>
      <c r="DT152" s="6"/>
      <c r="DU152" s="6"/>
      <c r="DV152" s="6"/>
      <c r="DW152" s="7">
        <f>ROUND(26.5,2)</f>
        <v>26.5</v>
      </c>
      <c r="DX152" s="7">
        <f>ROUND(249.15,2)</f>
        <v>249.15</v>
      </c>
      <c r="DY152" s="6"/>
      <c r="DZ152" s="6"/>
      <c r="EA152" s="6"/>
      <c r="EB152" s="6"/>
      <c r="EC152" s="6"/>
      <c r="ED152" s="6"/>
      <c r="EE152" s="7">
        <f>ROUND(1300,2)</f>
        <v>1300</v>
      </c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7">
        <f>ROUND(1250,2)</f>
        <v>1250</v>
      </c>
      <c r="ER152" s="6"/>
      <c r="ES152" s="6"/>
      <c r="ET152" s="6"/>
      <c r="EU152" s="6"/>
      <c r="EV152" s="7">
        <f>ROUND(63861.78,2)</f>
        <v>63861.78</v>
      </c>
    </row>
    <row r="153" spans="1:152">
      <c r="A153" s="4" t="s">
        <v>488</v>
      </c>
      <c r="B153" s="4" t="s">
        <v>1058</v>
      </c>
      <c r="C153" s="5" t="s">
        <v>152</v>
      </c>
      <c r="D153" s="5" t="s">
        <v>489</v>
      </c>
      <c r="E153" s="5" t="s">
        <v>0</v>
      </c>
      <c r="F153" s="5" t="s">
        <v>0</v>
      </c>
      <c r="G153" s="5" t="s">
        <v>155</v>
      </c>
      <c r="H153" s="10">
        <v>30.4</v>
      </c>
      <c r="I153" s="6"/>
      <c r="J153" s="6"/>
      <c r="K153" s="6"/>
      <c r="L153" s="6"/>
      <c r="M153" s="7">
        <f>ROUND(1323.13999999999,2)</f>
        <v>1323.14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7">
        <f>ROUND(35,2)</f>
        <v>35</v>
      </c>
      <c r="AI153" s="6"/>
      <c r="AJ153" s="7">
        <f>ROUND(60,2)</f>
        <v>60</v>
      </c>
      <c r="AK153" s="6"/>
      <c r="AL153" s="7">
        <f>ROUND(8,2)</f>
        <v>8</v>
      </c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7">
        <f>ROUND(5,2)</f>
        <v>5</v>
      </c>
      <c r="BD153" s="6"/>
      <c r="BE153" s="7">
        <f>ROUND(50,2)</f>
        <v>50</v>
      </c>
      <c r="BF153" s="6"/>
      <c r="BG153" s="6"/>
      <c r="BH153" s="7">
        <f>ROUND(5,2)</f>
        <v>5</v>
      </c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7">
        <f>ROUND(15,2)</f>
        <v>15</v>
      </c>
      <c r="CB153" s="7">
        <f>ROUND(1501.13999999999,2)</f>
        <v>1501.14</v>
      </c>
      <c r="CC153" s="6"/>
      <c r="CD153" s="6"/>
      <c r="CE153" s="6"/>
      <c r="CF153" s="6"/>
      <c r="CG153" s="7">
        <f>ROUND(37246.1199999999,2)</f>
        <v>37246.120000000003</v>
      </c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7">
        <f>ROUND(998.5,2)</f>
        <v>998.5</v>
      </c>
      <c r="DD153" s="6"/>
      <c r="DE153" s="7">
        <f>ROUND(1666.8,2)</f>
        <v>1666.8</v>
      </c>
      <c r="DF153" s="6"/>
      <c r="DG153" s="6"/>
      <c r="DH153" s="6"/>
      <c r="DI153" s="7">
        <f>ROUND(222.24,2)</f>
        <v>222.24</v>
      </c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7">
        <f>ROUND(725,2)</f>
        <v>725</v>
      </c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7">
        <f>ROUND(625,2)</f>
        <v>625</v>
      </c>
      <c r="ER153" s="6"/>
      <c r="ES153" s="6"/>
      <c r="ET153" s="6"/>
      <c r="EU153" s="7">
        <f>ROUND(456,2)</f>
        <v>456</v>
      </c>
      <c r="EV153" s="7">
        <f>ROUND(41939.6599999999,2)</f>
        <v>41939.660000000003</v>
      </c>
    </row>
    <row r="154" spans="1:152" ht="24">
      <c r="A154" s="4" t="s">
        <v>490</v>
      </c>
      <c r="B154" s="4"/>
      <c r="C154" s="5" t="s">
        <v>377</v>
      </c>
      <c r="D154" s="5" t="s">
        <v>491</v>
      </c>
      <c r="E154" s="5" t="s">
        <v>0</v>
      </c>
      <c r="F154" s="5" t="s">
        <v>0</v>
      </c>
      <c r="G154" s="5" t="s">
        <v>492</v>
      </c>
      <c r="H154" s="10">
        <v>2405.15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7">
        <f>ROUND(24,2)</f>
        <v>24</v>
      </c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7">
        <f>ROUND(32,2)</f>
        <v>32</v>
      </c>
      <c r="BU154" s="7">
        <f>ROUND(32,2)</f>
        <v>32</v>
      </c>
      <c r="BV154" s="6"/>
      <c r="BW154" s="6"/>
      <c r="BX154" s="6"/>
      <c r="BY154" s="7">
        <f>ROUND(120,2)</f>
        <v>120</v>
      </c>
      <c r="BZ154" s="6"/>
      <c r="CA154" s="6"/>
      <c r="CB154" s="7">
        <f>ROUND(208,2)</f>
        <v>208</v>
      </c>
      <c r="CC154" s="7">
        <f>ROUND(117880.499999999,2)</f>
        <v>117880.5</v>
      </c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7">
        <f>ROUND(5772.48,2)</f>
        <v>5772.48</v>
      </c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7">
        <f>ROUND(123652.979999999,2)</f>
        <v>123652.98</v>
      </c>
    </row>
    <row r="155" spans="1:152">
      <c r="A155" s="4" t="s">
        <v>493</v>
      </c>
      <c r="B155" s="4" t="s">
        <v>1058</v>
      </c>
      <c r="C155" s="5" t="s">
        <v>152</v>
      </c>
      <c r="D155" s="5" t="s">
        <v>363</v>
      </c>
      <c r="E155" s="5" t="s">
        <v>0</v>
      </c>
      <c r="F155" s="5" t="s">
        <v>0</v>
      </c>
      <c r="G155" s="5" t="s">
        <v>155</v>
      </c>
      <c r="H155" s="10">
        <v>30.4</v>
      </c>
      <c r="I155" s="6"/>
      <c r="J155" s="6"/>
      <c r="K155" s="6"/>
      <c r="L155" s="6"/>
      <c r="M155" s="7">
        <f>ROUND(1323.08,2)</f>
        <v>1323.08</v>
      </c>
      <c r="N155" s="6"/>
      <c r="O155" s="6"/>
      <c r="P155" s="7">
        <f>ROUND(122.27,2)</f>
        <v>122.27</v>
      </c>
      <c r="Q155" s="6"/>
      <c r="R155" s="6"/>
      <c r="S155" s="6"/>
      <c r="T155" s="6"/>
      <c r="U155" s="6"/>
      <c r="V155" s="6"/>
      <c r="W155" s="7">
        <f>ROUND(0.78,2)</f>
        <v>0.78</v>
      </c>
      <c r="X155" s="6"/>
      <c r="Y155" s="6"/>
      <c r="Z155" s="6"/>
      <c r="AA155" s="6"/>
      <c r="AB155" s="6"/>
      <c r="AC155" s="7">
        <f>ROUND(218.25,2)</f>
        <v>218.25</v>
      </c>
      <c r="AD155" s="7">
        <f>ROUND(6.58,2)</f>
        <v>6.58</v>
      </c>
      <c r="AE155" s="6"/>
      <c r="AF155" s="7">
        <f>ROUND(304.71,2)</f>
        <v>304.70999999999998</v>
      </c>
      <c r="AG155" s="7">
        <f>ROUND(12.54,2)</f>
        <v>12.54</v>
      </c>
      <c r="AH155" s="7">
        <f>ROUND(90,2)</f>
        <v>90</v>
      </c>
      <c r="AI155" s="6"/>
      <c r="AJ155" s="7">
        <f>ROUND(120,2)</f>
        <v>120</v>
      </c>
      <c r="AK155" s="6"/>
      <c r="AL155" s="7">
        <f>ROUND(8,2)</f>
        <v>8</v>
      </c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7">
        <f>ROUND(16,2)</f>
        <v>16</v>
      </c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7">
        <f>ROUND(16,2)</f>
        <v>16</v>
      </c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7">
        <f>ROUND(2238.21,2)</f>
        <v>2238.21</v>
      </c>
      <c r="CC155" s="6"/>
      <c r="CD155" s="6"/>
      <c r="CE155" s="6"/>
      <c r="CF155" s="6"/>
      <c r="CG155" s="7">
        <f>ROUND(37484.36,2)</f>
        <v>37484.36</v>
      </c>
      <c r="CH155" s="6"/>
      <c r="CI155" s="6"/>
      <c r="CJ155" s="7">
        <f>ROUND(5209.59999999999,2)</f>
        <v>5209.6000000000004</v>
      </c>
      <c r="CK155" s="6"/>
      <c r="CL155" s="6"/>
      <c r="CM155" s="6"/>
      <c r="CN155" s="6"/>
      <c r="CO155" s="6"/>
      <c r="CP155" s="6"/>
      <c r="CQ155" s="7">
        <f>ROUND(21.72,2)</f>
        <v>21.72</v>
      </c>
      <c r="CR155" s="6"/>
      <c r="CS155" s="6"/>
      <c r="CT155" s="6"/>
      <c r="CU155" s="6"/>
      <c r="CV155" s="6"/>
      <c r="CW155" s="7">
        <f>ROUND(6064.24,2)</f>
        <v>6064.24</v>
      </c>
      <c r="CX155" s="7">
        <f>ROUND(274.19,2)</f>
        <v>274.19</v>
      </c>
      <c r="CY155" s="6"/>
      <c r="CZ155" s="6"/>
      <c r="DA155" s="7">
        <f>ROUND(8490.94,2)</f>
        <v>8490.94</v>
      </c>
      <c r="DB155" s="7">
        <f>ROUND(522.54,2)</f>
        <v>522.54</v>
      </c>
      <c r="DC155" s="7">
        <f>ROUND(2319.87999999999,2)</f>
        <v>2319.88</v>
      </c>
      <c r="DD155" s="6"/>
      <c r="DE155" s="7">
        <f>ROUND(3354.55999999999,2)</f>
        <v>3354.56</v>
      </c>
      <c r="DF155" s="6"/>
      <c r="DG155" s="6"/>
      <c r="DH155" s="6"/>
      <c r="DI155" s="7">
        <f>ROUND(222.24,2)</f>
        <v>222.24</v>
      </c>
      <c r="DJ155" s="6"/>
      <c r="DK155" s="6"/>
      <c r="DL155" s="6"/>
      <c r="DM155" s="6"/>
      <c r="DN155" s="6"/>
      <c r="DO155" s="6"/>
      <c r="DP155" s="6"/>
      <c r="DQ155" s="6"/>
      <c r="DR155" s="7">
        <f>ROUND(500,2)</f>
        <v>500</v>
      </c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7">
        <f>ROUND(1125,2)</f>
        <v>1125</v>
      </c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7">
        <f>ROUND(1250,2)</f>
        <v>1250</v>
      </c>
      <c r="ER155" s="6"/>
      <c r="ES155" s="6"/>
      <c r="ET155" s="6"/>
      <c r="EU155" s="6"/>
      <c r="EV155" s="7">
        <f>ROUND(66839.27,2)</f>
        <v>66839.27</v>
      </c>
    </row>
    <row r="156" spans="1:152">
      <c r="A156" s="4" t="s">
        <v>494</v>
      </c>
      <c r="B156" s="4" t="s">
        <v>1058</v>
      </c>
      <c r="C156" s="5" t="s">
        <v>211</v>
      </c>
      <c r="D156" s="5" t="s">
        <v>495</v>
      </c>
      <c r="E156" s="5" t="s">
        <v>0</v>
      </c>
      <c r="F156" s="5" t="s">
        <v>0</v>
      </c>
      <c r="G156" s="5" t="s">
        <v>218</v>
      </c>
      <c r="H156" s="10">
        <v>34</v>
      </c>
      <c r="I156" s="6"/>
      <c r="J156" s="6"/>
      <c r="K156" s="7">
        <f>ROUND(1748,2)</f>
        <v>1748</v>
      </c>
      <c r="L156" s="7">
        <f>ROUND(856.42,2)</f>
        <v>856.42</v>
      </c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7">
        <f>ROUND(88,2)</f>
        <v>88</v>
      </c>
      <c r="AI156" s="6"/>
      <c r="AJ156" s="7">
        <f>ROUND(216,2)</f>
        <v>216</v>
      </c>
      <c r="AK156" s="6"/>
      <c r="AL156" s="6"/>
      <c r="AM156" s="6"/>
      <c r="AN156" s="6"/>
      <c r="AO156" s="6"/>
      <c r="AP156" s="6"/>
      <c r="AQ156" s="6"/>
      <c r="AR156" s="6"/>
      <c r="AS156" s="6"/>
      <c r="AT156" s="7">
        <f>ROUND(4,2)</f>
        <v>4</v>
      </c>
      <c r="AU156" s="7">
        <f>ROUND(4,2)</f>
        <v>4</v>
      </c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7">
        <f>ROUND(8,2)</f>
        <v>8</v>
      </c>
      <c r="BO156" s="7">
        <f>ROUND(16,2)</f>
        <v>16</v>
      </c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7">
        <f>ROUND(24,2)</f>
        <v>24</v>
      </c>
      <c r="CB156" s="7">
        <f>ROUND(2964.42,2)</f>
        <v>2964.42</v>
      </c>
      <c r="CC156" s="6"/>
      <c r="CD156" s="6"/>
      <c r="CE156" s="7">
        <f>ROUND(54637.2299999999,2)</f>
        <v>54637.23</v>
      </c>
      <c r="CF156" s="7">
        <f>ROUND(40060.82,2)</f>
        <v>40060.82</v>
      </c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7">
        <f>ROUND(2810,2)</f>
        <v>2810</v>
      </c>
      <c r="DD156" s="6"/>
      <c r="DE156" s="7">
        <f>ROUND(6694,2)</f>
        <v>6694</v>
      </c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7">
        <f>ROUND(129.5,2)</f>
        <v>129.5</v>
      </c>
      <c r="DV156" s="7">
        <f>ROUND(194.25,2)</f>
        <v>194.25</v>
      </c>
      <c r="DW156" s="6"/>
      <c r="DX156" s="6"/>
      <c r="DY156" s="6"/>
      <c r="DZ156" s="6"/>
      <c r="EA156" s="6"/>
      <c r="EB156" s="6"/>
      <c r="EC156" s="6"/>
      <c r="ED156" s="6"/>
      <c r="EE156" s="7">
        <f>ROUND(2000,2)</f>
        <v>2000</v>
      </c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7">
        <f>ROUND(1250,2)</f>
        <v>1250</v>
      </c>
      <c r="ER156" s="6"/>
      <c r="ES156" s="6"/>
      <c r="ET156" s="6"/>
      <c r="EU156" s="7">
        <f>ROUND(816,2)</f>
        <v>816</v>
      </c>
      <c r="EV156" s="7">
        <f>ROUND(108591.8,2)</f>
        <v>108591.8</v>
      </c>
    </row>
    <row r="157" spans="1:152">
      <c r="A157" s="4" t="s">
        <v>496</v>
      </c>
      <c r="B157" s="4" t="s">
        <v>1058</v>
      </c>
      <c r="C157" s="5" t="s">
        <v>152</v>
      </c>
      <c r="D157" s="5" t="s">
        <v>160</v>
      </c>
      <c r="E157" s="5" t="s">
        <v>497</v>
      </c>
      <c r="F157" s="5" t="s">
        <v>0</v>
      </c>
      <c r="G157" s="5" t="s">
        <v>155</v>
      </c>
      <c r="H157" s="10">
        <v>17.5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7">
        <f>ROUND(40,2)</f>
        <v>40</v>
      </c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7">
        <f>ROUND(40,2)</f>
        <v>40</v>
      </c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7">
        <f>ROUND(700,2)</f>
        <v>700</v>
      </c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7">
        <f>ROUND(700,2)</f>
        <v>700</v>
      </c>
    </row>
    <row r="158" spans="1:152" ht="24">
      <c r="A158" s="4" t="s">
        <v>498</v>
      </c>
      <c r="B158" s="4"/>
      <c r="C158" s="5" t="s">
        <v>233</v>
      </c>
      <c r="D158" s="5" t="s">
        <v>499</v>
      </c>
      <c r="E158" s="5" t="s">
        <v>500</v>
      </c>
      <c r="F158" s="5" t="s">
        <v>0</v>
      </c>
      <c r="G158" s="5" t="s">
        <v>236</v>
      </c>
      <c r="H158" s="10">
        <v>18.54</v>
      </c>
      <c r="I158" s="7">
        <f>ROUND(928.75,2)</f>
        <v>928.75</v>
      </c>
      <c r="J158" s="7">
        <f>ROUND(2.25,2)</f>
        <v>2.25</v>
      </c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7">
        <f>ROUND(24,2)</f>
        <v>24</v>
      </c>
      <c r="BU158" s="6"/>
      <c r="BV158" s="7">
        <f>ROUND(8,2)</f>
        <v>8</v>
      </c>
      <c r="BW158" s="6"/>
      <c r="BX158" s="7">
        <f>ROUND(8,2)</f>
        <v>8</v>
      </c>
      <c r="BY158" s="7">
        <f>ROUND(32,2)</f>
        <v>32</v>
      </c>
      <c r="BZ158" s="6"/>
      <c r="CA158" s="6"/>
      <c r="CB158" s="7">
        <f>ROUND(1003,2)</f>
        <v>1003</v>
      </c>
      <c r="CC158" s="7">
        <f>ROUND(16831.71,2)</f>
        <v>16831.71</v>
      </c>
      <c r="CD158" s="7">
        <f>ROUND(61.36,2)</f>
        <v>61.36</v>
      </c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7">
        <f>ROUND(296.64,2)</f>
        <v>296.64</v>
      </c>
      <c r="EF158" s="6"/>
      <c r="EG158" s="7">
        <f>ROUND(440.64,2)</f>
        <v>440.64</v>
      </c>
      <c r="EH158" s="6"/>
      <c r="EI158" s="7">
        <f>ROUND(216,2)</f>
        <v>216</v>
      </c>
      <c r="EJ158" s="6"/>
      <c r="EK158" s="6"/>
      <c r="EL158" s="6"/>
      <c r="EM158" s="6"/>
      <c r="EN158" s="7">
        <f>ROUND(145.079999999999,2)</f>
        <v>145.08000000000001</v>
      </c>
      <c r="EO158" s="6"/>
      <c r="EP158" s="6"/>
      <c r="EQ158" s="6"/>
      <c r="ER158" s="6"/>
      <c r="ES158" s="7">
        <f>ROUND(579.24,2)</f>
        <v>579.24</v>
      </c>
      <c r="ET158" s="6"/>
      <c r="EU158" s="6"/>
      <c r="EV158" s="7">
        <f>ROUND(18570.67,2)</f>
        <v>18570.669999999998</v>
      </c>
    </row>
    <row r="159" spans="1:152">
      <c r="A159" s="4" t="s">
        <v>501</v>
      </c>
      <c r="B159" s="4" t="s">
        <v>1058</v>
      </c>
      <c r="C159" s="5" t="s">
        <v>152</v>
      </c>
      <c r="D159" s="5" t="s">
        <v>502</v>
      </c>
      <c r="E159" s="5" t="s">
        <v>503</v>
      </c>
      <c r="F159" s="5" t="s">
        <v>0</v>
      </c>
      <c r="G159" s="5" t="s">
        <v>155</v>
      </c>
      <c r="H159" s="10">
        <v>27.78</v>
      </c>
      <c r="I159" s="6"/>
      <c r="J159" s="6"/>
      <c r="K159" s="6"/>
      <c r="L159" s="6"/>
      <c r="M159" s="7">
        <f>ROUND(367.969999999999,2)</f>
        <v>367.97</v>
      </c>
      <c r="N159" s="6"/>
      <c r="O159" s="6"/>
      <c r="P159" s="7">
        <f>ROUND(51.38,2)</f>
        <v>51.38</v>
      </c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7">
        <f>ROUND(24,2)</f>
        <v>24</v>
      </c>
      <c r="AI159" s="6"/>
      <c r="AJ159" s="7">
        <f>ROUND(32,2)</f>
        <v>32</v>
      </c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7">
        <f>ROUND(64,2)</f>
        <v>64</v>
      </c>
      <c r="BD159" s="7">
        <f>ROUND(0.03,2)</f>
        <v>0.03</v>
      </c>
      <c r="BE159" s="6"/>
      <c r="BF159" s="7">
        <f>ROUND(140.37,2)</f>
        <v>140.37</v>
      </c>
      <c r="BG159" s="7">
        <f>ROUND(8,2)</f>
        <v>8</v>
      </c>
      <c r="BH159" s="7">
        <f>ROUND(10,2)</f>
        <v>10</v>
      </c>
      <c r="BI159" s="6"/>
      <c r="BJ159" s="6"/>
      <c r="BK159" s="6"/>
      <c r="BL159" s="6"/>
      <c r="BM159" s="7">
        <f>ROUND(16,2)</f>
        <v>16</v>
      </c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7">
        <f>ROUND(713.75,2)</f>
        <v>713.75</v>
      </c>
      <c r="CC159" s="6"/>
      <c r="CD159" s="6"/>
      <c r="CE159" s="6"/>
      <c r="CF159" s="6"/>
      <c r="CG159" s="7">
        <f>ROUND(10271.26,2)</f>
        <v>10271.26</v>
      </c>
      <c r="CH159" s="6"/>
      <c r="CI159" s="6"/>
      <c r="CJ159" s="7">
        <f>ROUND(2142.34,2)</f>
        <v>2142.34</v>
      </c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7">
        <f>ROUND(666.72,2)</f>
        <v>666.72</v>
      </c>
      <c r="DD159" s="6"/>
      <c r="DE159" s="7">
        <f>ROUND(888.96,2)</f>
        <v>888.96</v>
      </c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7">
        <f>ROUND(2000.16,2)</f>
        <v>2000.16</v>
      </c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7">
        <f>ROUND(15969.44,2)</f>
        <v>15969.44</v>
      </c>
    </row>
    <row r="160" spans="1:152">
      <c r="A160" s="4" t="s">
        <v>504</v>
      </c>
      <c r="B160" s="4" t="s">
        <v>1058</v>
      </c>
      <c r="C160" s="5" t="s">
        <v>152</v>
      </c>
      <c r="D160" s="5" t="s">
        <v>505</v>
      </c>
      <c r="E160" s="5" t="s">
        <v>0</v>
      </c>
      <c r="F160" s="5" t="s">
        <v>0</v>
      </c>
      <c r="G160" s="5" t="s">
        <v>155</v>
      </c>
      <c r="H160" s="10">
        <v>30.4</v>
      </c>
      <c r="I160" s="6"/>
      <c r="J160" s="6"/>
      <c r="K160" s="6"/>
      <c r="L160" s="6"/>
      <c r="M160" s="7">
        <f>ROUND(1277.86,2)</f>
        <v>1277.8599999999999</v>
      </c>
      <c r="N160" s="6"/>
      <c r="O160" s="6"/>
      <c r="P160" s="7">
        <f>ROUND(133.23,2)</f>
        <v>133.22999999999999</v>
      </c>
      <c r="Q160" s="6"/>
      <c r="R160" s="6"/>
      <c r="S160" s="6"/>
      <c r="T160" s="6"/>
      <c r="U160" s="7">
        <f>ROUND(34.14,2)</f>
        <v>34.14</v>
      </c>
      <c r="V160" s="6"/>
      <c r="W160" s="7">
        <f>ROUND(3.83,2)</f>
        <v>3.83</v>
      </c>
      <c r="X160" s="6"/>
      <c r="Y160" s="6"/>
      <c r="Z160" s="6"/>
      <c r="AA160" s="6"/>
      <c r="AB160" s="6"/>
      <c r="AC160" s="7">
        <f>ROUND(269.58,2)</f>
        <v>269.58</v>
      </c>
      <c r="AD160" s="7">
        <f>ROUND(0.5,2)</f>
        <v>0.5</v>
      </c>
      <c r="AE160" s="6"/>
      <c r="AF160" s="7">
        <f>ROUND(165.6,2)</f>
        <v>165.6</v>
      </c>
      <c r="AG160" s="7">
        <f>ROUND(3.59,2)</f>
        <v>3.59</v>
      </c>
      <c r="AH160" s="7">
        <f>ROUND(88,2)</f>
        <v>88</v>
      </c>
      <c r="AI160" s="6"/>
      <c r="AJ160" s="7">
        <f>ROUND(72,2)</f>
        <v>72</v>
      </c>
      <c r="AK160" s="6"/>
      <c r="AL160" s="7">
        <f>ROUND(8.5,2)</f>
        <v>8.5</v>
      </c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7">
        <f>ROUND(53.0199999999999,2)</f>
        <v>53.02</v>
      </c>
      <c r="AY160" s="7">
        <f>ROUND(10.74,2)</f>
        <v>10.74</v>
      </c>
      <c r="AZ160" s="6"/>
      <c r="BA160" s="6"/>
      <c r="BB160" s="7">
        <f>ROUND(24,2)</f>
        <v>24</v>
      </c>
      <c r="BC160" s="6"/>
      <c r="BD160" s="7">
        <f>ROUND(9.17,2)</f>
        <v>9.17</v>
      </c>
      <c r="BE160" s="7">
        <f>ROUND(20.83,2)</f>
        <v>20.83</v>
      </c>
      <c r="BF160" s="7">
        <f>ROUND(29.34,2)</f>
        <v>29.34</v>
      </c>
      <c r="BG160" s="7">
        <f>ROUND(94.7,2)</f>
        <v>94.7</v>
      </c>
      <c r="BH160" s="6"/>
      <c r="BI160" s="6"/>
      <c r="BJ160" s="7">
        <f>ROUND(8,2)</f>
        <v>8</v>
      </c>
      <c r="BK160" s="6"/>
      <c r="BL160" s="6"/>
      <c r="BM160" s="7">
        <f>ROUND(13.9,2)</f>
        <v>13.9</v>
      </c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7">
        <f>ROUND(2320.52999999999,2)</f>
        <v>2320.5300000000002</v>
      </c>
      <c r="CC160" s="6"/>
      <c r="CD160" s="6"/>
      <c r="CE160" s="6"/>
      <c r="CF160" s="6"/>
      <c r="CG160" s="7">
        <f>ROUND(36234.35,2)</f>
        <v>36234.35</v>
      </c>
      <c r="CH160" s="6"/>
      <c r="CI160" s="6"/>
      <c r="CJ160" s="7">
        <f>ROUND(5643.15999999999,2)</f>
        <v>5643.16</v>
      </c>
      <c r="CK160" s="6"/>
      <c r="CL160" s="6"/>
      <c r="CM160" s="6"/>
      <c r="CN160" s="6"/>
      <c r="CO160" s="7">
        <f>ROUND(948.7,2)</f>
        <v>948.7</v>
      </c>
      <c r="CP160" s="6"/>
      <c r="CQ160" s="7">
        <f>ROUND(106.55,2)</f>
        <v>106.55</v>
      </c>
      <c r="CR160" s="6"/>
      <c r="CS160" s="6"/>
      <c r="CT160" s="6"/>
      <c r="CU160" s="6"/>
      <c r="CV160" s="6"/>
      <c r="CW160" s="7">
        <f>ROUND(7618.89,2)</f>
        <v>7618.89</v>
      </c>
      <c r="CX160" s="7">
        <f>ROUND(20.84,2)</f>
        <v>20.84</v>
      </c>
      <c r="CY160" s="6"/>
      <c r="CZ160" s="6"/>
      <c r="DA160" s="7">
        <f>ROUND(4621.07,2)</f>
        <v>4621.07</v>
      </c>
      <c r="DB160" s="7">
        <f>ROUND(150.399999999999,2)</f>
        <v>150.4</v>
      </c>
      <c r="DC160" s="7">
        <f>ROUND(2486.56,2)</f>
        <v>2486.56</v>
      </c>
      <c r="DD160" s="6"/>
      <c r="DE160" s="7">
        <f>ROUND(2000.16,2)</f>
        <v>2000.16</v>
      </c>
      <c r="DF160" s="6"/>
      <c r="DG160" s="6"/>
      <c r="DH160" s="6"/>
      <c r="DI160" s="7">
        <f>ROUND(236.13,2)</f>
        <v>236.13</v>
      </c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7">
        <f>ROUND(1480.85,2)</f>
        <v>1480.85</v>
      </c>
      <c r="DZ160" s="7">
        <f>ROUND(449.939999999999,2)</f>
        <v>449.94</v>
      </c>
      <c r="EA160" s="6"/>
      <c r="EB160" s="6"/>
      <c r="EC160" s="7">
        <f>ROUND(222.24,2)</f>
        <v>222.24</v>
      </c>
      <c r="ED160" s="6"/>
      <c r="EE160" s="7">
        <f>ROUND(800,2)</f>
        <v>800</v>
      </c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7">
        <f>ROUND(1141.44,2)</f>
        <v>1141.44</v>
      </c>
      <c r="ER160" s="6"/>
      <c r="ES160" s="6"/>
      <c r="ET160" s="6"/>
      <c r="EU160" s="6"/>
      <c r="EV160" s="7">
        <f>ROUND(64161.28,2)</f>
        <v>64161.279999999999</v>
      </c>
    </row>
    <row r="161" spans="1:152">
      <c r="A161" s="4" t="s">
        <v>506</v>
      </c>
      <c r="B161" s="4" t="s">
        <v>1058</v>
      </c>
      <c r="C161" s="5" t="s">
        <v>152</v>
      </c>
      <c r="D161" s="5" t="s">
        <v>270</v>
      </c>
      <c r="E161" s="5" t="s">
        <v>0</v>
      </c>
      <c r="F161" s="5" t="s">
        <v>0</v>
      </c>
      <c r="G161" s="5" t="s">
        <v>155</v>
      </c>
      <c r="H161" s="10">
        <v>28.88</v>
      </c>
      <c r="I161" s="6"/>
      <c r="J161" s="6"/>
      <c r="K161" s="6"/>
      <c r="L161" s="6"/>
      <c r="M161" s="7">
        <f>ROUND(1045.22,2)</f>
        <v>1045.22</v>
      </c>
      <c r="N161" s="6"/>
      <c r="O161" s="6"/>
      <c r="P161" s="7">
        <f>ROUND(150.01,2)</f>
        <v>150.01</v>
      </c>
      <c r="Q161" s="6"/>
      <c r="R161" s="6"/>
      <c r="S161" s="6"/>
      <c r="T161" s="6"/>
      <c r="U161" s="7">
        <f>ROUND(64.13,2)</f>
        <v>64.13</v>
      </c>
      <c r="V161" s="7">
        <f>ROUND(33.79,2)</f>
        <v>33.79</v>
      </c>
      <c r="W161" s="7">
        <f>ROUND(14.82,2)</f>
        <v>14.82</v>
      </c>
      <c r="X161" s="7">
        <f>ROUND(1.32,2)</f>
        <v>1.32</v>
      </c>
      <c r="Y161" s="6"/>
      <c r="Z161" s="6"/>
      <c r="AA161" s="6"/>
      <c r="AB161" s="6"/>
      <c r="AC161" s="7">
        <f>ROUND(161.13,2)</f>
        <v>161.13</v>
      </c>
      <c r="AD161" s="7">
        <f>ROUND(8.95,2)</f>
        <v>8.9499999999999993</v>
      </c>
      <c r="AE161" s="6"/>
      <c r="AF161" s="7">
        <f>ROUND(639.36,2)</f>
        <v>639.36</v>
      </c>
      <c r="AG161" s="7">
        <f>ROUND(87.41,2)</f>
        <v>87.41</v>
      </c>
      <c r="AH161" s="7">
        <f>ROUND(56,2)</f>
        <v>56</v>
      </c>
      <c r="AI161" s="6"/>
      <c r="AJ161" s="7">
        <f>ROUND(32,2)</f>
        <v>32</v>
      </c>
      <c r="AK161" s="6"/>
      <c r="AL161" s="7">
        <f>ROUND(8.5,2)</f>
        <v>8.5</v>
      </c>
      <c r="AM161" s="6"/>
      <c r="AN161" s="6"/>
      <c r="AO161" s="6"/>
      <c r="AP161" s="6"/>
      <c r="AQ161" s="6"/>
      <c r="AR161" s="7">
        <f>ROUND(2,2)</f>
        <v>2</v>
      </c>
      <c r="AS161" s="6"/>
      <c r="AT161" s="6"/>
      <c r="AU161" s="6"/>
      <c r="AV161" s="7">
        <f>ROUND(11.5,2)</f>
        <v>11.5</v>
      </c>
      <c r="AW161" s="6"/>
      <c r="AX161" s="7">
        <f>ROUND(4.23,2)</f>
        <v>4.2300000000000004</v>
      </c>
      <c r="AY161" s="7">
        <f>ROUND(10.9699999999999,2)</f>
        <v>10.97</v>
      </c>
      <c r="AZ161" s="6"/>
      <c r="BA161" s="6"/>
      <c r="BB161" s="7">
        <f>ROUND(24,2)</f>
        <v>24</v>
      </c>
      <c r="BC161" s="6"/>
      <c r="BD161" s="7">
        <f>ROUND(0.42,2)</f>
        <v>0.42</v>
      </c>
      <c r="BE161" s="6"/>
      <c r="BF161" s="6"/>
      <c r="BG161" s="6"/>
      <c r="BH161" s="7">
        <f>ROUND(8,2)</f>
        <v>8</v>
      </c>
      <c r="BI161" s="6"/>
      <c r="BJ161" s="6"/>
      <c r="BK161" s="6"/>
      <c r="BL161" s="6"/>
      <c r="BM161" s="7">
        <f>ROUND(24,2)</f>
        <v>24</v>
      </c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7">
        <f>ROUND(8,2)</f>
        <v>8</v>
      </c>
      <c r="CB161" s="7">
        <f>ROUND(2395.76,2)</f>
        <v>2395.7600000000002</v>
      </c>
      <c r="CC161" s="6"/>
      <c r="CD161" s="6"/>
      <c r="CE161" s="6"/>
      <c r="CF161" s="6"/>
      <c r="CG161" s="7">
        <f>ROUND(22793.17,2)</f>
        <v>22793.17</v>
      </c>
      <c r="CH161" s="6"/>
      <c r="CI161" s="6"/>
      <c r="CJ161" s="7">
        <f>ROUND(4772.98,2)</f>
        <v>4772.9799999999996</v>
      </c>
      <c r="CK161" s="6"/>
      <c r="CL161" s="6"/>
      <c r="CM161" s="6"/>
      <c r="CN161" s="6"/>
      <c r="CO161" s="7">
        <f>ROUND(1384.26,2)</f>
        <v>1384.26</v>
      </c>
      <c r="CP161" s="7">
        <f>ROUND(1305.13,2)</f>
        <v>1305.1300000000001</v>
      </c>
      <c r="CQ161" s="7">
        <f>ROUND(319.51,2)</f>
        <v>319.51</v>
      </c>
      <c r="CR161" s="7">
        <f>ROUND(41.24,2)</f>
        <v>41.24</v>
      </c>
      <c r="CS161" s="6"/>
      <c r="CT161" s="6"/>
      <c r="CU161" s="6"/>
      <c r="CV161" s="6"/>
      <c r="CW161" s="7">
        <f>ROUND(3461.56999999999,2)</f>
        <v>3461.57</v>
      </c>
      <c r="CX161" s="7">
        <f>ROUND(279.71,2)</f>
        <v>279.70999999999998</v>
      </c>
      <c r="CY161" s="6"/>
      <c r="CZ161" s="6"/>
      <c r="DA161" s="7">
        <f>ROUND(13987.1999999999,2)</f>
        <v>13987.2</v>
      </c>
      <c r="DB161" s="7">
        <f>ROUND(2857.7,2)</f>
        <v>2857.7</v>
      </c>
      <c r="DC161" s="7">
        <f>ROUND(1271.16,2)</f>
        <v>1271.1600000000001</v>
      </c>
      <c r="DD161" s="6"/>
      <c r="DE161" s="7">
        <f>ROUND(666.72,2)</f>
        <v>666.72</v>
      </c>
      <c r="DF161" s="6"/>
      <c r="DG161" s="6"/>
      <c r="DH161" s="6"/>
      <c r="DI161" s="7">
        <f>ROUND(177.1,2)</f>
        <v>177.1</v>
      </c>
      <c r="DJ161" s="6"/>
      <c r="DK161" s="6"/>
      <c r="DL161" s="6"/>
      <c r="DM161" s="6"/>
      <c r="DN161" s="6"/>
      <c r="DO161" s="6"/>
      <c r="DP161" s="7">
        <f>ROUND(41.97,2)</f>
        <v>41.97</v>
      </c>
      <c r="DQ161" s="6"/>
      <c r="DR161" s="6"/>
      <c r="DS161" s="6"/>
      <c r="DT161" s="6"/>
      <c r="DU161" s="6"/>
      <c r="DV161" s="6"/>
      <c r="DW161" s="7">
        <f>ROUND(241.33,2)</f>
        <v>241.33</v>
      </c>
      <c r="DX161" s="6"/>
      <c r="DY161" s="7">
        <f>ROUND(88.13,2)</f>
        <v>88.13</v>
      </c>
      <c r="DZ161" s="7">
        <f>ROUND(342.84,2)</f>
        <v>342.84</v>
      </c>
      <c r="EA161" s="6"/>
      <c r="EB161" s="6"/>
      <c r="EC161" s="6"/>
      <c r="ED161" s="6"/>
      <c r="EE161" s="7">
        <f>ROUND(1650,2)</f>
        <v>1650</v>
      </c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7">
        <f>ROUND(1500,2)</f>
        <v>1500</v>
      </c>
      <c r="ER161" s="6"/>
      <c r="ES161" s="6"/>
      <c r="ET161" s="6"/>
      <c r="EU161" s="7">
        <f>ROUND(218.88,2)</f>
        <v>218.88</v>
      </c>
      <c r="EV161" s="7">
        <f>ROUND(57400.6,2)</f>
        <v>57400.6</v>
      </c>
    </row>
    <row r="162" spans="1:152" ht="24">
      <c r="A162" s="4" t="s">
        <v>507</v>
      </c>
      <c r="B162" s="4"/>
      <c r="C162" s="5" t="s">
        <v>233</v>
      </c>
      <c r="D162" s="5" t="s">
        <v>442</v>
      </c>
      <c r="E162" s="5" t="s">
        <v>0</v>
      </c>
      <c r="F162" s="5" t="s">
        <v>0</v>
      </c>
      <c r="G162" s="5" t="s">
        <v>305</v>
      </c>
      <c r="H162" s="10">
        <v>20.6</v>
      </c>
      <c r="I162" s="7">
        <f>ROUND(1701.25,2)</f>
        <v>1701.25</v>
      </c>
      <c r="J162" s="7">
        <f>ROUND(46,2)</f>
        <v>46</v>
      </c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7">
        <f>ROUND(13,2)</f>
        <v>13</v>
      </c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7">
        <f>ROUND(26,2)</f>
        <v>26</v>
      </c>
      <c r="BU162" s="7">
        <f>ROUND(28.5,2)</f>
        <v>28.5</v>
      </c>
      <c r="BV162" s="6"/>
      <c r="BW162" s="7">
        <f>ROUND(20,2)</f>
        <v>20</v>
      </c>
      <c r="BX162" s="7">
        <f>ROUND(40,2)</f>
        <v>40</v>
      </c>
      <c r="BY162" s="7">
        <f>ROUND(59.75,2)</f>
        <v>59.75</v>
      </c>
      <c r="BZ162" s="6"/>
      <c r="CA162" s="6"/>
      <c r="CB162" s="7">
        <f>ROUND(1934.5,2)</f>
        <v>1934.5</v>
      </c>
      <c r="CC162" s="7">
        <f>ROUND(30030.4499999999,2)</f>
        <v>30030.45</v>
      </c>
      <c r="CD162" s="7">
        <f>ROUND(1358.33,2)</f>
        <v>1358.33</v>
      </c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7">
        <f>ROUND(235,2)</f>
        <v>235</v>
      </c>
      <c r="EE162" s="7">
        <f>ROUND(1977.6,2)</f>
        <v>1977.6</v>
      </c>
      <c r="EF162" s="6"/>
      <c r="EG162" s="7">
        <f>ROUND(474.8,2)</f>
        <v>474.8</v>
      </c>
      <c r="EH162" s="7">
        <f>ROUND(584.4,2)</f>
        <v>584.4</v>
      </c>
      <c r="EI162" s="6"/>
      <c r="EJ162" s="6"/>
      <c r="EK162" s="7">
        <f>ROUND(300,2)</f>
        <v>300</v>
      </c>
      <c r="EL162" s="6"/>
      <c r="EM162" s="6"/>
      <c r="EN162" s="7">
        <f>ROUND(803.45,2)</f>
        <v>803.45</v>
      </c>
      <c r="EO162" s="6"/>
      <c r="EP162" s="6"/>
      <c r="EQ162" s="6"/>
      <c r="ER162" s="6"/>
      <c r="ES162" s="7">
        <f>ROUND(1223.8,2)</f>
        <v>1223.8</v>
      </c>
      <c r="ET162" s="6"/>
      <c r="EU162" s="6"/>
      <c r="EV162" s="7">
        <f>ROUND(36987.83,2)</f>
        <v>36987.83</v>
      </c>
    </row>
    <row r="163" spans="1:152">
      <c r="A163" s="4" t="s">
        <v>508</v>
      </c>
      <c r="B163" s="4" t="s">
        <v>1058</v>
      </c>
      <c r="C163" s="5" t="s">
        <v>152</v>
      </c>
      <c r="D163" s="5" t="s">
        <v>164</v>
      </c>
      <c r="E163" s="5" t="s">
        <v>0</v>
      </c>
      <c r="F163" s="5" t="s">
        <v>0</v>
      </c>
      <c r="G163" s="5" t="s">
        <v>155</v>
      </c>
      <c r="H163" s="10">
        <v>25.84</v>
      </c>
      <c r="I163" s="6"/>
      <c r="J163" s="6"/>
      <c r="K163" s="6"/>
      <c r="L163" s="6"/>
      <c r="M163" s="7">
        <f>ROUND(335.78,2)</f>
        <v>335.78</v>
      </c>
      <c r="N163" s="6"/>
      <c r="O163" s="6"/>
      <c r="P163" s="7">
        <f>ROUND(22.97,2)</f>
        <v>22.97</v>
      </c>
      <c r="Q163" s="6"/>
      <c r="R163" s="6"/>
      <c r="S163" s="6"/>
      <c r="T163" s="6"/>
      <c r="U163" s="7">
        <f>ROUND(7.5,2)</f>
        <v>7.5</v>
      </c>
      <c r="V163" s="6"/>
      <c r="W163" s="7">
        <f>ROUND(4.25,2)</f>
        <v>4.25</v>
      </c>
      <c r="X163" s="7">
        <f>ROUND(0.5,2)</f>
        <v>0.5</v>
      </c>
      <c r="Y163" s="6"/>
      <c r="Z163" s="6"/>
      <c r="AA163" s="6"/>
      <c r="AB163" s="6"/>
      <c r="AC163" s="7">
        <f>ROUND(75.23,2)</f>
        <v>75.23</v>
      </c>
      <c r="AD163" s="7">
        <f>ROUND(11.27,2)</f>
        <v>11.27</v>
      </c>
      <c r="AE163" s="6"/>
      <c r="AF163" s="7">
        <f>ROUND(210.769999999999,2)</f>
        <v>210.77</v>
      </c>
      <c r="AG163" s="7">
        <f>ROUND(52.7399999999999,2)</f>
        <v>52.74</v>
      </c>
      <c r="AH163" s="7">
        <f>ROUND(32,2)</f>
        <v>32</v>
      </c>
      <c r="AI163" s="6"/>
      <c r="AJ163" s="6"/>
      <c r="AK163" s="6"/>
      <c r="AL163" s="7">
        <f>ROUND(272.78,2)</f>
        <v>272.77999999999997</v>
      </c>
      <c r="AM163" s="6"/>
      <c r="AN163" s="7">
        <f>ROUND(6.47,2)</f>
        <v>6.47</v>
      </c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7">
        <f>ROUND(13,2)</f>
        <v>13</v>
      </c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7">
        <f>ROUND(24,2)</f>
        <v>24</v>
      </c>
      <c r="CB163" s="7">
        <f>ROUND(1069.25999999999,2)</f>
        <v>1069.26</v>
      </c>
      <c r="CC163" s="6"/>
      <c r="CD163" s="6"/>
      <c r="CE163" s="6"/>
      <c r="CF163" s="6"/>
      <c r="CG163" s="7">
        <f>ROUND(7507.92999999999,2)</f>
        <v>7507.93</v>
      </c>
      <c r="CH163" s="6"/>
      <c r="CI163" s="6"/>
      <c r="CJ163" s="7">
        <f>ROUND(766.78,2)</f>
        <v>766.78</v>
      </c>
      <c r="CK163" s="6"/>
      <c r="CL163" s="6"/>
      <c r="CM163" s="6"/>
      <c r="CN163" s="6"/>
      <c r="CO163" s="7">
        <f>ROUND(182.4,2)</f>
        <v>182.4</v>
      </c>
      <c r="CP163" s="6"/>
      <c r="CQ163" s="7">
        <f>ROUND(97.36,2)</f>
        <v>97.36</v>
      </c>
      <c r="CR163" s="7">
        <f>ROUND(18.24,2)</f>
        <v>18.239999999999998</v>
      </c>
      <c r="CS163" s="6"/>
      <c r="CT163" s="6"/>
      <c r="CU163" s="6"/>
      <c r="CV163" s="6"/>
      <c r="CW163" s="7">
        <f>ROUND(1707.85,2)</f>
        <v>1707.85</v>
      </c>
      <c r="CX163" s="7">
        <f>ROUND(352.21,2)</f>
        <v>352.21</v>
      </c>
      <c r="CY163" s="6"/>
      <c r="CZ163" s="6"/>
      <c r="DA163" s="7">
        <f>ROUND(4593.16999999999,2)</f>
        <v>4593.17</v>
      </c>
      <c r="DB163" s="7">
        <f>ROUND(1808.68999999999,2)</f>
        <v>1808.69</v>
      </c>
      <c r="DC163" s="7">
        <f>ROUND(750.359999999999,2)</f>
        <v>750.36</v>
      </c>
      <c r="DD163" s="6"/>
      <c r="DE163" s="6"/>
      <c r="DF163" s="6"/>
      <c r="DG163" s="7">
        <f>ROUND(75,2)</f>
        <v>75</v>
      </c>
      <c r="DH163" s="6"/>
      <c r="DI163" s="7">
        <f>ROUND(4773.66,2)</f>
        <v>4773.66</v>
      </c>
      <c r="DJ163" s="6"/>
      <c r="DK163" s="7">
        <f>ROUND(169.84,2)</f>
        <v>169.84</v>
      </c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7">
        <f>ROUND(836.4,2)</f>
        <v>836.4</v>
      </c>
      <c r="ER163" s="6"/>
      <c r="ES163" s="6"/>
      <c r="ET163" s="6"/>
      <c r="EU163" s="7">
        <f>ROUND(583.68,2)</f>
        <v>583.67999999999995</v>
      </c>
      <c r="EV163" s="7">
        <f>ROUND(24223.57,2)</f>
        <v>24223.57</v>
      </c>
    </row>
    <row r="164" spans="1:152" ht="24">
      <c r="A164" s="4" t="s">
        <v>509</v>
      </c>
      <c r="B164" s="4"/>
      <c r="C164" s="5" t="s">
        <v>430</v>
      </c>
      <c r="D164" s="5" t="s">
        <v>510</v>
      </c>
      <c r="E164" s="5" t="s">
        <v>0</v>
      </c>
      <c r="F164" s="5" t="s">
        <v>0</v>
      </c>
      <c r="G164" s="5" t="s">
        <v>511</v>
      </c>
      <c r="H164" s="10">
        <v>1392.58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7">
        <f>ROUND(27,2)</f>
        <v>27</v>
      </c>
      <c r="AF164" s="6"/>
      <c r="AG164" s="6"/>
      <c r="AH164" s="6"/>
      <c r="AI164" s="6"/>
      <c r="AJ164" s="6"/>
      <c r="AK164" s="7">
        <f>ROUND(64,2)</f>
        <v>64</v>
      </c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7">
        <f>ROUND(8,2)</f>
        <v>8</v>
      </c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7">
        <f>ROUND(24,2)</f>
        <v>24</v>
      </c>
      <c r="BU164" s="7">
        <f>ROUND(40,2)</f>
        <v>40</v>
      </c>
      <c r="BV164" s="6"/>
      <c r="BW164" s="6"/>
      <c r="BX164" s="6"/>
      <c r="BY164" s="7">
        <f>ROUND(72,2)</f>
        <v>72</v>
      </c>
      <c r="BZ164" s="7">
        <f>ROUND(8,2)</f>
        <v>8</v>
      </c>
      <c r="CA164" s="6"/>
      <c r="CB164" s="7">
        <f>ROUND(243,2)</f>
        <v>243</v>
      </c>
      <c r="CC164" s="7">
        <f>ROUND(68682.3099999999,2)</f>
        <v>68682.31</v>
      </c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7">
        <f>ROUND(10125,2)</f>
        <v>10125</v>
      </c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7">
        <f>ROUND(2506.32,2)</f>
        <v>2506.3200000000002</v>
      </c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7">
        <f>ROUND(81313.63,2)</f>
        <v>81313.63</v>
      </c>
    </row>
    <row r="165" spans="1:152" ht="24">
      <c r="A165" s="4" t="s">
        <v>512</v>
      </c>
      <c r="B165" s="4"/>
      <c r="C165" s="5" t="s">
        <v>294</v>
      </c>
      <c r="D165" s="5" t="s">
        <v>247</v>
      </c>
      <c r="E165" s="5" t="s">
        <v>0</v>
      </c>
      <c r="F165" s="5" t="s">
        <v>0</v>
      </c>
      <c r="G165" s="5" t="s">
        <v>513</v>
      </c>
      <c r="H165" s="10">
        <v>980.77</v>
      </c>
      <c r="I165" s="7">
        <f>ROUND(1441,2)</f>
        <v>1441</v>
      </c>
      <c r="J165" s="7">
        <f>ROUND(112.25,2)</f>
        <v>112.25</v>
      </c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7">
        <f>ROUND(16,2)</f>
        <v>16</v>
      </c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7">
        <f>ROUND(32,2)</f>
        <v>32</v>
      </c>
      <c r="BU165" s="6"/>
      <c r="BV165" s="6"/>
      <c r="BW165" s="6"/>
      <c r="BX165" s="7">
        <f>ROUND(24,2)</f>
        <v>24</v>
      </c>
      <c r="BY165" s="7">
        <f>ROUND(50.5,2)</f>
        <v>50.5</v>
      </c>
      <c r="BZ165" s="6"/>
      <c r="CA165" s="6"/>
      <c r="CB165" s="7">
        <f>ROUND(1675.75,2)</f>
        <v>1675.75</v>
      </c>
      <c r="CC165" s="7">
        <f>ROUND(32283.2899999999,2)</f>
        <v>32283.29</v>
      </c>
      <c r="CD165" s="7">
        <f>ROUND(3758.93,2)</f>
        <v>3758.93</v>
      </c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7">
        <f>ROUND(375.12,2)</f>
        <v>375.12</v>
      </c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7">
        <f>ROUND(1451.6,2)</f>
        <v>1451.6</v>
      </c>
      <c r="EF165" s="6"/>
      <c r="EG165" s="7">
        <f>ROUND(718.319999999999,2)</f>
        <v>718.32</v>
      </c>
      <c r="EH165" s="6"/>
      <c r="EI165" s="6"/>
      <c r="EJ165" s="6"/>
      <c r="EK165" s="6"/>
      <c r="EL165" s="6"/>
      <c r="EM165" s="6"/>
      <c r="EN165" s="7">
        <f>ROUND(556.64,2)</f>
        <v>556.64</v>
      </c>
      <c r="EO165" s="6"/>
      <c r="EP165" s="6"/>
      <c r="EQ165" s="6"/>
      <c r="ER165" s="6"/>
      <c r="ES165" s="7">
        <f>ROUND(1157.23999999999,2)</f>
        <v>1157.24</v>
      </c>
      <c r="ET165" s="6"/>
      <c r="EU165" s="6"/>
      <c r="EV165" s="7">
        <f>ROUND(40301.14,2)</f>
        <v>40301.14</v>
      </c>
    </row>
    <row r="166" spans="1:152">
      <c r="A166" s="4" t="s">
        <v>514</v>
      </c>
      <c r="B166" s="4" t="s">
        <v>1058</v>
      </c>
      <c r="C166" s="5" t="s">
        <v>152</v>
      </c>
      <c r="D166" s="5" t="s">
        <v>515</v>
      </c>
      <c r="E166" s="5" t="s">
        <v>0</v>
      </c>
      <c r="F166" s="5" t="s">
        <v>0</v>
      </c>
      <c r="G166" s="5" t="s">
        <v>155</v>
      </c>
      <c r="H166" s="10">
        <v>30.4</v>
      </c>
      <c r="I166" s="6"/>
      <c r="J166" s="6"/>
      <c r="K166" s="6"/>
      <c r="L166" s="6"/>
      <c r="M166" s="7">
        <f>ROUND(1821.94,2)</f>
        <v>1821.94</v>
      </c>
      <c r="N166" s="6"/>
      <c r="O166" s="6"/>
      <c r="P166" s="7">
        <f>ROUND(262.69,2)</f>
        <v>262.69</v>
      </c>
      <c r="Q166" s="6"/>
      <c r="R166" s="6"/>
      <c r="S166" s="6"/>
      <c r="T166" s="7">
        <f>ROUND(0.3,2)</f>
        <v>0.3</v>
      </c>
      <c r="U166" s="6"/>
      <c r="V166" s="6"/>
      <c r="W166" s="6"/>
      <c r="X166" s="6"/>
      <c r="Y166" s="6"/>
      <c r="Z166" s="6"/>
      <c r="AA166" s="6"/>
      <c r="AB166" s="6"/>
      <c r="AC166" s="7">
        <f>ROUND(48.05,2)</f>
        <v>48.05</v>
      </c>
      <c r="AD166" s="6"/>
      <c r="AE166" s="6"/>
      <c r="AF166" s="6"/>
      <c r="AG166" s="6"/>
      <c r="AH166" s="7">
        <f>ROUND(88,2)</f>
        <v>88</v>
      </c>
      <c r="AI166" s="6"/>
      <c r="AJ166" s="7">
        <f>ROUND(80,2)</f>
        <v>80</v>
      </c>
      <c r="AK166" s="6"/>
      <c r="AL166" s="7">
        <f>ROUND(8,2)</f>
        <v>8</v>
      </c>
      <c r="AM166" s="7">
        <f>ROUND(2.53,2)</f>
        <v>2.5299999999999998</v>
      </c>
      <c r="AN166" s="6"/>
      <c r="AO166" s="6"/>
      <c r="AP166" s="7">
        <f>ROUND(48.52,2)</f>
        <v>48.52</v>
      </c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7">
        <f>ROUND(2360.02999999999,2)</f>
        <v>2360.0300000000002</v>
      </c>
      <c r="CC166" s="6"/>
      <c r="CD166" s="6"/>
      <c r="CE166" s="6"/>
      <c r="CF166" s="6"/>
      <c r="CG166" s="7">
        <f>ROUND(48316.3199999999,2)</f>
        <v>48316.32</v>
      </c>
      <c r="CH166" s="6"/>
      <c r="CI166" s="6"/>
      <c r="CJ166" s="7">
        <f>ROUND(10443.8399999999,2)</f>
        <v>10443.84</v>
      </c>
      <c r="CK166" s="6"/>
      <c r="CL166" s="6"/>
      <c r="CM166" s="6"/>
      <c r="CN166" s="7">
        <f>ROUND(15.5,2)</f>
        <v>15.5</v>
      </c>
      <c r="CO166" s="6"/>
      <c r="CP166" s="6"/>
      <c r="CQ166" s="6"/>
      <c r="CR166" s="6"/>
      <c r="CS166" s="6"/>
      <c r="CT166" s="6"/>
      <c r="CU166" s="6"/>
      <c r="CV166" s="6"/>
      <c r="CW166" s="7">
        <f>ROUND(1248.52,2)</f>
        <v>1248.52</v>
      </c>
      <c r="CX166" s="6"/>
      <c r="CY166" s="6"/>
      <c r="CZ166" s="6"/>
      <c r="DA166" s="6"/>
      <c r="DB166" s="6"/>
      <c r="DC166" s="7">
        <f>ROUND(2419.49,2)</f>
        <v>2419.4899999999998</v>
      </c>
      <c r="DD166" s="6"/>
      <c r="DE166" s="7">
        <f>ROUND(2066.72,2)</f>
        <v>2066.7199999999998</v>
      </c>
      <c r="DF166" s="6"/>
      <c r="DG166" s="6"/>
      <c r="DH166" s="6"/>
      <c r="DI166" s="7">
        <f>ROUND(206.67,2)</f>
        <v>206.67</v>
      </c>
      <c r="DJ166" s="7">
        <f>ROUND(65.74,2)</f>
        <v>65.739999999999995</v>
      </c>
      <c r="DK166" s="6"/>
      <c r="DL166" s="6"/>
      <c r="DM166" s="7">
        <f>ROUND(1253.47,2)</f>
        <v>1253.47</v>
      </c>
      <c r="DN166" s="6"/>
      <c r="DO166" s="6"/>
      <c r="DP166" s="6"/>
      <c r="DQ166" s="6"/>
      <c r="DR166" s="7">
        <f>ROUND(500,2)</f>
        <v>500</v>
      </c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7">
        <f>ROUND(1375,2)</f>
        <v>1375</v>
      </c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7">
        <f>ROUND(1250,2)</f>
        <v>1250</v>
      </c>
      <c r="ER166" s="6"/>
      <c r="ES166" s="6"/>
      <c r="ET166" s="6"/>
      <c r="EU166" s="6"/>
      <c r="EV166" s="7">
        <f>ROUND(69161.27,2)</f>
        <v>69161.27</v>
      </c>
    </row>
    <row r="167" spans="1:152">
      <c r="A167" s="4" t="s">
        <v>516</v>
      </c>
      <c r="B167" s="4" t="s">
        <v>1058</v>
      </c>
      <c r="C167" s="5" t="s">
        <v>152</v>
      </c>
      <c r="D167" s="5" t="s">
        <v>517</v>
      </c>
      <c r="E167" s="5" t="s">
        <v>0</v>
      </c>
      <c r="F167" s="5" t="s">
        <v>0</v>
      </c>
      <c r="G167" s="5" t="s">
        <v>155</v>
      </c>
      <c r="H167" s="10">
        <v>30.4</v>
      </c>
      <c r="I167" s="6"/>
      <c r="J167" s="6"/>
      <c r="K167" s="6"/>
      <c r="L167" s="6"/>
      <c r="M167" s="7">
        <f>ROUND(1387.8,2)</f>
        <v>1387.8</v>
      </c>
      <c r="N167" s="6"/>
      <c r="O167" s="6"/>
      <c r="P167" s="7">
        <f>ROUND(282.019999999999,2)</f>
        <v>282.02</v>
      </c>
      <c r="Q167" s="6"/>
      <c r="R167" s="6"/>
      <c r="S167" s="6"/>
      <c r="T167" s="6"/>
      <c r="U167" s="7">
        <f>ROUND(19.7599999999999,2)</f>
        <v>19.760000000000002</v>
      </c>
      <c r="V167" s="7">
        <f>ROUND(18.16,2)</f>
        <v>18.16</v>
      </c>
      <c r="W167" s="7">
        <f>ROUND(1.81999999999999,2)</f>
        <v>1.82</v>
      </c>
      <c r="X167" s="7">
        <f>ROUND(0.5,2)</f>
        <v>0.5</v>
      </c>
      <c r="Y167" s="7">
        <f>ROUND(0.75,2)</f>
        <v>0.75</v>
      </c>
      <c r="Z167" s="6"/>
      <c r="AA167" s="6"/>
      <c r="AB167" s="6"/>
      <c r="AC167" s="7">
        <f>ROUND(41.2399999999999,2)</f>
        <v>41.24</v>
      </c>
      <c r="AD167" s="7">
        <f>ROUND(3,2)</f>
        <v>3</v>
      </c>
      <c r="AE167" s="6"/>
      <c r="AF167" s="7">
        <f>ROUND(411.06,2)</f>
        <v>411.06</v>
      </c>
      <c r="AG167" s="7">
        <f>ROUND(58.58,2)</f>
        <v>58.58</v>
      </c>
      <c r="AH167" s="7">
        <f>ROUND(92,2)</f>
        <v>92</v>
      </c>
      <c r="AI167" s="6"/>
      <c r="AJ167" s="7">
        <f>ROUND(120,2)</f>
        <v>120</v>
      </c>
      <c r="AK167" s="6"/>
      <c r="AL167" s="7">
        <f>ROUND(8,2)</f>
        <v>8</v>
      </c>
      <c r="AM167" s="6"/>
      <c r="AN167" s="6"/>
      <c r="AO167" s="6"/>
      <c r="AP167" s="6"/>
      <c r="AQ167" s="6"/>
      <c r="AR167" s="6"/>
      <c r="AS167" s="6"/>
      <c r="AT167" s="6"/>
      <c r="AU167" s="6"/>
      <c r="AV167" s="7">
        <f>ROUND(4.5,2)</f>
        <v>4.5</v>
      </c>
      <c r="AW167" s="6"/>
      <c r="AX167" s="7">
        <f>ROUND(5.83,2)</f>
        <v>5.83</v>
      </c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7">
        <f>ROUND(2455.02,2)</f>
        <v>2455.02</v>
      </c>
      <c r="CC167" s="6"/>
      <c r="CD167" s="6"/>
      <c r="CE167" s="6"/>
      <c r="CF167" s="6"/>
      <c r="CG167" s="7">
        <f>ROUND(39338.12,2)</f>
        <v>39338.120000000003</v>
      </c>
      <c r="CH167" s="6"/>
      <c r="CI167" s="6"/>
      <c r="CJ167" s="7">
        <f>ROUND(12054.61,2)</f>
        <v>12054.61</v>
      </c>
      <c r="CK167" s="6"/>
      <c r="CL167" s="6"/>
      <c r="CM167" s="6"/>
      <c r="CN167" s="6"/>
      <c r="CO167" s="7">
        <f>ROUND(549.03,2)</f>
        <v>549.03</v>
      </c>
      <c r="CP167" s="7">
        <f>ROUND(758.56,2)</f>
        <v>758.56</v>
      </c>
      <c r="CQ167" s="7">
        <f>ROUND(52.7399999999999,2)</f>
        <v>52.74</v>
      </c>
      <c r="CR167" s="7">
        <f>ROUND(20.84,2)</f>
        <v>20.84</v>
      </c>
      <c r="CS167" s="7">
        <f>ROUND(45.6,2)</f>
        <v>45.6</v>
      </c>
      <c r="CT167" s="6"/>
      <c r="CU167" s="6"/>
      <c r="CV167" s="6"/>
      <c r="CW167" s="7">
        <f>ROUND(1149.88999999999,2)</f>
        <v>1149.8900000000001</v>
      </c>
      <c r="CX167" s="7">
        <f>ROUND(125.01,2)</f>
        <v>125.01</v>
      </c>
      <c r="CY167" s="6"/>
      <c r="CZ167" s="6"/>
      <c r="DA167" s="7">
        <f>ROUND(11461.51,2)</f>
        <v>11461.51</v>
      </c>
      <c r="DB167" s="7">
        <f>ROUND(2495.29,2)</f>
        <v>2495.29</v>
      </c>
      <c r="DC167" s="7">
        <f>ROUND(2597.67999999999,2)</f>
        <v>2597.6799999999998</v>
      </c>
      <c r="DD167" s="6"/>
      <c r="DE167" s="7">
        <f>ROUND(3396.48,2)</f>
        <v>3396.48</v>
      </c>
      <c r="DF167" s="6"/>
      <c r="DG167" s="6"/>
      <c r="DH167" s="6"/>
      <c r="DI167" s="7">
        <f>ROUND(222.24,2)</f>
        <v>222.24</v>
      </c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7">
        <f>ROUND(125.69,2)</f>
        <v>125.69</v>
      </c>
      <c r="DX167" s="6"/>
      <c r="DY167" s="7">
        <f>ROUND(177.23,2)</f>
        <v>177.23</v>
      </c>
      <c r="DZ167" s="6"/>
      <c r="EA167" s="6"/>
      <c r="EB167" s="6"/>
      <c r="EC167" s="6"/>
      <c r="ED167" s="6"/>
      <c r="EE167" s="7">
        <f>ROUND(2000,2)</f>
        <v>2000</v>
      </c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7">
        <f>ROUND(1250,2)</f>
        <v>1250</v>
      </c>
      <c r="ER167" s="6"/>
      <c r="ES167" s="6"/>
      <c r="ET167" s="6"/>
      <c r="EU167" s="6"/>
      <c r="EV167" s="7">
        <f>ROUND(77820.52,2)</f>
        <v>77820.52</v>
      </c>
    </row>
    <row r="168" spans="1:152">
      <c r="A168" s="4" t="s">
        <v>518</v>
      </c>
      <c r="B168" s="4" t="s">
        <v>1058</v>
      </c>
      <c r="C168" s="5" t="s">
        <v>152</v>
      </c>
      <c r="D168" s="5" t="s">
        <v>519</v>
      </c>
      <c r="E168" s="5" t="s">
        <v>0</v>
      </c>
      <c r="F168" s="5" t="s">
        <v>0</v>
      </c>
      <c r="G168" s="5" t="s">
        <v>155</v>
      </c>
      <c r="H168" s="10">
        <v>30.4</v>
      </c>
      <c r="I168" s="6"/>
      <c r="J168" s="6"/>
      <c r="K168" s="6"/>
      <c r="L168" s="6"/>
      <c r="M168" s="7">
        <f>ROUND(430.77,2)</f>
        <v>430.77</v>
      </c>
      <c r="N168" s="6"/>
      <c r="O168" s="6"/>
      <c r="P168" s="7">
        <f>ROUND(16.67,2)</f>
        <v>16.670000000000002</v>
      </c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7">
        <f>ROUND(72,2)</f>
        <v>72</v>
      </c>
      <c r="AI168" s="6"/>
      <c r="AJ168" s="7">
        <f>ROUND(8,2)</f>
        <v>8</v>
      </c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7">
        <f>ROUND(24,2)</f>
        <v>24</v>
      </c>
      <c r="BC168" s="7">
        <f>ROUND(1409.62,2)</f>
        <v>1409.62</v>
      </c>
      <c r="BD168" s="7">
        <f>ROUND(9.36,2)</f>
        <v>9.36</v>
      </c>
      <c r="BE168" s="7">
        <f>ROUND(1.33,2)</f>
        <v>1.33</v>
      </c>
      <c r="BF168" s="6"/>
      <c r="BG168" s="6"/>
      <c r="BH168" s="7">
        <f>ROUND(40,2)</f>
        <v>40</v>
      </c>
      <c r="BI168" s="6"/>
      <c r="BJ168" s="6"/>
      <c r="BK168" s="6"/>
      <c r="BL168" s="6"/>
      <c r="BM168" s="7">
        <f>ROUND(192,2)</f>
        <v>192</v>
      </c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7">
        <f>ROUND(112,2)</f>
        <v>112</v>
      </c>
      <c r="CB168" s="7">
        <f>ROUND(2315.75,2)</f>
        <v>2315.75</v>
      </c>
      <c r="CC168" s="6"/>
      <c r="CD168" s="6"/>
      <c r="CE168" s="6"/>
      <c r="CF168" s="6"/>
      <c r="CG168" s="7">
        <f>ROUND(12461.97,2)</f>
        <v>12461.97</v>
      </c>
      <c r="CH168" s="6"/>
      <c r="CI168" s="6"/>
      <c r="CJ168" s="7">
        <f>ROUND(716.97,2)</f>
        <v>716.97</v>
      </c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7">
        <f>ROUND(2125.91999999999,2)</f>
        <v>2125.92</v>
      </c>
      <c r="DD168" s="6"/>
      <c r="DE168" s="7">
        <f>ROUND(243.2,2)</f>
        <v>243.2</v>
      </c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7">
        <f>ROUND(75,2)</f>
        <v>75</v>
      </c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7">
        <f>ROUND(295.2,2)</f>
        <v>295.2</v>
      </c>
      <c r="ER168" s="6"/>
      <c r="ES168" s="6"/>
      <c r="ET168" s="6"/>
      <c r="EU168" s="7">
        <f>ROUND(3404.8,2)</f>
        <v>3404.8</v>
      </c>
      <c r="EV168" s="7">
        <f>ROUND(19323.06,2)</f>
        <v>19323.060000000001</v>
      </c>
    </row>
    <row r="169" spans="1:152" ht="24">
      <c r="A169" s="4" t="s">
        <v>520</v>
      </c>
      <c r="B169" s="4"/>
      <c r="C169" s="5" t="s">
        <v>178</v>
      </c>
      <c r="D169" s="5" t="s">
        <v>521</v>
      </c>
      <c r="E169" s="5" t="s">
        <v>0</v>
      </c>
      <c r="F169" s="5" t="s">
        <v>0</v>
      </c>
      <c r="G169" s="5" t="s">
        <v>248</v>
      </c>
      <c r="H169" s="10">
        <v>18.54</v>
      </c>
      <c r="I169" s="7">
        <f>ROUND(577.5,2)</f>
        <v>577.5</v>
      </c>
      <c r="J169" s="7">
        <f>ROUND(3,2)</f>
        <v>3</v>
      </c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7">
        <f>ROUND(10,2)</f>
        <v>10</v>
      </c>
      <c r="BU169" s="6"/>
      <c r="BV169" s="6"/>
      <c r="BW169" s="6"/>
      <c r="BX169" s="6"/>
      <c r="BY169" s="6"/>
      <c r="BZ169" s="6"/>
      <c r="CA169" s="6"/>
      <c r="CB169" s="7">
        <f>ROUND(590.5,2)</f>
        <v>590.5</v>
      </c>
      <c r="CC169" s="7">
        <f>ROUND(10504.35,2)</f>
        <v>10504.35</v>
      </c>
      <c r="CD169" s="7">
        <f>ROUND(83.43,2)</f>
        <v>83.43</v>
      </c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7">
        <f>ROUND(225,2)</f>
        <v>225</v>
      </c>
      <c r="EF169" s="6"/>
      <c r="EG169" s="7">
        <f>ROUND(182.7,2)</f>
        <v>182.7</v>
      </c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7">
        <f>ROUND(10995.48,2)</f>
        <v>10995.48</v>
      </c>
    </row>
    <row r="170" spans="1:152" ht="24">
      <c r="A170" s="4" t="s">
        <v>522</v>
      </c>
      <c r="B170" s="4"/>
      <c r="C170" s="5" t="s">
        <v>341</v>
      </c>
      <c r="D170" s="5" t="s">
        <v>523</v>
      </c>
      <c r="E170" s="5" t="s">
        <v>0</v>
      </c>
      <c r="F170" s="5" t="s">
        <v>0</v>
      </c>
      <c r="G170" s="5" t="s">
        <v>524</v>
      </c>
      <c r="H170" s="10">
        <v>2178.84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7">
        <f>ROUND(16,2)</f>
        <v>16</v>
      </c>
      <c r="BU170" s="6"/>
      <c r="BV170" s="6"/>
      <c r="BW170" s="6"/>
      <c r="BX170" s="6"/>
      <c r="BY170" s="7">
        <f>ROUND(72,2)</f>
        <v>72</v>
      </c>
      <c r="BZ170" s="6"/>
      <c r="CA170" s="6"/>
      <c r="CB170" s="7">
        <f>ROUND(88,2)</f>
        <v>88</v>
      </c>
      <c r="CC170" s="7">
        <f>ROUND(49034.4999999999,2)</f>
        <v>49034.5</v>
      </c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7">
        <f>ROUND(435.76,2)</f>
        <v>435.76</v>
      </c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7">
        <f>ROUND(49470.2599999999,2)</f>
        <v>49470.26</v>
      </c>
    </row>
    <row r="171" spans="1:152">
      <c r="A171" s="4" t="s">
        <v>525</v>
      </c>
      <c r="B171" s="4" t="s">
        <v>1058</v>
      </c>
      <c r="C171" s="5" t="s">
        <v>152</v>
      </c>
      <c r="D171" s="5" t="s">
        <v>160</v>
      </c>
      <c r="E171" s="5" t="s">
        <v>526</v>
      </c>
      <c r="F171" s="5" t="s">
        <v>0</v>
      </c>
      <c r="G171" s="5" t="s">
        <v>155</v>
      </c>
      <c r="H171" s="10">
        <v>17.5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7">
        <f>ROUND(5,2)</f>
        <v>5</v>
      </c>
      <c r="AI171" s="6"/>
      <c r="AJ171" s="6"/>
      <c r="AK171" s="6"/>
      <c r="AL171" s="7">
        <f>ROUND(112,2)</f>
        <v>112</v>
      </c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7">
        <f>ROUND(117,2)</f>
        <v>117</v>
      </c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7">
        <f>ROUND(87.5,2)</f>
        <v>87.5</v>
      </c>
      <c r="DD171" s="6"/>
      <c r="DE171" s="6"/>
      <c r="DF171" s="6"/>
      <c r="DG171" s="6"/>
      <c r="DH171" s="6"/>
      <c r="DI171" s="7">
        <f>ROUND(1960,2)</f>
        <v>1960</v>
      </c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7">
        <f>ROUND(2047.5,2)</f>
        <v>2047.5</v>
      </c>
    </row>
    <row r="172" spans="1:152">
      <c r="A172" s="4" t="s">
        <v>527</v>
      </c>
      <c r="B172" s="4" t="s">
        <v>1058</v>
      </c>
      <c r="C172" s="5" t="s">
        <v>152</v>
      </c>
      <c r="D172" s="5" t="s">
        <v>171</v>
      </c>
      <c r="E172" s="5" t="s">
        <v>239</v>
      </c>
      <c r="F172" s="5" t="s">
        <v>0</v>
      </c>
      <c r="G172" s="5" t="s">
        <v>155</v>
      </c>
      <c r="H172" s="10">
        <v>20.84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7">
        <f>ROUND(24,2)</f>
        <v>24</v>
      </c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7">
        <f>ROUND(8,2)</f>
        <v>8</v>
      </c>
      <c r="BI172" s="6"/>
      <c r="BJ172" s="6"/>
      <c r="BK172" s="6"/>
      <c r="BL172" s="6"/>
      <c r="BM172" s="7">
        <f>ROUND(24,2)</f>
        <v>24</v>
      </c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7">
        <f>ROUND(56,2)</f>
        <v>56</v>
      </c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7">
        <f>ROUND(503.64,2)</f>
        <v>503.64</v>
      </c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7">
        <f>ROUND(503.64,2)</f>
        <v>503.64</v>
      </c>
    </row>
    <row r="173" spans="1:152" ht="24">
      <c r="A173" s="4" t="s">
        <v>528</v>
      </c>
      <c r="B173" s="4"/>
      <c r="C173" s="5" t="s">
        <v>430</v>
      </c>
      <c r="D173" s="5" t="s">
        <v>529</v>
      </c>
      <c r="E173" s="5" t="s">
        <v>0</v>
      </c>
      <c r="F173" s="5" t="s">
        <v>0</v>
      </c>
      <c r="G173" s="5" t="s">
        <v>433</v>
      </c>
      <c r="H173" s="10">
        <v>1346.15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7">
        <f>ROUND(1,2)</f>
        <v>1</v>
      </c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7">
        <f>ROUND(8,2)</f>
        <v>8</v>
      </c>
      <c r="BU173" s="6"/>
      <c r="BV173" s="6"/>
      <c r="BW173" s="6"/>
      <c r="BX173" s="6"/>
      <c r="BY173" s="6"/>
      <c r="BZ173" s="6"/>
      <c r="CA173" s="6"/>
      <c r="CB173" s="7">
        <f>ROUND(9,2)</f>
        <v>9</v>
      </c>
      <c r="CC173" s="7">
        <f>ROUND(16153.7999999999,2)</f>
        <v>16153.8</v>
      </c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7">
        <f>ROUND(375,2)</f>
        <v>375</v>
      </c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7">
        <f>ROUND(225,2)</f>
        <v>225</v>
      </c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7">
        <f>ROUND(16753.8,2)</f>
        <v>16753.8</v>
      </c>
    </row>
    <row r="174" spans="1:152">
      <c r="A174" s="4" t="s">
        <v>530</v>
      </c>
      <c r="B174" s="4" t="s">
        <v>1058</v>
      </c>
      <c r="C174" s="5" t="s">
        <v>152</v>
      </c>
      <c r="D174" s="5" t="s">
        <v>406</v>
      </c>
      <c r="E174" s="5" t="s">
        <v>0</v>
      </c>
      <c r="F174" s="5" t="s">
        <v>0</v>
      </c>
      <c r="G174" s="5" t="s">
        <v>155</v>
      </c>
      <c r="H174" s="10">
        <v>30.4</v>
      </c>
      <c r="I174" s="6"/>
      <c r="J174" s="6"/>
      <c r="K174" s="6"/>
      <c r="L174" s="6"/>
      <c r="M174" s="7">
        <f>ROUND(1463.07,2)</f>
        <v>1463.07</v>
      </c>
      <c r="N174" s="6"/>
      <c r="O174" s="6"/>
      <c r="P174" s="7">
        <f>ROUND(482.529999999999,2)</f>
        <v>482.53</v>
      </c>
      <c r="Q174" s="6"/>
      <c r="R174" s="6"/>
      <c r="S174" s="6"/>
      <c r="T174" s="6"/>
      <c r="U174" s="7">
        <f>ROUND(3.6,2)</f>
        <v>3.6</v>
      </c>
      <c r="V174" s="7">
        <f>ROUND(25.52,2)</f>
        <v>25.52</v>
      </c>
      <c r="W174" s="7">
        <f>ROUND(1.17,2)</f>
        <v>1.17</v>
      </c>
      <c r="X174" s="7">
        <f>ROUND(0.25,2)</f>
        <v>0.25</v>
      </c>
      <c r="Y174" s="6"/>
      <c r="Z174" s="6"/>
      <c r="AA174" s="6"/>
      <c r="AB174" s="6"/>
      <c r="AC174" s="7">
        <f>ROUND(313.69,2)</f>
        <v>313.69</v>
      </c>
      <c r="AD174" s="7">
        <f>ROUND(24.19,2)</f>
        <v>24.19</v>
      </c>
      <c r="AE174" s="6"/>
      <c r="AF174" s="7">
        <f>ROUND(33.04,2)</f>
        <v>33.04</v>
      </c>
      <c r="AG174" s="7">
        <f>ROUND(53.38,2)</f>
        <v>53.38</v>
      </c>
      <c r="AH174" s="7">
        <f>ROUND(88,2)</f>
        <v>88</v>
      </c>
      <c r="AI174" s="6"/>
      <c r="AJ174" s="7">
        <f>ROUND(160,2)</f>
        <v>160</v>
      </c>
      <c r="AK174" s="6"/>
      <c r="AL174" s="7">
        <f>ROUND(8.83,2)</f>
        <v>8.83</v>
      </c>
      <c r="AM174" s="6"/>
      <c r="AN174" s="6"/>
      <c r="AO174" s="6"/>
      <c r="AP174" s="7">
        <f>ROUND(16,2)</f>
        <v>16</v>
      </c>
      <c r="AQ174" s="7">
        <f>ROUND(5.25,2)</f>
        <v>5.25</v>
      </c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7">
        <f>ROUND(2678.52,2)</f>
        <v>2678.52</v>
      </c>
      <c r="CC174" s="6"/>
      <c r="CD174" s="6"/>
      <c r="CE174" s="6"/>
      <c r="CF174" s="6"/>
      <c r="CG174" s="7">
        <f>ROUND(41164.9199999999,2)</f>
        <v>41164.92</v>
      </c>
      <c r="CH174" s="6"/>
      <c r="CI174" s="6"/>
      <c r="CJ174" s="7">
        <f>ROUND(20185.96,2)</f>
        <v>20185.96</v>
      </c>
      <c r="CK174" s="6"/>
      <c r="CL174" s="6"/>
      <c r="CM174" s="6"/>
      <c r="CN174" s="6"/>
      <c r="CO174" s="7">
        <f>ROUND(100.7,2)</f>
        <v>100.7</v>
      </c>
      <c r="CP174" s="7">
        <f>ROUND(1107.33,2)</f>
        <v>1107.33</v>
      </c>
      <c r="CQ174" s="7">
        <f>ROUND(35.57,2)</f>
        <v>35.57</v>
      </c>
      <c r="CR174" s="7">
        <f>ROUND(11.4,2)</f>
        <v>11.4</v>
      </c>
      <c r="CS174" s="6"/>
      <c r="CT174" s="6"/>
      <c r="CU174" s="6"/>
      <c r="CV174" s="6"/>
      <c r="CW174" s="7">
        <f>ROUND(9275.22,2)</f>
        <v>9275.2199999999993</v>
      </c>
      <c r="CX174" s="7">
        <f>ROUND(1052.45,2)</f>
        <v>1052.45</v>
      </c>
      <c r="CY174" s="6"/>
      <c r="CZ174" s="6"/>
      <c r="DA174" s="7">
        <f>ROUND(998.36,2)</f>
        <v>998.36</v>
      </c>
      <c r="DB174" s="7">
        <f>ROUND(2335.84,2)</f>
        <v>2335.84</v>
      </c>
      <c r="DC174" s="7">
        <f>ROUND(2486.56,2)</f>
        <v>2486.56</v>
      </c>
      <c r="DD174" s="6"/>
      <c r="DE174" s="7">
        <f>ROUND(4444.8,2)</f>
        <v>4444.8</v>
      </c>
      <c r="DF174" s="6"/>
      <c r="DG174" s="6"/>
      <c r="DH174" s="6"/>
      <c r="DI174" s="7">
        <f>ROUND(245.3,2)</f>
        <v>245.3</v>
      </c>
      <c r="DJ174" s="6"/>
      <c r="DK174" s="6"/>
      <c r="DL174" s="6"/>
      <c r="DM174" s="7">
        <f>ROUND(444.48,2)</f>
        <v>444.48</v>
      </c>
      <c r="DN174" s="6"/>
      <c r="DO174" s="7">
        <f>ROUND(159.6,2)</f>
        <v>159.6</v>
      </c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7">
        <f>ROUND(1375,2)</f>
        <v>1375</v>
      </c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7">
        <f>ROUND(1250,2)</f>
        <v>1250</v>
      </c>
      <c r="ER174" s="6"/>
      <c r="ES174" s="6"/>
      <c r="ET174" s="6"/>
      <c r="EU174" s="6"/>
      <c r="EV174" s="7">
        <f>ROUND(86673.49,2)</f>
        <v>86673.49</v>
      </c>
    </row>
    <row r="175" spans="1:152">
      <c r="A175" s="4" t="s">
        <v>531</v>
      </c>
      <c r="B175" s="4" t="s">
        <v>1058</v>
      </c>
      <c r="C175" s="5" t="s">
        <v>211</v>
      </c>
      <c r="D175" s="5" t="s">
        <v>212</v>
      </c>
      <c r="E175" s="5" t="s">
        <v>0</v>
      </c>
      <c r="F175" s="5" t="s">
        <v>0</v>
      </c>
      <c r="G175" s="5" t="s">
        <v>532</v>
      </c>
      <c r="H175" s="10">
        <v>24.54</v>
      </c>
      <c r="I175" s="6"/>
      <c r="J175" s="6"/>
      <c r="K175" s="6"/>
      <c r="L175" s="6"/>
      <c r="M175" s="6"/>
      <c r="N175" s="7">
        <f>ROUND(72,2)</f>
        <v>72</v>
      </c>
      <c r="O175" s="7">
        <f>ROUND(16,2)</f>
        <v>16</v>
      </c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7">
        <f>ROUND(8,2)</f>
        <v>8</v>
      </c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7">
        <f>ROUND(96,2)</f>
        <v>96</v>
      </c>
      <c r="CC175" s="6"/>
      <c r="CD175" s="6"/>
      <c r="CE175" s="6"/>
      <c r="CF175" s="6"/>
      <c r="CG175" s="6"/>
      <c r="CH175" s="7">
        <f>ROUND(1770.48,2)</f>
        <v>1770.48</v>
      </c>
      <c r="CI175" s="7">
        <f>ROUND(590.76,2)</f>
        <v>590.76</v>
      </c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7">
        <f>ROUND(196.32,2)</f>
        <v>196.32</v>
      </c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7">
        <f>ROUND(2557.56,2)</f>
        <v>2557.56</v>
      </c>
    </row>
    <row r="176" spans="1:152">
      <c r="A176" s="4" t="s">
        <v>533</v>
      </c>
      <c r="B176" s="4" t="s">
        <v>1058</v>
      </c>
      <c r="C176" s="5" t="s">
        <v>152</v>
      </c>
      <c r="D176" s="5" t="s">
        <v>171</v>
      </c>
      <c r="E176" s="5" t="s">
        <v>534</v>
      </c>
      <c r="F176" s="5" t="s">
        <v>0</v>
      </c>
      <c r="G176" s="5" t="s">
        <v>155</v>
      </c>
      <c r="H176" s="10">
        <v>20.84</v>
      </c>
      <c r="I176" s="6"/>
      <c r="J176" s="6"/>
      <c r="K176" s="6"/>
      <c r="L176" s="6"/>
      <c r="M176" s="7">
        <f>ROUND(638.38,2)</f>
        <v>638.38</v>
      </c>
      <c r="N176" s="6"/>
      <c r="O176" s="6"/>
      <c r="P176" s="7">
        <f>ROUND(69.75,2)</f>
        <v>69.75</v>
      </c>
      <c r="Q176" s="6"/>
      <c r="R176" s="6"/>
      <c r="S176" s="6"/>
      <c r="T176" s="6"/>
      <c r="U176" s="7">
        <f>ROUND(32.63,2)</f>
        <v>32.630000000000003</v>
      </c>
      <c r="V176" s="7">
        <f>ROUND(13.52,2)</f>
        <v>13.52</v>
      </c>
      <c r="W176" s="7">
        <f>ROUND(4.07,2)</f>
        <v>4.07</v>
      </c>
      <c r="X176" s="7">
        <f>ROUND(0.33,2)</f>
        <v>0.33</v>
      </c>
      <c r="Y176" s="6"/>
      <c r="Z176" s="6"/>
      <c r="AA176" s="6"/>
      <c r="AB176" s="6"/>
      <c r="AC176" s="7">
        <f>ROUND(69.16,2)</f>
        <v>69.16</v>
      </c>
      <c r="AD176" s="7">
        <f>ROUND(4.17,2)</f>
        <v>4.17</v>
      </c>
      <c r="AE176" s="6"/>
      <c r="AF176" s="7">
        <f>ROUND(708.259999999999,2)</f>
        <v>708.26</v>
      </c>
      <c r="AG176" s="7">
        <f>ROUND(90.99,2)</f>
        <v>90.99</v>
      </c>
      <c r="AH176" s="7">
        <f>ROUND(72,2)</f>
        <v>72</v>
      </c>
      <c r="AI176" s="6"/>
      <c r="AJ176" s="7">
        <f>ROUND(24,2)</f>
        <v>24</v>
      </c>
      <c r="AK176" s="6"/>
      <c r="AL176" s="7">
        <f>ROUND(2,2)</f>
        <v>2</v>
      </c>
      <c r="AM176" s="7">
        <f>ROUND(90,2)</f>
        <v>90</v>
      </c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7">
        <f>ROUND(0.45,2)</f>
        <v>0.45</v>
      </c>
      <c r="BE176" s="6"/>
      <c r="BF176" s="6"/>
      <c r="BG176" s="6"/>
      <c r="BH176" s="6"/>
      <c r="BI176" s="6"/>
      <c r="BJ176" s="6"/>
      <c r="BK176" s="6"/>
      <c r="BL176" s="6"/>
      <c r="BM176" s="7">
        <f>ROUND(40,2)</f>
        <v>40</v>
      </c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7">
        <f>ROUND(16,2)</f>
        <v>16</v>
      </c>
      <c r="BZ176" s="6"/>
      <c r="CA176" s="6"/>
      <c r="CB176" s="7">
        <f>ROUND(1875.71,2)</f>
        <v>1875.71</v>
      </c>
      <c r="CC176" s="6"/>
      <c r="CD176" s="6"/>
      <c r="CE176" s="6"/>
      <c r="CF176" s="6"/>
      <c r="CG176" s="7">
        <f>ROUND(13351.4199999999,2)</f>
        <v>13351.42</v>
      </c>
      <c r="CH176" s="6"/>
      <c r="CI176" s="6"/>
      <c r="CJ176" s="7">
        <f>ROUND(2198.57,2)</f>
        <v>2198.5700000000002</v>
      </c>
      <c r="CK176" s="6"/>
      <c r="CL176" s="6"/>
      <c r="CM176" s="6"/>
      <c r="CN176" s="6"/>
      <c r="CO176" s="7">
        <f>ROUND(683.93,2)</f>
        <v>683.93</v>
      </c>
      <c r="CP176" s="7">
        <f>ROUND(423.84,2)</f>
        <v>423.84</v>
      </c>
      <c r="CQ176" s="7">
        <f>ROUND(85.3,2)</f>
        <v>85.3</v>
      </c>
      <c r="CR176" s="7">
        <f>ROUND(10.31,2)</f>
        <v>10.31</v>
      </c>
      <c r="CS176" s="6"/>
      <c r="CT176" s="6"/>
      <c r="CU176" s="6"/>
      <c r="CV176" s="6"/>
      <c r="CW176" s="7">
        <f>ROUND(1445.6,2)</f>
        <v>1445.6</v>
      </c>
      <c r="CX176" s="7">
        <f>ROUND(130.64,2)</f>
        <v>130.63999999999999</v>
      </c>
      <c r="CY176" s="6"/>
      <c r="CZ176" s="6"/>
      <c r="DA176" s="7">
        <f>ROUND(14815.02,2)</f>
        <v>14815.02</v>
      </c>
      <c r="DB176" s="7">
        <f>ROUND(2851.75,2)</f>
        <v>2851.75</v>
      </c>
      <c r="DC176" s="7">
        <f>ROUND(1500.12,2)</f>
        <v>1500.12</v>
      </c>
      <c r="DD176" s="6"/>
      <c r="DE176" s="7">
        <f>ROUND(500.04,2)</f>
        <v>500.04</v>
      </c>
      <c r="DF176" s="6"/>
      <c r="DG176" s="6"/>
      <c r="DH176" s="6"/>
      <c r="DI176" s="7">
        <f>ROUND(41.97,2)</f>
        <v>41.97</v>
      </c>
      <c r="DJ176" s="7">
        <f>ROUND(1979.33,2)</f>
        <v>1979.33</v>
      </c>
      <c r="DK176" s="6"/>
      <c r="DL176" s="6"/>
      <c r="DM176" s="6"/>
      <c r="DN176" s="6"/>
      <c r="DO176" s="6"/>
      <c r="DP176" s="6"/>
      <c r="DQ176" s="6"/>
      <c r="DR176" s="7">
        <f>ROUND(500,2)</f>
        <v>500</v>
      </c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7">
        <f>ROUND(1000,2)</f>
        <v>1000</v>
      </c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7">
        <f>ROUND(1500,2)</f>
        <v>1500</v>
      </c>
      <c r="ER176" s="6"/>
      <c r="ES176" s="7">
        <f>ROUND(333.36,2)</f>
        <v>333.36</v>
      </c>
      <c r="ET176" s="6"/>
      <c r="EU176" s="6"/>
      <c r="EV176" s="7">
        <f>ROUND(43351.2,2)</f>
        <v>43351.199999999997</v>
      </c>
    </row>
    <row r="177" spans="1:152">
      <c r="A177" s="4" t="s">
        <v>535</v>
      </c>
      <c r="B177" s="4"/>
      <c r="C177" s="5" t="s">
        <v>536</v>
      </c>
      <c r="D177" s="5" t="s">
        <v>537</v>
      </c>
      <c r="E177" s="5" t="s">
        <v>0</v>
      </c>
      <c r="F177" s="5" t="s">
        <v>0</v>
      </c>
      <c r="G177" s="5" t="s">
        <v>538</v>
      </c>
      <c r="H177" s="10">
        <v>1390.88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7">
        <f>ROUND(38.5,2)</f>
        <v>38.5</v>
      </c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7">
        <f>ROUND(24,2)</f>
        <v>24</v>
      </c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7">
        <f>ROUND(32,2)</f>
        <v>32</v>
      </c>
      <c r="BU177" s="7">
        <f>ROUND(16,2)</f>
        <v>16</v>
      </c>
      <c r="BV177" s="6"/>
      <c r="BW177" s="6"/>
      <c r="BX177" s="6"/>
      <c r="BY177" s="7">
        <f>ROUND(136,2)</f>
        <v>136</v>
      </c>
      <c r="BZ177" s="6"/>
      <c r="CA177" s="6"/>
      <c r="CB177" s="7">
        <f>ROUND(246.5,2)</f>
        <v>246.5</v>
      </c>
      <c r="CC177" s="7">
        <f>ROUND(68889.1,2)</f>
        <v>68889.100000000006</v>
      </c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7">
        <f>ROUND(3337.92,2)</f>
        <v>3337.92</v>
      </c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7">
        <f>ROUND(72227.02,2)</f>
        <v>72227.02</v>
      </c>
    </row>
    <row r="178" spans="1:152">
      <c r="A178" s="4" t="s">
        <v>539</v>
      </c>
      <c r="B178" s="4" t="s">
        <v>1058</v>
      </c>
      <c r="C178" s="5" t="s">
        <v>152</v>
      </c>
      <c r="D178" s="5" t="s">
        <v>194</v>
      </c>
      <c r="E178" s="5" t="s">
        <v>0</v>
      </c>
      <c r="F178" s="5" t="s">
        <v>0</v>
      </c>
      <c r="G178" s="5" t="s">
        <v>155</v>
      </c>
      <c r="H178" s="10">
        <v>30.4</v>
      </c>
      <c r="I178" s="6"/>
      <c r="J178" s="6"/>
      <c r="K178" s="6"/>
      <c r="L178" s="6"/>
      <c r="M178" s="7">
        <f>ROUND(1386,2)</f>
        <v>1386</v>
      </c>
      <c r="N178" s="6"/>
      <c r="O178" s="6"/>
      <c r="P178" s="7">
        <f>ROUND(219.679999999999,2)</f>
        <v>219.68</v>
      </c>
      <c r="Q178" s="6"/>
      <c r="R178" s="6"/>
      <c r="S178" s="6"/>
      <c r="T178" s="6"/>
      <c r="U178" s="7">
        <f>ROUND(4.25,2)</f>
        <v>4.25</v>
      </c>
      <c r="V178" s="7">
        <f>ROUND(5.25,2)</f>
        <v>5.25</v>
      </c>
      <c r="W178" s="7">
        <f>ROUND(4.46,2)</f>
        <v>4.46</v>
      </c>
      <c r="X178" s="7">
        <f>ROUND(1.41,2)</f>
        <v>1.41</v>
      </c>
      <c r="Y178" s="7">
        <f>ROUND(0.37,2)</f>
        <v>0.37</v>
      </c>
      <c r="Z178" s="6"/>
      <c r="AA178" s="6"/>
      <c r="AB178" s="6"/>
      <c r="AC178" s="7">
        <f>ROUND(76.5299999999999,2)</f>
        <v>76.53</v>
      </c>
      <c r="AD178" s="7">
        <f>ROUND(4.08,2)</f>
        <v>4.08</v>
      </c>
      <c r="AE178" s="6"/>
      <c r="AF178" s="7">
        <f>ROUND(349.39,2)</f>
        <v>349.39</v>
      </c>
      <c r="AG178" s="7">
        <f>ROUND(37.86,2)</f>
        <v>37.86</v>
      </c>
      <c r="AH178" s="7">
        <f>ROUND(80,2)</f>
        <v>80</v>
      </c>
      <c r="AI178" s="6"/>
      <c r="AJ178" s="7">
        <f>ROUND(112,2)</f>
        <v>112</v>
      </c>
      <c r="AK178" s="6"/>
      <c r="AL178" s="7">
        <f>ROUND(8.5,2)</f>
        <v>8.5</v>
      </c>
      <c r="AM178" s="7">
        <f>ROUND(0.3,2)</f>
        <v>0.3</v>
      </c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7">
        <f>ROUND(24,2)</f>
        <v>24</v>
      </c>
      <c r="BC178" s="7">
        <f>ROUND(8,2)</f>
        <v>8</v>
      </c>
      <c r="BD178" s="6"/>
      <c r="BE178" s="7">
        <f>ROUND(11.7199999999999,2)</f>
        <v>11.72</v>
      </c>
      <c r="BF178" s="7">
        <f>ROUND(8,2)</f>
        <v>8</v>
      </c>
      <c r="BG178" s="7">
        <f>ROUND(17.95,2)</f>
        <v>17.95</v>
      </c>
      <c r="BH178" s="6"/>
      <c r="BI178" s="6"/>
      <c r="BJ178" s="7">
        <f>ROUND(8,2)</f>
        <v>8</v>
      </c>
      <c r="BK178" s="6"/>
      <c r="BL178" s="6"/>
      <c r="BM178" s="7">
        <f>ROUND(24,2)</f>
        <v>24</v>
      </c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7">
        <f>ROUND(2391.75,2)</f>
        <v>2391.75</v>
      </c>
      <c r="CC178" s="6"/>
      <c r="CD178" s="6"/>
      <c r="CE178" s="6"/>
      <c r="CF178" s="6"/>
      <c r="CG178" s="7">
        <f>ROUND(39269.56,2)</f>
        <v>39269.56</v>
      </c>
      <c r="CH178" s="6"/>
      <c r="CI178" s="6"/>
      <c r="CJ178" s="7">
        <f>ROUND(9312.48,2)</f>
        <v>9312.48</v>
      </c>
      <c r="CK178" s="6"/>
      <c r="CL178" s="6"/>
      <c r="CM178" s="6"/>
      <c r="CN178" s="6"/>
      <c r="CO178" s="7">
        <f>ROUND(118.07,2)</f>
        <v>118.07</v>
      </c>
      <c r="CP178" s="7">
        <f>ROUND(218.77,2)</f>
        <v>218.77</v>
      </c>
      <c r="CQ178" s="7">
        <f>ROUND(126.84,2)</f>
        <v>126.84</v>
      </c>
      <c r="CR178" s="7">
        <f>ROUND(58.75,2)</f>
        <v>58.75</v>
      </c>
      <c r="CS178" s="7">
        <f>ROUND(21.61,2)</f>
        <v>21.61</v>
      </c>
      <c r="CT178" s="6"/>
      <c r="CU178" s="6"/>
      <c r="CV178" s="6"/>
      <c r="CW178" s="7">
        <f>ROUND(2129.04,2)</f>
        <v>2129.04</v>
      </c>
      <c r="CX178" s="7">
        <f>ROUND(170.93,2)</f>
        <v>170.93</v>
      </c>
      <c r="CY178" s="6"/>
      <c r="CZ178" s="6"/>
      <c r="DA178" s="7">
        <f>ROUND(9755.08999999999,2)</f>
        <v>9755.09</v>
      </c>
      <c r="DB178" s="7">
        <f>ROUND(1593.29,2)</f>
        <v>1593.29</v>
      </c>
      <c r="DC178" s="7">
        <f>ROUND(2243.36,2)</f>
        <v>2243.36</v>
      </c>
      <c r="DD178" s="6"/>
      <c r="DE178" s="7">
        <f>ROUND(3111.36,2)</f>
        <v>3111.36</v>
      </c>
      <c r="DF178" s="6"/>
      <c r="DG178" s="6"/>
      <c r="DH178" s="6"/>
      <c r="DI178" s="7">
        <f>ROUND(236.13,2)</f>
        <v>236.13</v>
      </c>
      <c r="DJ178" s="7">
        <f>ROUND(8.33,2)</f>
        <v>8.33</v>
      </c>
      <c r="DK178" s="6"/>
      <c r="DL178" s="6"/>
      <c r="DM178" s="6"/>
      <c r="DN178" s="6"/>
      <c r="DO178" s="6"/>
      <c r="DP178" s="6"/>
      <c r="DQ178" s="6"/>
      <c r="DR178" s="7">
        <f>ROUND(500,2)</f>
        <v>500</v>
      </c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7">
        <f>ROUND(222.24,2)</f>
        <v>222.24</v>
      </c>
      <c r="ED178" s="6"/>
      <c r="EE178" s="7">
        <f>ROUND(725,2)</f>
        <v>725</v>
      </c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7">
        <f>ROUND(1250,2)</f>
        <v>1250</v>
      </c>
      <c r="ER178" s="6"/>
      <c r="ES178" s="6"/>
      <c r="ET178" s="6"/>
      <c r="EU178" s="6"/>
      <c r="EV178" s="7">
        <f>ROUND(71070.85,2)</f>
        <v>71070.850000000006</v>
      </c>
    </row>
    <row r="179" spans="1:152">
      <c r="A179" s="4" t="s">
        <v>540</v>
      </c>
      <c r="B179" s="4" t="s">
        <v>1058</v>
      </c>
      <c r="C179" s="5" t="s">
        <v>152</v>
      </c>
      <c r="D179" s="5" t="s">
        <v>541</v>
      </c>
      <c r="E179" s="5" t="s">
        <v>0</v>
      </c>
      <c r="F179" s="5" t="s">
        <v>0</v>
      </c>
      <c r="G179" s="5" t="s">
        <v>155</v>
      </c>
      <c r="H179" s="10">
        <v>25.84</v>
      </c>
      <c r="I179" s="6"/>
      <c r="J179" s="6"/>
      <c r="K179" s="6"/>
      <c r="L179" s="6"/>
      <c r="M179" s="7">
        <f>ROUND(649.4,2)</f>
        <v>649.4</v>
      </c>
      <c r="N179" s="6"/>
      <c r="O179" s="6"/>
      <c r="P179" s="7">
        <f>ROUND(38.25,2)</f>
        <v>38.25</v>
      </c>
      <c r="Q179" s="6"/>
      <c r="R179" s="6"/>
      <c r="S179" s="6"/>
      <c r="T179" s="6"/>
      <c r="U179" s="7">
        <f>ROUND(8,2)</f>
        <v>8</v>
      </c>
      <c r="V179" s="6"/>
      <c r="W179" s="7">
        <f>ROUND(4.39,2)</f>
        <v>4.3899999999999997</v>
      </c>
      <c r="X179" s="7">
        <f>ROUND(0.66,2)</f>
        <v>0.66</v>
      </c>
      <c r="Y179" s="6"/>
      <c r="Z179" s="6"/>
      <c r="AA179" s="6"/>
      <c r="AB179" s="6"/>
      <c r="AC179" s="7">
        <f>ROUND(103.24,2)</f>
        <v>103.24</v>
      </c>
      <c r="AD179" s="7">
        <f>ROUND(2.01,2)</f>
        <v>2.0099999999999998</v>
      </c>
      <c r="AE179" s="6"/>
      <c r="AF179" s="7">
        <f>ROUND(367.01,2)</f>
        <v>367.01</v>
      </c>
      <c r="AG179" s="7">
        <f>ROUND(32.85,2)</f>
        <v>32.85</v>
      </c>
      <c r="AH179" s="7">
        <f>ROUND(47,2)</f>
        <v>47</v>
      </c>
      <c r="AI179" s="6"/>
      <c r="AJ179" s="6"/>
      <c r="AK179" s="6"/>
      <c r="AL179" s="7">
        <f>ROUND(313.03,2)</f>
        <v>313.02999999999997</v>
      </c>
      <c r="AM179" s="6"/>
      <c r="AN179" s="7">
        <f>ROUND(19.71,2)</f>
        <v>19.71</v>
      </c>
      <c r="AO179" s="6"/>
      <c r="AP179" s="6"/>
      <c r="AQ179" s="6"/>
      <c r="AR179" s="7">
        <f>ROUND(2,2)</f>
        <v>2</v>
      </c>
      <c r="AS179" s="6"/>
      <c r="AT179" s="6"/>
      <c r="AU179" s="6"/>
      <c r="AV179" s="6"/>
      <c r="AW179" s="6"/>
      <c r="AX179" s="6"/>
      <c r="AY179" s="7">
        <f>ROUND(4.75,2)</f>
        <v>4.75</v>
      </c>
      <c r="AZ179" s="6"/>
      <c r="BA179" s="6"/>
      <c r="BB179" s="7">
        <f>ROUND(16,2)</f>
        <v>16</v>
      </c>
      <c r="BC179" s="6"/>
      <c r="BD179" s="7">
        <f>ROUND(0.05,2)</f>
        <v>0.05</v>
      </c>
      <c r="BE179" s="7">
        <f>ROUND(40,2)</f>
        <v>40</v>
      </c>
      <c r="BF179" s="6"/>
      <c r="BG179" s="6"/>
      <c r="BH179" s="6"/>
      <c r="BI179" s="6"/>
      <c r="BJ179" s="6"/>
      <c r="BK179" s="6"/>
      <c r="BL179" s="7">
        <f>ROUND(50,2)</f>
        <v>50</v>
      </c>
      <c r="BM179" s="7">
        <f>ROUND(32,2)</f>
        <v>32</v>
      </c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7">
        <f>ROUND(24,2)</f>
        <v>24</v>
      </c>
      <c r="CB179" s="7">
        <f>ROUND(1754.35,2)</f>
        <v>1754.35</v>
      </c>
      <c r="CC179" s="6"/>
      <c r="CD179" s="6"/>
      <c r="CE179" s="6"/>
      <c r="CF179" s="6"/>
      <c r="CG179" s="7">
        <f>ROUND(14177.1199999999,2)</f>
        <v>14177.12</v>
      </c>
      <c r="CH179" s="6"/>
      <c r="CI179" s="6"/>
      <c r="CJ179" s="7">
        <f>ROUND(1368.12999999999,2)</f>
        <v>1368.13</v>
      </c>
      <c r="CK179" s="6"/>
      <c r="CL179" s="6"/>
      <c r="CM179" s="6"/>
      <c r="CN179" s="6"/>
      <c r="CO179" s="7">
        <f>ROUND(206.72,2)</f>
        <v>206.72</v>
      </c>
      <c r="CP179" s="6"/>
      <c r="CQ179" s="7">
        <f>ROUND(91.79,2)</f>
        <v>91.79</v>
      </c>
      <c r="CR179" s="7">
        <f>ROUND(20.62,2)</f>
        <v>20.62</v>
      </c>
      <c r="CS179" s="6"/>
      <c r="CT179" s="6"/>
      <c r="CU179" s="6"/>
      <c r="CV179" s="6"/>
      <c r="CW179" s="7">
        <f>ROUND(2333.54,2)</f>
        <v>2333.54</v>
      </c>
      <c r="CX179" s="7">
        <f>ROUND(64.58,2)</f>
        <v>64.58</v>
      </c>
      <c r="CY179" s="6"/>
      <c r="CZ179" s="6"/>
      <c r="DA179" s="7">
        <f>ROUND(8077.26,2)</f>
        <v>8077.26</v>
      </c>
      <c r="DB179" s="7">
        <f>ROUND(1173.97999999999,2)</f>
        <v>1173.98</v>
      </c>
      <c r="DC179" s="7">
        <f>ROUND(1082.7,2)</f>
        <v>1082.7</v>
      </c>
      <c r="DD179" s="6"/>
      <c r="DE179" s="6"/>
      <c r="DF179" s="6"/>
      <c r="DG179" s="6"/>
      <c r="DH179" s="6"/>
      <c r="DI179" s="7">
        <f>ROUND(5511.65,2)</f>
        <v>5511.65</v>
      </c>
      <c r="DJ179" s="6"/>
      <c r="DK179" s="7">
        <f>ROUND(517.39,2)</f>
        <v>517.39</v>
      </c>
      <c r="DL179" s="6"/>
      <c r="DM179" s="6"/>
      <c r="DN179" s="6"/>
      <c r="DO179" s="6"/>
      <c r="DP179" s="7">
        <f>ROUND(41.67,2)</f>
        <v>41.67</v>
      </c>
      <c r="DQ179" s="6"/>
      <c r="DR179" s="6"/>
      <c r="DS179" s="6"/>
      <c r="DT179" s="6"/>
      <c r="DU179" s="6"/>
      <c r="DV179" s="6"/>
      <c r="DW179" s="6"/>
      <c r="DX179" s="6"/>
      <c r="DY179" s="6"/>
      <c r="DZ179" s="7">
        <f>ROUND(184.11,2)</f>
        <v>184.11</v>
      </c>
      <c r="EA179" s="6"/>
      <c r="EB179" s="6"/>
      <c r="EC179" s="6"/>
      <c r="ED179" s="6"/>
      <c r="EE179" s="7">
        <f>ROUND(200,2)</f>
        <v>200</v>
      </c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7">
        <f>ROUND(1102.08,2)</f>
        <v>1102.08</v>
      </c>
      <c r="ER179" s="6"/>
      <c r="ES179" s="6"/>
      <c r="ET179" s="6"/>
      <c r="EU179" s="7">
        <f>ROUND(620.16,2)</f>
        <v>620.16</v>
      </c>
      <c r="EV179" s="7">
        <f>ROUND(36773.5,2)</f>
        <v>36773.5</v>
      </c>
    </row>
    <row r="180" spans="1:152">
      <c r="A180" s="4" t="s">
        <v>542</v>
      </c>
      <c r="B180" s="4" t="s">
        <v>1058</v>
      </c>
      <c r="C180" s="5" t="s">
        <v>152</v>
      </c>
      <c r="D180" s="5" t="s">
        <v>270</v>
      </c>
      <c r="E180" s="5" t="s">
        <v>0</v>
      </c>
      <c r="F180" s="5" t="s">
        <v>0</v>
      </c>
      <c r="G180" s="5" t="s">
        <v>155</v>
      </c>
      <c r="H180" s="10">
        <v>28.88</v>
      </c>
      <c r="I180" s="6"/>
      <c r="J180" s="6"/>
      <c r="K180" s="6"/>
      <c r="L180" s="6"/>
      <c r="M180" s="7">
        <f>ROUND(989.949999999999,2)</f>
        <v>989.95</v>
      </c>
      <c r="N180" s="6"/>
      <c r="O180" s="6"/>
      <c r="P180" s="7">
        <f>ROUND(119.58,2)</f>
        <v>119.58</v>
      </c>
      <c r="Q180" s="6"/>
      <c r="R180" s="6"/>
      <c r="S180" s="6"/>
      <c r="T180" s="6"/>
      <c r="U180" s="7">
        <f>ROUND(59.16,2)</f>
        <v>59.16</v>
      </c>
      <c r="V180" s="7">
        <f>ROUND(2.25,2)</f>
        <v>2.25</v>
      </c>
      <c r="W180" s="7">
        <f>ROUND(6.58,2)</f>
        <v>6.58</v>
      </c>
      <c r="X180" s="7">
        <f>ROUND(1.77,2)</f>
        <v>1.77</v>
      </c>
      <c r="Y180" s="6"/>
      <c r="Z180" s="6"/>
      <c r="AA180" s="6"/>
      <c r="AB180" s="6"/>
      <c r="AC180" s="7">
        <f>ROUND(103.719999999999,2)</f>
        <v>103.72</v>
      </c>
      <c r="AD180" s="6"/>
      <c r="AE180" s="6"/>
      <c r="AF180" s="7">
        <f>ROUND(599.559999999999,2)</f>
        <v>599.55999999999995</v>
      </c>
      <c r="AG180" s="7">
        <f>ROUND(78.24,2)</f>
        <v>78.239999999999995</v>
      </c>
      <c r="AH180" s="7">
        <f>ROUND(80,2)</f>
        <v>80</v>
      </c>
      <c r="AI180" s="6"/>
      <c r="AJ180" s="7">
        <f>ROUND(40,2)</f>
        <v>40</v>
      </c>
      <c r="AK180" s="6"/>
      <c r="AL180" s="7">
        <f>ROUND(10.5,2)</f>
        <v>10.5</v>
      </c>
      <c r="AM180" s="7">
        <f>ROUND(2.33,2)</f>
        <v>2.33</v>
      </c>
      <c r="AN180" s="6"/>
      <c r="AO180" s="6"/>
      <c r="AP180" s="6"/>
      <c r="AQ180" s="6"/>
      <c r="AR180" s="6"/>
      <c r="AS180" s="6"/>
      <c r="AT180" s="6"/>
      <c r="AU180" s="6"/>
      <c r="AV180" s="7">
        <f>ROUND(8,2)</f>
        <v>8</v>
      </c>
      <c r="AW180" s="6"/>
      <c r="AX180" s="6"/>
      <c r="AY180" s="6"/>
      <c r="AZ180" s="6"/>
      <c r="BA180" s="6"/>
      <c r="BB180" s="7">
        <f>ROUND(8,2)</f>
        <v>8</v>
      </c>
      <c r="BC180" s="6"/>
      <c r="BD180" s="6"/>
      <c r="BE180" s="7">
        <f>ROUND(61.85,2)</f>
        <v>61.85</v>
      </c>
      <c r="BF180" s="6"/>
      <c r="BG180" s="6"/>
      <c r="BH180" s="6"/>
      <c r="BI180" s="6"/>
      <c r="BJ180" s="6"/>
      <c r="BK180" s="6"/>
      <c r="BL180" s="7">
        <f>ROUND(120,2)</f>
        <v>120</v>
      </c>
      <c r="BM180" s="7">
        <f>ROUND(24,2)</f>
        <v>24</v>
      </c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7">
        <f>ROUND(2315.49,2)</f>
        <v>2315.4899999999998</v>
      </c>
      <c r="CC180" s="6"/>
      <c r="CD180" s="6"/>
      <c r="CE180" s="6"/>
      <c r="CF180" s="6"/>
      <c r="CG180" s="7">
        <f>ROUND(21916.4599999999,2)</f>
        <v>21916.46</v>
      </c>
      <c r="CH180" s="6"/>
      <c r="CI180" s="6"/>
      <c r="CJ180" s="7">
        <f>ROUND(4000.9,2)</f>
        <v>4000.9</v>
      </c>
      <c r="CK180" s="6"/>
      <c r="CL180" s="6"/>
      <c r="CM180" s="6"/>
      <c r="CN180" s="6"/>
      <c r="CO180" s="7">
        <f>ROUND(1241.52,2)</f>
        <v>1241.52</v>
      </c>
      <c r="CP180" s="7">
        <f>ROUND(70.37,2)</f>
        <v>70.37</v>
      </c>
      <c r="CQ180" s="7">
        <f>ROUND(137.709999999999,2)</f>
        <v>137.71</v>
      </c>
      <c r="CR180" s="7">
        <f>ROUND(55.31,2)</f>
        <v>55.31</v>
      </c>
      <c r="CS180" s="6"/>
      <c r="CT180" s="6"/>
      <c r="CU180" s="6"/>
      <c r="CV180" s="6"/>
      <c r="CW180" s="7">
        <f>ROUND(2215.21,2)</f>
        <v>2215.21</v>
      </c>
      <c r="CX180" s="6"/>
      <c r="CY180" s="6"/>
      <c r="CZ180" s="6"/>
      <c r="DA180" s="7">
        <f>ROUND(12677.3199999999,2)</f>
        <v>12677.32</v>
      </c>
      <c r="DB180" s="7">
        <f>ROUND(2453.09,2)</f>
        <v>2453.09</v>
      </c>
      <c r="DC180" s="7">
        <f>ROUND(1771.2,2)</f>
        <v>1771.2</v>
      </c>
      <c r="DD180" s="6"/>
      <c r="DE180" s="7">
        <f>ROUND(1094.4,2)</f>
        <v>1094.4000000000001</v>
      </c>
      <c r="DF180" s="6"/>
      <c r="DG180" s="6"/>
      <c r="DH180" s="6"/>
      <c r="DI180" s="7">
        <f>ROUND(219.07,2)</f>
        <v>219.07</v>
      </c>
      <c r="DJ180" s="7">
        <f>ROUND(48.9,2)</f>
        <v>48.9</v>
      </c>
      <c r="DK180" s="6"/>
      <c r="DL180" s="6"/>
      <c r="DM180" s="6"/>
      <c r="DN180" s="7">
        <f>ROUND(295,2)</f>
        <v>295</v>
      </c>
      <c r="DO180" s="6"/>
      <c r="DP180" s="6"/>
      <c r="DQ180" s="6"/>
      <c r="DR180" s="6"/>
      <c r="DS180" s="6"/>
      <c r="DT180" s="6"/>
      <c r="DU180" s="6"/>
      <c r="DV180" s="6"/>
      <c r="DW180" s="7">
        <f>ROUND(166.68,2)</f>
        <v>166.68</v>
      </c>
      <c r="DX180" s="6"/>
      <c r="DY180" s="6"/>
      <c r="DZ180" s="6"/>
      <c r="EA180" s="6"/>
      <c r="EB180" s="6"/>
      <c r="EC180" s="6"/>
      <c r="ED180" s="6"/>
      <c r="EE180" s="7">
        <f>ROUND(1350,2)</f>
        <v>1350</v>
      </c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7">
        <f>ROUND(1500,2)</f>
        <v>1500</v>
      </c>
      <c r="ER180" s="6"/>
      <c r="ES180" s="6"/>
      <c r="ET180" s="6"/>
      <c r="EU180" s="6"/>
      <c r="EV180" s="7">
        <f>ROUND(51213.14,2)</f>
        <v>51213.14</v>
      </c>
    </row>
    <row r="181" spans="1:152">
      <c r="A181" s="4" t="s">
        <v>543</v>
      </c>
      <c r="B181" s="4" t="s">
        <v>1058</v>
      </c>
      <c r="C181" s="5" t="s">
        <v>211</v>
      </c>
      <c r="D181" s="5" t="s">
        <v>544</v>
      </c>
      <c r="E181" s="5" t="s">
        <v>0</v>
      </c>
      <c r="F181" s="5" t="s">
        <v>0</v>
      </c>
      <c r="G181" s="5" t="s">
        <v>218</v>
      </c>
      <c r="H181" s="10">
        <v>34</v>
      </c>
      <c r="I181" s="6"/>
      <c r="J181" s="6"/>
      <c r="K181" s="7">
        <f>ROUND(1864,2)</f>
        <v>1864</v>
      </c>
      <c r="L181" s="7">
        <f>ROUND(456.25,2)</f>
        <v>456.25</v>
      </c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7">
        <f>ROUND(96,2)</f>
        <v>96</v>
      </c>
      <c r="AI181" s="6"/>
      <c r="AJ181" s="7">
        <f>ROUND(112,2)</f>
        <v>112</v>
      </c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7">
        <f>ROUND(8,2)</f>
        <v>8</v>
      </c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7">
        <f>ROUND(8,2)</f>
        <v>8</v>
      </c>
      <c r="CB181" s="7">
        <f>ROUND(2544.25,2)</f>
        <v>2544.25</v>
      </c>
      <c r="CC181" s="6"/>
      <c r="CD181" s="6"/>
      <c r="CE181" s="7">
        <f>ROUND(58184.8,2)</f>
        <v>58184.800000000003</v>
      </c>
      <c r="CF181" s="7">
        <f>ROUND(21352.33,2)</f>
        <v>21352.33</v>
      </c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7">
        <f>ROUND(3056,2)</f>
        <v>3056</v>
      </c>
      <c r="DD181" s="6"/>
      <c r="DE181" s="7">
        <f>ROUND(3548,2)</f>
        <v>3548</v>
      </c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7">
        <f>ROUND(2000,2)</f>
        <v>2000</v>
      </c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7">
        <f>ROUND(1250,2)</f>
        <v>1250</v>
      </c>
      <c r="ER181" s="6"/>
      <c r="ES181" s="6"/>
      <c r="ET181" s="6"/>
      <c r="EU181" s="7">
        <f>ROUND(272,2)</f>
        <v>272</v>
      </c>
      <c r="EV181" s="7">
        <f>ROUND(89663.1299999999,2)</f>
        <v>89663.13</v>
      </c>
    </row>
    <row r="182" spans="1:152">
      <c r="A182" s="4" t="s">
        <v>545</v>
      </c>
      <c r="B182" s="4" t="s">
        <v>1058</v>
      </c>
      <c r="C182" s="5" t="s">
        <v>152</v>
      </c>
      <c r="D182" s="5" t="s">
        <v>546</v>
      </c>
      <c r="E182" s="5" t="s">
        <v>0</v>
      </c>
      <c r="F182" s="5" t="s">
        <v>0</v>
      </c>
      <c r="G182" s="5" t="s">
        <v>155</v>
      </c>
      <c r="H182" s="10">
        <v>30.4</v>
      </c>
      <c r="I182" s="6"/>
      <c r="J182" s="6"/>
      <c r="K182" s="6"/>
      <c r="L182" s="6"/>
      <c r="M182" s="7">
        <f>ROUND(1674.14,2)</f>
        <v>1674.14</v>
      </c>
      <c r="N182" s="6"/>
      <c r="O182" s="6"/>
      <c r="P182" s="7">
        <f>ROUND(331.759999999999,2)</f>
        <v>331.76</v>
      </c>
      <c r="Q182" s="6"/>
      <c r="R182" s="6"/>
      <c r="S182" s="6"/>
      <c r="T182" s="6"/>
      <c r="U182" s="7">
        <f>ROUND(21.53,2)</f>
        <v>21.53</v>
      </c>
      <c r="V182" s="7">
        <f>ROUND(27.6899999999999,2)</f>
        <v>27.69</v>
      </c>
      <c r="W182" s="6"/>
      <c r="X182" s="6"/>
      <c r="Y182" s="6"/>
      <c r="Z182" s="6"/>
      <c r="AA182" s="6"/>
      <c r="AB182" s="6"/>
      <c r="AC182" s="7">
        <f>ROUND(19.25,2)</f>
        <v>19.25</v>
      </c>
      <c r="AD182" s="6"/>
      <c r="AE182" s="6"/>
      <c r="AF182" s="7">
        <f>ROUND(146.579999999999,2)</f>
        <v>146.58000000000001</v>
      </c>
      <c r="AG182" s="7">
        <f>ROUND(23.58,2)</f>
        <v>23.58</v>
      </c>
      <c r="AH182" s="7">
        <f>ROUND(90,2)</f>
        <v>90</v>
      </c>
      <c r="AI182" s="6"/>
      <c r="AJ182" s="7">
        <f>ROUND(120,2)</f>
        <v>120</v>
      </c>
      <c r="AK182" s="6"/>
      <c r="AL182" s="7">
        <f>ROUND(8.5,2)</f>
        <v>8.5</v>
      </c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7">
        <f>ROUND(2463.03,2)</f>
        <v>2463.0300000000002</v>
      </c>
      <c r="CC182" s="6"/>
      <c r="CD182" s="6"/>
      <c r="CE182" s="6"/>
      <c r="CF182" s="6"/>
      <c r="CG182" s="7">
        <f>ROUND(47159.0199999999,2)</f>
        <v>47159.02</v>
      </c>
      <c r="CH182" s="6"/>
      <c r="CI182" s="6"/>
      <c r="CJ182" s="7">
        <f>ROUND(14000.53,2)</f>
        <v>14000.53</v>
      </c>
      <c r="CK182" s="6"/>
      <c r="CL182" s="6"/>
      <c r="CM182" s="6"/>
      <c r="CN182" s="6"/>
      <c r="CO182" s="7">
        <f>ROUND(600.65,2)</f>
        <v>600.65</v>
      </c>
      <c r="CP182" s="7">
        <f>ROUND(1157.37999999999,2)</f>
        <v>1157.3800000000001</v>
      </c>
      <c r="CQ182" s="6"/>
      <c r="CR182" s="6"/>
      <c r="CS182" s="6"/>
      <c r="CT182" s="6"/>
      <c r="CU182" s="6"/>
      <c r="CV182" s="6"/>
      <c r="CW182" s="7">
        <f>ROUND(534.77,2)</f>
        <v>534.77</v>
      </c>
      <c r="CX182" s="6"/>
      <c r="CY182" s="6"/>
      <c r="CZ182" s="6"/>
      <c r="DA182" s="7">
        <f>ROUND(4083.73,2)</f>
        <v>4083.73</v>
      </c>
      <c r="DB182" s="7">
        <f>ROUND(985.62,2)</f>
        <v>985.62</v>
      </c>
      <c r="DC182" s="7">
        <f>ROUND(2563.07999999999,2)</f>
        <v>2563.08</v>
      </c>
      <c r="DD182" s="6"/>
      <c r="DE182" s="7">
        <f>ROUND(3438.39999999999,2)</f>
        <v>3438.4</v>
      </c>
      <c r="DF182" s="6"/>
      <c r="DG182" s="6"/>
      <c r="DH182" s="6"/>
      <c r="DI182" s="7">
        <f>ROUND(236.13,2)</f>
        <v>236.13</v>
      </c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7">
        <f>ROUND(2000,2)</f>
        <v>2000</v>
      </c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7">
        <f>ROUND(1250,2)</f>
        <v>1250</v>
      </c>
      <c r="ER182" s="6"/>
      <c r="ES182" s="6"/>
      <c r="ET182" s="6"/>
      <c r="EU182" s="6"/>
      <c r="EV182" s="7">
        <f>ROUND(78009.31,2)</f>
        <v>78009.31</v>
      </c>
    </row>
    <row r="183" spans="1:152">
      <c r="A183" s="4" t="s">
        <v>547</v>
      </c>
      <c r="B183" s="4" t="s">
        <v>1058</v>
      </c>
      <c r="C183" s="5" t="s">
        <v>152</v>
      </c>
      <c r="D183" s="5" t="s">
        <v>173</v>
      </c>
      <c r="E183" s="5" t="s">
        <v>0</v>
      </c>
      <c r="F183" s="5" t="s">
        <v>0</v>
      </c>
      <c r="G183" s="5" t="s">
        <v>155</v>
      </c>
      <c r="H183" s="10">
        <v>24.32</v>
      </c>
      <c r="I183" s="6"/>
      <c r="J183" s="6"/>
      <c r="K183" s="6"/>
      <c r="L183" s="6"/>
      <c r="M183" s="7">
        <f>ROUND(242.39,2)</f>
        <v>242.39</v>
      </c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7">
        <f>ROUND(4,2)</f>
        <v>4</v>
      </c>
      <c r="AD183" s="6"/>
      <c r="AE183" s="6"/>
      <c r="AF183" s="6"/>
      <c r="AG183" s="6"/>
      <c r="AH183" s="7">
        <f>ROUND(10,2)</f>
        <v>10</v>
      </c>
      <c r="AI183" s="6"/>
      <c r="AJ183" s="6"/>
      <c r="AK183" s="6"/>
      <c r="AL183" s="7">
        <f>ROUND(242,2)</f>
        <v>242</v>
      </c>
      <c r="AM183" s="6"/>
      <c r="AN183" s="7">
        <f>ROUND(37.54,2)</f>
        <v>37.54</v>
      </c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7">
        <f>ROUND(1.23,2)</f>
        <v>1.23</v>
      </c>
      <c r="BE183" s="6"/>
      <c r="BF183" s="6"/>
      <c r="BG183" s="6"/>
      <c r="BH183" s="6"/>
      <c r="BI183" s="6"/>
      <c r="BJ183" s="6"/>
      <c r="BK183" s="6"/>
      <c r="BL183" s="6"/>
      <c r="BM183" s="7">
        <f>ROUND(5,2)</f>
        <v>5</v>
      </c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7">
        <f>ROUND(24,2)</f>
        <v>24</v>
      </c>
      <c r="CB183" s="7">
        <f>ROUND(566.159999999999,2)</f>
        <v>566.16</v>
      </c>
      <c r="CC183" s="6"/>
      <c r="CD183" s="6"/>
      <c r="CE183" s="6"/>
      <c r="CF183" s="6"/>
      <c r="CG183" s="7">
        <f>ROUND(5214.96,2)</f>
        <v>5214.96</v>
      </c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7">
        <f>ROUND(97.28,2)</f>
        <v>97.28</v>
      </c>
      <c r="CX183" s="6"/>
      <c r="CY183" s="6"/>
      <c r="CZ183" s="6"/>
      <c r="DA183" s="6"/>
      <c r="DB183" s="6"/>
      <c r="DC183" s="7">
        <f>ROUND(225.78,2)</f>
        <v>225.78</v>
      </c>
      <c r="DD183" s="6"/>
      <c r="DE183" s="6"/>
      <c r="DF183" s="6"/>
      <c r="DG183" s="6"/>
      <c r="DH183" s="6"/>
      <c r="DI183" s="7">
        <f>ROUND(4248.64,2)</f>
        <v>4248.6400000000003</v>
      </c>
      <c r="DJ183" s="6"/>
      <c r="DK183" s="7">
        <f>ROUND(985.43,2)</f>
        <v>985.43</v>
      </c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7">
        <f>ROUND(196.8,2)</f>
        <v>196.8</v>
      </c>
      <c r="ER183" s="6"/>
      <c r="ES183" s="6"/>
      <c r="ET183" s="6"/>
      <c r="EU183" s="7">
        <f>ROUND(583.68,2)</f>
        <v>583.67999999999995</v>
      </c>
      <c r="EV183" s="7">
        <f>ROUND(11552.57,2)</f>
        <v>11552.57</v>
      </c>
    </row>
    <row r="184" spans="1:152">
      <c r="A184" s="4" t="s">
        <v>548</v>
      </c>
      <c r="B184" s="4" t="s">
        <v>1058</v>
      </c>
      <c r="C184" s="5" t="s">
        <v>152</v>
      </c>
      <c r="D184" s="5" t="s">
        <v>166</v>
      </c>
      <c r="E184" s="5" t="s">
        <v>0</v>
      </c>
      <c r="F184" s="5" t="s">
        <v>0</v>
      </c>
      <c r="G184" s="5" t="s">
        <v>155</v>
      </c>
      <c r="H184" s="10">
        <v>30.4</v>
      </c>
      <c r="I184" s="6"/>
      <c r="J184" s="6"/>
      <c r="K184" s="6"/>
      <c r="L184" s="6"/>
      <c r="M184" s="7">
        <f>ROUND(1467.6,2)</f>
        <v>1467.6</v>
      </c>
      <c r="N184" s="6"/>
      <c r="O184" s="6"/>
      <c r="P184" s="7">
        <f>ROUND(208.09,2)</f>
        <v>208.09</v>
      </c>
      <c r="Q184" s="6"/>
      <c r="R184" s="6"/>
      <c r="S184" s="6"/>
      <c r="T184" s="6"/>
      <c r="U184" s="7">
        <f>ROUND(4.5,2)</f>
        <v>4.5</v>
      </c>
      <c r="V184" s="7">
        <f>ROUND(13.33,2)</f>
        <v>13.33</v>
      </c>
      <c r="W184" s="7">
        <f>ROUND(1.16,2)</f>
        <v>1.1599999999999999</v>
      </c>
      <c r="X184" s="7">
        <f>ROUND(1,2)</f>
        <v>1</v>
      </c>
      <c r="Y184" s="6"/>
      <c r="Z184" s="6"/>
      <c r="AA184" s="6"/>
      <c r="AB184" s="6"/>
      <c r="AC184" s="7">
        <f>ROUND(35.25,2)</f>
        <v>35.25</v>
      </c>
      <c r="AD184" s="6"/>
      <c r="AE184" s="6"/>
      <c r="AF184" s="7">
        <f>ROUND(177.339999999999,2)</f>
        <v>177.34</v>
      </c>
      <c r="AG184" s="7">
        <f>ROUND(36,2)</f>
        <v>36</v>
      </c>
      <c r="AH184" s="7">
        <f>ROUND(106,2)</f>
        <v>106</v>
      </c>
      <c r="AI184" s="6"/>
      <c r="AJ184" s="7">
        <f>ROUND(112,2)</f>
        <v>112</v>
      </c>
      <c r="AK184" s="6"/>
      <c r="AL184" s="7">
        <f>ROUND(8,2)</f>
        <v>8</v>
      </c>
      <c r="AM184" s="7">
        <f>ROUND(2.02,2)</f>
        <v>2.02</v>
      </c>
      <c r="AN184" s="6"/>
      <c r="AO184" s="6"/>
      <c r="AP184" s="6"/>
      <c r="AQ184" s="7">
        <f>ROUND(8.17,2)</f>
        <v>8.17</v>
      </c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7">
        <f>ROUND(24,2)</f>
        <v>24</v>
      </c>
      <c r="BC184" s="7">
        <f>ROUND(88,2)</f>
        <v>88</v>
      </c>
      <c r="BD184" s="7">
        <f>ROUND(2.72,2)</f>
        <v>2.72</v>
      </c>
      <c r="BE184" s="7">
        <f>ROUND(3.5,2)</f>
        <v>3.5</v>
      </c>
      <c r="BF184" s="6"/>
      <c r="BG184" s="6"/>
      <c r="BH184" s="6"/>
      <c r="BI184" s="6"/>
      <c r="BJ184" s="7">
        <f>ROUND(8,2)</f>
        <v>8</v>
      </c>
      <c r="BK184" s="6"/>
      <c r="BL184" s="6"/>
      <c r="BM184" s="7">
        <f>ROUND(56,2)</f>
        <v>56</v>
      </c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7">
        <f>ROUND(8,2)</f>
        <v>8</v>
      </c>
      <c r="CB184" s="7">
        <f>ROUND(2370.68,2)</f>
        <v>2370.6799999999998</v>
      </c>
      <c r="CC184" s="6"/>
      <c r="CD184" s="6"/>
      <c r="CE184" s="6"/>
      <c r="CF184" s="6"/>
      <c r="CG184" s="7">
        <f>ROUND(41606.88,2)</f>
        <v>41606.879999999997</v>
      </c>
      <c r="CH184" s="6"/>
      <c r="CI184" s="6"/>
      <c r="CJ184" s="7">
        <f>ROUND(8841.99,2)</f>
        <v>8841.99</v>
      </c>
      <c r="CK184" s="6"/>
      <c r="CL184" s="6"/>
      <c r="CM184" s="6"/>
      <c r="CN184" s="6"/>
      <c r="CO184" s="7">
        <f>ROUND(125.69,2)</f>
        <v>125.69</v>
      </c>
      <c r="CP184" s="7">
        <f>ROUND(558.01,2)</f>
        <v>558.01</v>
      </c>
      <c r="CQ184" s="7">
        <f>ROUND(35.65,2)</f>
        <v>35.65</v>
      </c>
      <c r="CR184" s="7">
        <f>ROUND(41.67,2)</f>
        <v>41.67</v>
      </c>
      <c r="CS184" s="6"/>
      <c r="CT184" s="6"/>
      <c r="CU184" s="6"/>
      <c r="CV184" s="6"/>
      <c r="CW184" s="7">
        <f>ROUND(979.96,2)</f>
        <v>979.96</v>
      </c>
      <c r="CX184" s="6"/>
      <c r="CY184" s="6"/>
      <c r="CZ184" s="6"/>
      <c r="DA184" s="7">
        <f>ROUND(4952.69999999999,2)</f>
        <v>4952.7</v>
      </c>
      <c r="DB184" s="7">
        <f>ROUND(1541.79,2)</f>
        <v>1541.79</v>
      </c>
      <c r="DC184" s="7">
        <f>ROUND(3028.52,2)</f>
        <v>3028.52</v>
      </c>
      <c r="DD184" s="6"/>
      <c r="DE184" s="7">
        <f>ROUND(3111.36,2)</f>
        <v>3111.36</v>
      </c>
      <c r="DF184" s="6"/>
      <c r="DG184" s="6"/>
      <c r="DH184" s="6"/>
      <c r="DI184" s="7">
        <f>ROUND(222.24,2)</f>
        <v>222.24</v>
      </c>
      <c r="DJ184" s="7">
        <f>ROUND(56.12,2)</f>
        <v>56.12</v>
      </c>
      <c r="DK184" s="6"/>
      <c r="DL184" s="6"/>
      <c r="DM184" s="6"/>
      <c r="DN184" s="6"/>
      <c r="DO184" s="7">
        <f>ROUND(226.96,2)</f>
        <v>226.96</v>
      </c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7">
        <f>ROUND(925,2)</f>
        <v>925</v>
      </c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7">
        <f>ROUND(1250,2)</f>
        <v>1250</v>
      </c>
      <c r="ER184" s="6"/>
      <c r="ES184" s="6"/>
      <c r="ET184" s="6"/>
      <c r="EU184" s="7">
        <f>ROUND(243.2,2)</f>
        <v>243.2</v>
      </c>
      <c r="EV184" s="7">
        <f>ROUND(67747.7399999999,2)</f>
        <v>67747.740000000005</v>
      </c>
    </row>
    <row r="185" spans="1:152">
      <c r="A185" s="4" t="s">
        <v>549</v>
      </c>
      <c r="B185" s="4" t="s">
        <v>1058</v>
      </c>
      <c r="C185" s="5" t="s">
        <v>152</v>
      </c>
      <c r="D185" s="5" t="s">
        <v>164</v>
      </c>
      <c r="E185" s="5" t="s">
        <v>550</v>
      </c>
      <c r="F185" s="5" t="s">
        <v>0</v>
      </c>
      <c r="G185" s="5" t="s">
        <v>155</v>
      </c>
      <c r="H185" s="10">
        <v>17.5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7">
        <f>ROUND(88,2)</f>
        <v>88</v>
      </c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7">
        <f>ROUND(88,2)</f>
        <v>88</v>
      </c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7">
        <f>ROUND(1540,2)</f>
        <v>1540</v>
      </c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7">
        <f>ROUND(1540,2)</f>
        <v>1540</v>
      </c>
    </row>
    <row r="186" spans="1:152">
      <c r="A186" s="4" t="s">
        <v>551</v>
      </c>
      <c r="B186" s="4" t="s">
        <v>1058</v>
      </c>
      <c r="C186" s="5" t="s">
        <v>152</v>
      </c>
      <c r="D186" s="5" t="s">
        <v>270</v>
      </c>
      <c r="E186" s="5" t="s">
        <v>0</v>
      </c>
      <c r="F186" s="5" t="s">
        <v>0</v>
      </c>
      <c r="G186" s="5" t="s">
        <v>155</v>
      </c>
      <c r="H186" s="10">
        <v>28.88</v>
      </c>
      <c r="I186" s="6"/>
      <c r="J186" s="6"/>
      <c r="K186" s="6"/>
      <c r="L186" s="6"/>
      <c r="M186" s="7">
        <f>ROUND(1044.55999999999,2)</f>
        <v>1044.56</v>
      </c>
      <c r="N186" s="6"/>
      <c r="O186" s="6"/>
      <c r="P186" s="7">
        <f>ROUND(179.109999999999,2)</f>
        <v>179.11</v>
      </c>
      <c r="Q186" s="6"/>
      <c r="R186" s="6"/>
      <c r="S186" s="6"/>
      <c r="T186" s="6"/>
      <c r="U186" s="7">
        <f>ROUND(20.5499999999999,2)</f>
        <v>20.55</v>
      </c>
      <c r="V186" s="7">
        <f>ROUND(16.8,2)</f>
        <v>16.8</v>
      </c>
      <c r="W186" s="7">
        <f>ROUND(7.76,2)</f>
        <v>7.76</v>
      </c>
      <c r="X186" s="7">
        <f>ROUND(1.64,2)</f>
        <v>1.64</v>
      </c>
      <c r="Y186" s="6"/>
      <c r="Z186" s="6"/>
      <c r="AA186" s="6"/>
      <c r="AB186" s="6"/>
      <c r="AC186" s="7">
        <f>ROUND(153.92,2)</f>
        <v>153.91999999999999</v>
      </c>
      <c r="AD186" s="7">
        <f>ROUND(15.98,2)</f>
        <v>15.98</v>
      </c>
      <c r="AE186" s="6"/>
      <c r="AF186" s="7">
        <f>ROUND(618.49,2)</f>
        <v>618.49</v>
      </c>
      <c r="AG186" s="7">
        <f>ROUND(125.87,2)</f>
        <v>125.87</v>
      </c>
      <c r="AH186" s="7">
        <f>ROUND(88,2)</f>
        <v>88</v>
      </c>
      <c r="AI186" s="6"/>
      <c r="AJ186" s="7">
        <f>ROUND(40,2)</f>
        <v>40</v>
      </c>
      <c r="AK186" s="6"/>
      <c r="AL186" s="7">
        <f>ROUND(8,2)</f>
        <v>8</v>
      </c>
      <c r="AM186" s="6"/>
      <c r="AN186" s="6"/>
      <c r="AO186" s="6"/>
      <c r="AP186" s="6"/>
      <c r="AQ186" s="6"/>
      <c r="AR186" s="7">
        <f>ROUND(4,2)</f>
        <v>4</v>
      </c>
      <c r="AS186" s="6"/>
      <c r="AT186" s="6"/>
      <c r="AU186" s="6"/>
      <c r="AV186" s="6"/>
      <c r="AW186" s="6"/>
      <c r="AX186" s="6"/>
      <c r="AY186" s="6"/>
      <c r="AZ186" s="6"/>
      <c r="BA186" s="6"/>
      <c r="BB186" s="7">
        <f>ROUND(24,2)</f>
        <v>24</v>
      </c>
      <c r="BC186" s="7">
        <f>ROUND(80,2)</f>
        <v>80</v>
      </c>
      <c r="BD186" s="7">
        <f>ROUND(0.75,2)</f>
        <v>0.75</v>
      </c>
      <c r="BE186" s="7">
        <f>ROUND(8,2)</f>
        <v>8</v>
      </c>
      <c r="BF186" s="6"/>
      <c r="BG186" s="6"/>
      <c r="BH186" s="6"/>
      <c r="BI186" s="6"/>
      <c r="BJ186" s="7">
        <f>ROUND(40,2)</f>
        <v>40</v>
      </c>
      <c r="BK186" s="6"/>
      <c r="BL186" s="6"/>
      <c r="BM186" s="7">
        <f>ROUND(78,2)</f>
        <v>78</v>
      </c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7">
        <f>ROUND(2555.43,2)</f>
        <v>2555.4299999999998</v>
      </c>
      <c r="CC186" s="6"/>
      <c r="CD186" s="6"/>
      <c r="CE186" s="6"/>
      <c r="CF186" s="6"/>
      <c r="CG186" s="7">
        <f>ROUND(23023.31,2)</f>
        <v>23023.31</v>
      </c>
      <c r="CH186" s="6"/>
      <c r="CI186" s="6"/>
      <c r="CJ186" s="7">
        <f>ROUND(6052.64999999999,2)</f>
        <v>6052.65</v>
      </c>
      <c r="CK186" s="6"/>
      <c r="CL186" s="6"/>
      <c r="CM186" s="6"/>
      <c r="CN186" s="6"/>
      <c r="CO186" s="7">
        <f>ROUND(431.25,2)</f>
        <v>431.25</v>
      </c>
      <c r="CP186" s="7">
        <f>ROUND(526.579999999999,2)</f>
        <v>526.58000000000004</v>
      </c>
      <c r="CQ186" s="7">
        <f>ROUND(165.77,2)</f>
        <v>165.77</v>
      </c>
      <c r="CR186" s="7">
        <f>ROUND(51.25,2)</f>
        <v>51.25</v>
      </c>
      <c r="CS186" s="6"/>
      <c r="CT186" s="6"/>
      <c r="CU186" s="6"/>
      <c r="CV186" s="6"/>
      <c r="CW186" s="7">
        <f>ROUND(3417.13999999999,2)</f>
        <v>3417.14</v>
      </c>
      <c r="CX186" s="7">
        <f>ROUND(630.57,2)</f>
        <v>630.57000000000005</v>
      </c>
      <c r="CY186" s="6"/>
      <c r="CZ186" s="6"/>
      <c r="DA186" s="7">
        <f>ROUND(12975.11,2)</f>
        <v>12975.11</v>
      </c>
      <c r="DB186" s="7">
        <f>ROUND(3940.22,2)</f>
        <v>3940.22</v>
      </c>
      <c r="DC186" s="7">
        <f>ROUND(1937.88,2)</f>
        <v>1937.88</v>
      </c>
      <c r="DD186" s="6"/>
      <c r="DE186" s="7">
        <f>ROUND(1094.4,2)</f>
        <v>1094.4000000000001</v>
      </c>
      <c r="DF186" s="6"/>
      <c r="DG186" s="6"/>
      <c r="DH186" s="6"/>
      <c r="DI186" s="7">
        <f>ROUND(166.68,2)</f>
        <v>166.68</v>
      </c>
      <c r="DJ186" s="6"/>
      <c r="DK186" s="6"/>
      <c r="DL186" s="6"/>
      <c r="DM186" s="6"/>
      <c r="DN186" s="6"/>
      <c r="DO186" s="6"/>
      <c r="DP186" s="7">
        <f>ROUND(83.64,2)</f>
        <v>83.64</v>
      </c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7">
        <f>ROUND(850,2)</f>
        <v>850</v>
      </c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7">
        <f>ROUND(1500,2)</f>
        <v>1500</v>
      </c>
      <c r="ER186" s="6"/>
      <c r="ES186" s="6"/>
      <c r="ET186" s="6"/>
      <c r="EU186" s="6"/>
      <c r="EV186" s="7">
        <f>ROUND(56846.45,2)</f>
        <v>56846.45</v>
      </c>
    </row>
    <row r="187" spans="1:152">
      <c r="A187" s="4" t="s">
        <v>552</v>
      </c>
      <c r="B187" s="4" t="s">
        <v>1058</v>
      </c>
      <c r="C187" s="5" t="s">
        <v>152</v>
      </c>
      <c r="D187" s="5" t="s">
        <v>160</v>
      </c>
      <c r="E187" s="5" t="s">
        <v>553</v>
      </c>
      <c r="F187" s="5" t="s">
        <v>160</v>
      </c>
      <c r="G187" s="5" t="s">
        <v>155</v>
      </c>
      <c r="H187" s="10">
        <v>20.84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7">
        <f>ROUND(18,2)</f>
        <v>18</v>
      </c>
      <c r="AI187" s="6"/>
      <c r="AJ187" s="6"/>
      <c r="AK187" s="6"/>
      <c r="AL187" s="7">
        <f>ROUND(256,2)</f>
        <v>256</v>
      </c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7">
        <f>ROUND(8,2)</f>
        <v>8</v>
      </c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7">
        <f>ROUND(282,2)</f>
        <v>282</v>
      </c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7">
        <f>ROUND(175,2)</f>
        <v>175</v>
      </c>
      <c r="DD187" s="6"/>
      <c r="DE187" s="6"/>
      <c r="DF187" s="6"/>
      <c r="DG187" s="6"/>
      <c r="DH187" s="6"/>
      <c r="DI187" s="7">
        <f>ROUND(4480,2)</f>
        <v>4480</v>
      </c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7">
        <f>ROUND(4655,2)</f>
        <v>4655</v>
      </c>
    </row>
    <row r="188" spans="1:152" ht="24">
      <c r="A188" s="4" t="s">
        <v>554</v>
      </c>
      <c r="B188" s="4"/>
      <c r="C188" s="5" t="s">
        <v>285</v>
      </c>
      <c r="D188" s="5" t="s">
        <v>153</v>
      </c>
      <c r="E188" s="5" t="s">
        <v>0</v>
      </c>
      <c r="F188" s="5" t="s">
        <v>0</v>
      </c>
      <c r="G188" s="5" t="s">
        <v>300</v>
      </c>
      <c r="H188" s="10">
        <v>1183.31</v>
      </c>
      <c r="I188" s="6"/>
      <c r="J188" s="6"/>
      <c r="K188" s="6"/>
      <c r="L188" s="6"/>
      <c r="M188" s="7">
        <f>ROUND(125.72,2)</f>
        <v>125.72</v>
      </c>
      <c r="N188" s="6"/>
      <c r="O188" s="6"/>
      <c r="P188" s="7">
        <f>ROUND(18.86,2)</f>
        <v>18.86</v>
      </c>
      <c r="Q188" s="6"/>
      <c r="R188" s="6"/>
      <c r="S188" s="6"/>
      <c r="T188" s="6"/>
      <c r="U188" s="7">
        <f>ROUND(82.87,2)</f>
        <v>82.87</v>
      </c>
      <c r="V188" s="7">
        <f>ROUND(3.52,2)</f>
        <v>3.52</v>
      </c>
      <c r="W188" s="7">
        <f>ROUND(2.5,2)</f>
        <v>2.5</v>
      </c>
      <c r="X188" s="7">
        <f>ROUND(0.33,2)</f>
        <v>0.33</v>
      </c>
      <c r="Y188" s="6"/>
      <c r="Z188" s="6"/>
      <c r="AA188" s="6"/>
      <c r="AB188" s="7">
        <f>ROUND(8,2)</f>
        <v>8</v>
      </c>
      <c r="AC188" s="7">
        <f>ROUND(11.25,2)</f>
        <v>11.25</v>
      </c>
      <c r="AD188" s="6"/>
      <c r="AE188" s="6"/>
      <c r="AF188" s="7">
        <f>ROUND(77.53,2)</f>
        <v>77.53</v>
      </c>
      <c r="AG188" s="7">
        <f>ROUND(16.75,2)</f>
        <v>16.75</v>
      </c>
      <c r="AH188" s="7">
        <f>ROUND(16,2)</f>
        <v>16</v>
      </c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7">
        <f>ROUND(88,2)</f>
        <v>88</v>
      </c>
      <c r="BG188" s="6"/>
      <c r="BH188" s="7">
        <f>ROUND(8,2)</f>
        <v>8</v>
      </c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7">
        <f>ROUND(40,2)</f>
        <v>40</v>
      </c>
      <c r="BU188" s="7">
        <f>ROUND(32,2)</f>
        <v>32</v>
      </c>
      <c r="BV188" s="6"/>
      <c r="BW188" s="6"/>
      <c r="BX188" s="6"/>
      <c r="BY188" s="7">
        <f>ROUND(80,2)</f>
        <v>80</v>
      </c>
      <c r="BZ188" s="6"/>
      <c r="CA188" s="6"/>
      <c r="CB188" s="7">
        <f>ROUND(611.33,2)</f>
        <v>611.33000000000004</v>
      </c>
      <c r="CC188" s="7">
        <f>ROUND(46270.9899999999,2)</f>
        <v>46270.99</v>
      </c>
      <c r="CD188" s="6"/>
      <c r="CE188" s="6"/>
      <c r="CF188" s="6"/>
      <c r="CG188" s="7">
        <f>ROUND(2948.52,2)</f>
        <v>2948.52</v>
      </c>
      <c r="CH188" s="6"/>
      <c r="CI188" s="6"/>
      <c r="CJ188" s="7">
        <f>ROUND(660.15,2)</f>
        <v>660.15</v>
      </c>
      <c r="CK188" s="6"/>
      <c r="CL188" s="6"/>
      <c r="CM188" s="6"/>
      <c r="CN188" s="6"/>
      <c r="CO188" s="7">
        <f>ROUND(1937.81,2)</f>
        <v>1937.81</v>
      </c>
      <c r="CP188" s="7">
        <f>ROUND(124,2)</f>
        <v>124</v>
      </c>
      <c r="CQ188" s="7">
        <f>ROUND(58.49,2)</f>
        <v>58.49</v>
      </c>
      <c r="CR188" s="7">
        <f>ROUND(11.55,2)</f>
        <v>11.55</v>
      </c>
      <c r="CS188" s="6"/>
      <c r="CT188" s="6"/>
      <c r="CU188" s="6"/>
      <c r="CV188" s="7">
        <f>ROUND(3000,2)</f>
        <v>3000</v>
      </c>
      <c r="CW188" s="7">
        <f>ROUND(262.52,2)</f>
        <v>262.52</v>
      </c>
      <c r="CX188" s="6"/>
      <c r="CY188" s="6"/>
      <c r="CZ188" s="6"/>
      <c r="DA188" s="7">
        <f>ROUND(1810.9,2)</f>
        <v>1810.9</v>
      </c>
      <c r="DB188" s="7">
        <f>ROUND(586.29,2)</f>
        <v>586.29</v>
      </c>
      <c r="DC188" s="7">
        <f>ROUND(373.36,2)</f>
        <v>373.36</v>
      </c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7">
        <f>ROUND(2839.68,2)</f>
        <v>2839.68</v>
      </c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7">
        <f>ROUND(60884.2599999999,2)</f>
        <v>60884.26</v>
      </c>
    </row>
    <row r="189" spans="1:152" ht="24">
      <c r="A189" s="4" t="s">
        <v>555</v>
      </c>
      <c r="B189" s="4"/>
      <c r="C189" s="5" t="s">
        <v>430</v>
      </c>
      <c r="D189" s="5" t="s">
        <v>229</v>
      </c>
      <c r="E189" s="5" t="s">
        <v>0</v>
      </c>
      <c r="F189" s="5" t="s">
        <v>0</v>
      </c>
      <c r="G189" s="5" t="s">
        <v>556</v>
      </c>
      <c r="H189" s="10">
        <v>2499.2399999999998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7">
        <f>ROUND(24,2)</f>
        <v>24</v>
      </c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7">
        <f>ROUND(32,2)</f>
        <v>32</v>
      </c>
      <c r="BU189" s="7">
        <f>ROUND(64,2)</f>
        <v>64</v>
      </c>
      <c r="BV189" s="6"/>
      <c r="BW189" s="6"/>
      <c r="BX189" s="6"/>
      <c r="BY189" s="7">
        <f>ROUND(48,2)</f>
        <v>48</v>
      </c>
      <c r="BZ189" s="6"/>
      <c r="CA189" s="6"/>
      <c r="CB189" s="7">
        <f>ROUND(168,2)</f>
        <v>168</v>
      </c>
      <c r="CC189" s="7">
        <f>ROUND(124708.939999999,2)</f>
        <v>124708.94</v>
      </c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7">
        <f>ROUND(5998.08,2)</f>
        <v>5998.08</v>
      </c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7">
        <f>ROUND(130707.019999999,2)</f>
        <v>130707.02</v>
      </c>
    </row>
    <row r="190" spans="1:152">
      <c r="A190" s="4" t="s">
        <v>557</v>
      </c>
      <c r="B190" s="4" t="s">
        <v>1058</v>
      </c>
      <c r="C190" s="5" t="s">
        <v>152</v>
      </c>
      <c r="D190" s="5" t="s">
        <v>160</v>
      </c>
      <c r="E190" s="5" t="s">
        <v>558</v>
      </c>
      <c r="F190" s="5" t="s">
        <v>0</v>
      </c>
      <c r="G190" s="5" t="s">
        <v>155</v>
      </c>
      <c r="H190" s="10">
        <v>17.5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7">
        <f>ROUND(5,2)</f>
        <v>5</v>
      </c>
      <c r="AI190" s="6"/>
      <c r="AJ190" s="6"/>
      <c r="AK190" s="6"/>
      <c r="AL190" s="7">
        <f>ROUND(112,2)</f>
        <v>112</v>
      </c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7">
        <f>ROUND(117,2)</f>
        <v>117</v>
      </c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7">
        <f>ROUND(87.5,2)</f>
        <v>87.5</v>
      </c>
      <c r="DD190" s="6"/>
      <c r="DE190" s="6"/>
      <c r="DF190" s="6"/>
      <c r="DG190" s="6"/>
      <c r="DH190" s="6"/>
      <c r="DI190" s="7">
        <f>ROUND(1960,2)</f>
        <v>1960</v>
      </c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7">
        <f>ROUND(2047.5,2)</f>
        <v>2047.5</v>
      </c>
    </row>
    <row r="191" spans="1:152">
      <c r="A191" s="4" t="s">
        <v>559</v>
      </c>
      <c r="B191" s="4" t="s">
        <v>1058</v>
      </c>
      <c r="C191" s="5" t="s">
        <v>152</v>
      </c>
      <c r="D191" s="5" t="s">
        <v>250</v>
      </c>
      <c r="E191" s="5" t="s">
        <v>0</v>
      </c>
      <c r="F191" s="5" t="s">
        <v>0</v>
      </c>
      <c r="G191" s="5" t="s">
        <v>155</v>
      </c>
      <c r="H191" s="10">
        <v>30.4</v>
      </c>
      <c r="I191" s="6"/>
      <c r="J191" s="6"/>
      <c r="K191" s="6"/>
      <c r="L191" s="6"/>
      <c r="M191" s="7">
        <f>ROUND(1322.75,2)</f>
        <v>1322.75</v>
      </c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7">
        <f>ROUND(45,2)</f>
        <v>45</v>
      </c>
      <c r="AI191" s="6"/>
      <c r="AJ191" s="7">
        <f>ROUND(35,2)</f>
        <v>35</v>
      </c>
      <c r="AK191" s="6"/>
      <c r="AL191" s="7">
        <f>ROUND(8.5,2)</f>
        <v>8.5</v>
      </c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7">
        <f>ROUND(0.75,2)</f>
        <v>0.75</v>
      </c>
      <c r="BE191" s="7">
        <f>ROUND(2.75,2)</f>
        <v>2.75</v>
      </c>
      <c r="BF191" s="6"/>
      <c r="BG191" s="6"/>
      <c r="BH191" s="7">
        <f>ROUND(10,2)</f>
        <v>10</v>
      </c>
      <c r="BI191" s="6"/>
      <c r="BJ191" s="7">
        <f>ROUND(25,2)</f>
        <v>25</v>
      </c>
      <c r="BK191" s="6"/>
      <c r="BL191" s="6"/>
      <c r="BM191" s="7">
        <f>ROUND(15,2)</f>
        <v>15</v>
      </c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7">
        <f>ROUND(25,2)</f>
        <v>25</v>
      </c>
      <c r="CB191" s="7">
        <f>ROUND(1489.74999999999,2)</f>
        <v>1489.75</v>
      </c>
      <c r="CC191" s="6"/>
      <c r="CD191" s="6"/>
      <c r="CE191" s="6"/>
      <c r="CF191" s="6"/>
      <c r="CG191" s="7">
        <f>ROUND(33226.0899999999,2)</f>
        <v>33226.089999999997</v>
      </c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7">
        <f>ROUND(1149.88,2)</f>
        <v>1149.8800000000001</v>
      </c>
      <c r="DD191" s="6"/>
      <c r="DE191" s="7">
        <f>ROUND(845.88,2)</f>
        <v>845.88</v>
      </c>
      <c r="DF191" s="6"/>
      <c r="DG191" s="6"/>
      <c r="DH191" s="6"/>
      <c r="DI191" s="7">
        <f>ROUND(205.43,2)</f>
        <v>205.43</v>
      </c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7">
        <f>ROUND(550,2)</f>
        <v>550</v>
      </c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7">
        <f>ROUND(625,2)</f>
        <v>625</v>
      </c>
      <c r="ER191" s="6"/>
      <c r="ES191" s="6"/>
      <c r="ET191" s="6"/>
      <c r="EU191" s="7">
        <f>ROUND(760,2)</f>
        <v>760</v>
      </c>
      <c r="EV191" s="7">
        <f>ROUND(37362.2799999999,2)</f>
        <v>37362.28</v>
      </c>
    </row>
    <row r="192" spans="1:152">
      <c r="A192" s="4" t="s">
        <v>560</v>
      </c>
      <c r="B192" s="4" t="s">
        <v>1058</v>
      </c>
      <c r="C192" s="5" t="s">
        <v>152</v>
      </c>
      <c r="D192" s="5" t="s">
        <v>281</v>
      </c>
      <c r="E192" s="5" t="s">
        <v>0</v>
      </c>
      <c r="F192" s="5" t="s">
        <v>0</v>
      </c>
      <c r="G192" s="5" t="s">
        <v>155</v>
      </c>
      <c r="H192" s="10">
        <v>24.32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7">
        <f>ROUND(10,2)</f>
        <v>10</v>
      </c>
      <c r="AI192" s="6"/>
      <c r="AJ192" s="6"/>
      <c r="AK192" s="6"/>
      <c r="AL192" s="7">
        <f>ROUND(211,2)</f>
        <v>211</v>
      </c>
      <c r="AM192" s="6"/>
      <c r="AN192" s="7">
        <f>ROUND(17.39,2)</f>
        <v>17.39</v>
      </c>
      <c r="AO192" s="6"/>
      <c r="AP192" s="6"/>
      <c r="AQ192" s="6"/>
      <c r="AR192" s="7">
        <f>ROUND(8,2)</f>
        <v>8</v>
      </c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7">
        <f>ROUND(246.39,2)</f>
        <v>246.39</v>
      </c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7">
        <f>ROUND(175,2)</f>
        <v>175</v>
      </c>
      <c r="DD192" s="6"/>
      <c r="DE192" s="6"/>
      <c r="DF192" s="6"/>
      <c r="DG192" s="6"/>
      <c r="DH192" s="6"/>
      <c r="DI192" s="7">
        <f>ROUND(3692.5,2)</f>
        <v>3692.5</v>
      </c>
      <c r="DJ192" s="6"/>
      <c r="DK192" s="7">
        <f>ROUND(456.49,2)</f>
        <v>456.49</v>
      </c>
      <c r="DL192" s="6"/>
      <c r="DM192" s="6"/>
      <c r="DN192" s="6"/>
      <c r="DO192" s="6"/>
      <c r="DP192" s="7">
        <f>ROUND(140,2)</f>
        <v>140</v>
      </c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7">
        <f>ROUND(4463.99,2)</f>
        <v>4463.99</v>
      </c>
    </row>
    <row r="193" spans="1:152">
      <c r="A193" s="4" t="s">
        <v>561</v>
      </c>
      <c r="B193" s="4" t="s">
        <v>1058</v>
      </c>
      <c r="C193" s="5" t="s">
        <v>152</v>
      </c>
      <c r="D193" s="5" t="s">
        <v>562</v>
      </c>
      <c r="E193" s="5" t="s">
        <v>0</v>
      </c>
      <c r="F193" s="5" t="s">
        <v>0</v>
      </c>
      <c r="G193" s="5" t="s">
        <v>155</v>
      </c>
      <c r="H193" s="10">
        <v>30.4</v>
      </c>
      <c r="I193" s="6"/>
      <c r="J193" s="6"/>
      <c r="K193" s="6"/>
      <c r="L193" s="6"/>
      <c r="M193" s="7">
        <f>ROUND(280.29,2)</f>
        <v>280.29000000000002</v>
      </c>
      <c r="N193" s="6"/>
      <c r="O193" s="6"/>
      <c r="P193" s="7">
        <f>ROUND(34.33,2)</f>
        <v>34.33</v>
      </c>
      <c r="Q193" s="6"/>
      <c r="R193" s="6"/>
      <c r="S193" s="6"/>
      <c r="T193" s="6"/>
      <c r="U193" s="6"/>
      <c r="V193" s="6"/>
      <c r="W193" s="7">
        <f>ROUND(1,2)</f>
        <v>1</v>
      </c>
      <c r="X193" s="6"/>
      <c r="Y193" s="6"/>
      <c r="Z193" s="6"/>
      <c r="AA193" s="6"/>
      <c r="AB193" s="6"/>
      <c r="AC193" s="7">
        <f>ROUND(1335,2)</f>
        <v>1335</v>
      </c>
      <c r="AD193" s="7">
        <f>ROUND(39.86,2)</f>
        <v>39.86</v>
      </c>
      <c r="AE193" s="6"/>
      <c r="AF193" s="7">
        <f>ROUND(114.34,2)</f>
        <v>114.34</v>
      </c>
      <c r="AG193" s="7">
        <f>ROUND(10.3799999999999,2)</f>
        <v>10.38</v>
      </c>
      <c r="AH193" s="7">
        <f>ROUND(80,2)</f>
        <v>80</v>
      </c>
      <c r="AI193" s="6"/>
      <c r="AJ193" s="7">
        <f>ROUND(128,2)</f>
        <v>128</v>
      </c>
      <c r="AK193" s="6"/>
      <c r="AL193" s="7">
        <f>ROUND(13.7,2)</f>
        <v>13.7</v>
      </c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7">
        <f>ROUND(88,2)</f>
        <v>88</v>
      </c>
      <c r="BD193" s="7">
        <f>ROUND(8.83,2)</f>
        <v>8.83</v>
      </c>
      <c r="BE193" s="6"/>
      <c r="BF193" s="7">
        <f>ROUND(13.5,2)</f>
        <v>13.5</v>
      </c>
      <c r="BG193" s="7">
        <f>ROUND(23.19,2)</f>
        <v>23.19</v>
      </c>
      <c r="BH193" s="7">
        <f>ROUND(8,2)</f>
        <v>8</v>
      </c>
      <c r="BI193" s="6"/>
      <c r="BJ193" s="6"/>
      <c r="BK193" s="6"/>
      <c r="BL193" s="6"/>
      <c r="BM193" s="7">
        <f>ROUND(16,2)</f>
        <v>16</v>
      </c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7">
        <f>ROUND(24,2)</f>
        <v>24</v>
      </c>
      <c r="CB193" s="7">
        <f>ROUND(2218.42,2)</f>
        <v>2218.42</v>
      </c>
      <c r="CC193" s="6"/>
      <c r="CD193" s="6"/>
      <c r="CE193" s="6"/>
      <c r="CF193" s="6"/>
      <c r="CG193" s="7">
        <f>ROUND(7786.85999999999,2)</f>
        <v>7786.86</v>
      </c>
      <c r="CH193" s="6"/>
      <c r="CI193" s="6"/>
      <c r="CJ193" s="7">
        <f>ROUND(1430.54,2)</f>
        <v>1430.54</v>
      </c>
      <c r="CK193" s="6"/>
      <c r="CL193" s="6"/>
      <c r="CM193" s="6"/>
      <c r="CN193" s="6"/>
      <c r="CO193" s="6"/>
      <c r="CP193" s="6"/>
      <c r="CQ193" s="7">
        <f>ROUND(27.78,2)</f>
        <v>27.78</v>
      </c>
      <c r="CR193" s="6"/>
      <c r="CS193" s="6"/>
      <c r="CT193" s="6"/>
      <c r="CU193" s="6"/>
      <c r="CV193" s="6"/>
      <c r="CW193" s="7">
        <f>ROUND(37707.54,2)</f>
        <v>37707.54</v>
      </c>
      <c r="CX193" s="7">
        <f>ROUND(1701.7,2)</f>
        <v>1701.7</v>
      </c>
      <c r="CY193" s="6"/>
      <c r="CZ193" s="6"/>
      <c r="DA193" s="7">
        <f>ROUND(3183.76,2)</f>
        <v>3183.76</v>
      </c>
      <c r="DB193" s="7">
        <f>ROUND(433.48,2)</f>
        <v>433.48</v>
      </c>
      <c r="DC193" s="7">
        <f>ROUND(2264.32,2)</f>
        <v>2264.3200000000002</v>
      </c>
      <c r="DD193" s="6"/>
      <c r="DE193" s="7">
        <f>ROUND(3618.72,2)</f>
        <v>3618.72</v>
      </c>
      <c r="DF193" s="6"/>
      <c r="DG193" s="6"/>
      <c r="DH193" s="6"/>
      <c r="DI193" s="7">
        <f>ROUND(380.59,2)</f>
        <v>380.59</v>
      </c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7">
        <f>ROUND(222.24,2)</f>
        <v>222.24</v>
      </c>
      <c r="ED193" s="6"/>
      <c r="EE193" s="7">
        <f>ROUND(725,2)</f>
        <v>725</v>
      </c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7">
        <f>ROUND(1250,2)</f>
        <v>1250</v>
      </c>
      <c r="ER193" s="6"/>
      <c r="ES193" s="6"/>
      <c r="ET193" s="6"/>
      <c r="EU193" s="7">
        <f>ROUND(729.6,2)</f>
        <v>729.6</v>
      </c>
      <c r="EV193" s="7">
        <f>ROUND(61462.13,2)</f>
        <v>61462.13</v>
      </c>
    </row>
    <row r="194" spans="1:152">
      <c r="A194" s="4" t="s">
        <v>563</v>
      </c>
      <c r="B194" s="4" t="s">
        <v>1058</v>
      </c>
      <c r="C194" s="5" t="s">
        <v>152</v>
      </c>
      <c r="D194" s="5" t="s">
        <v>517</v>
      </c>
      <c r="E194" s="5" t="s">
        <v>0</v>
      </c>
      <c r="F194" s="5" t="s">
        <v>0</v>
      </c>
      <c r="G194" s="5" t="s">
        <v>155</v>
      </c>
      <c r="H194" s="10">
        <v>30.4</v>
      </c>
      <c r="I194" s="6"/>
      <c r="J194" s="6"/>
      <c r="K194" s="6"/>
      <c r="L194" s="6"/>
      <c r="M194" s="7">
        <f>ROUND(1050.33999999999,2)</f>
        <v>1050.3399999999999</v>
      </c>
      <c r="N194" s="6"/>
      <c r="O194" s="6"/>
      <c r="P194" s="7">
        <f>ROUND(152.239999999999,2)</f>
        <v>152.24</v>
      </c>
      <c r="Q194" s="6"/>
      <c r="R194" s="6"/>
      <c r="S194" s="6"/>
      <c r="T194" s="6"/>
      <c r="U194" s="6"/>
      <c r="V194" s="6"/>
      <c r="W194" s="7">
        <f>ROUND(1.66,2)</f>
        <v>1.66</v>
      </c>
      <c r="X194" s="7">
        <f>ROUND(2.18,2)</f>
        <v>2.1800000000000002</v>
      </c>
      <c r="Y194" s="6"/>
      <c r="Z194" s="6"/>
      <c r="AA194" s="6"/>
      <c r="AB194" s="6"/>
      <c r="AC194" s="7">
        <f>ROUND(408.25,2)</f>
        <v>408.25</v>
      </c>
      <c r="AD194" s="7">
        <f>ROUND(8,2)</f>
        <v>8</v>
      </c>
      <c r="AE194" s="6"/>
      <c r="AF194" s="7">
        <f>ROUND(227.05,2)</f>
        <v>227.05</v>
      </c>
      <c r="AG194" s="7">
        <f>ROUND(4.65,2)</f>
        <v>4.6500000000000004</v>
      </c>
      <c r="AH194" s="7">
        <f>ROUND(72,2)</f>
        <v>72</v>
      </c>
      <c r="AI194" s="6"/>
      <c r="AJ194" s="7">
        <f>ROUND(128,2)</f>
        <v>128</v>
      </c>
      <c r="AK194" s="6"/>
      <c r="AL194" s="7">
        <f>ROUND(8.5,2)</f>
        <v>8.5</v>
      </c>
      <c r="AM194" s="7">
        <f>ROUND(2.75,2)</f>
        <v>2.75</v>
      </c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7">
        <f>ROUND(24,2)</f>
        <v>24</v>
      </c>
      <c r="BC194" s="7">
        <f>ROUND(24,2)</f>
        <v>24</v>
      </c>
      <c r="BD194" s="6"/>
      <c r="BE194" s="7">
        <f>ROUND(65.46,2)</f>
        <v>65.459999999999994</v>
      </c>
      <c r="BF194" s="6"/>
      <c r="BG194" s="6"/>
      <c r="BH194" s="6"/>
      <c r="BI194" s="6"/>
      <c r="BJ194" s="6"/>
      <c r="BK194" s="6"/>
      <c r="BL194" s="6"/>
      <c r="BM194" s="7">
        <f>ROUND(48,2)</f>
        <v>48</v>
      </c>
      <c r="BN194" s="6"/>
      <c r="BO194" s="6"/>
      <c r="BP194" s="7">
        <f>ROUND(88,2)</f>
        <v>88</v>
      </c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7">
        <f>ROUND(2315.07999999999,2)</f>
        <v>2315.08</v>
      </c>
      <c r="CC194" s="6"/>
      <c r="CD194" s="6"/>
      <c r="CE194" s="6"/>
      <c r="CF194" s="6"/>
      <c r="CG194" s="7">
        <f>ROUND(29362.39,2)</f>
        <v>29362.39</v>
      </c>
      <c r="CH194" s="6"/>
      <c r="CI194" s="6"/>
      <c r="CJ194" s="7">
        <f>ROUND(6370.67,2)</f>
        <v>6370.67</v>
      </c>
      <c r="CK194" s="6"/>
      <c r="CL194" s="6"/>
      <c r="CM194" s="6"/>
      <c r="CN194" s="6"/>
      <c r="CO194" s="6"/>
      <c r="CP194" s="6"/>
      <c r="CQ194" s="7">
        <f>ROUND(46.3,2)</f>
        <v>46.3</v>
      </c>
      <c r="CR194" s="7">
        <f>ROUND(98.11,2)</f>
        <v>98.11</v>
      </c>
      <c r="CS194" s="6"/>
      <c r="CT194" s="6"/>
      <c r="CU194" s="6"/>
      <c r="CV194" s="6"/>
      <c r="CW194" s="7">
        <f>ROUND(11838.9299999999,2)</f>
        <v>11838.93</v>
      </c>
      <c r="CX194" s="7">
        <f>ROUND(364.8,2)</f>
        <v>364.8</v>
      </c>
      <c r="CY194" s="6"/>
      <c r="CZ194" s="6"/>
      <c r="DA194" s="7">
        <f>ROUND(6325.13,2)</f>
        <v>6325.13</v>
      </c>
      <c r="DB194" s="7">
        <f>ROUND(200.519999999999,2)</f>
        <v>200.52</v>
      </c>
      <c r="DC194" s="7">
        <f>ROUND(2042.08,2)</f>
        <v>2042.08</v>
      </c>
      <c r="DD194" s="6"/>
      <c r="DE194" s="7">
        <f>ROUND(3576.79999999999,2)</f>
        <v>3576.8</v>
      </c>
      <c r="DF194" s="6"/>
      <c r="DG194" s="6"/>
      <c r="DH194" s="6"/>
      <c r="DI194" s="7">
        <f>ROUND(236.13,2)</f>
        <v>236.13</v>
      </c>
      <c r="DJ194" s="7">
        <f>ROUND(76.4,2)</f>
        <v>76.400000000000006</v>
      </c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7">
        <f>ROUND(450,2)</f>
        <v>450</v>
      </c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7">
        <f>ROUND(1023.36,2)</f>
        <v>1023.36</v>
      </c>
      <c r="ER194" s="6"/>
      <c r="ES194" s="6"/>
      <c r="ET194" s="6"/>
      <c r="EU194" s="6"/>
      <c r="EV194" s="7">
        <f>ROUND(62011.62,2)</f>
        <v>62011.62</v>
      </c>
    </row>
    <row r="195" spans="1:152" ht="24">
      <c r="A195" s="4" t="s">
        <v>564</v>
      </c>
      <c r="B195" s="4"/>
      <c r="C195" s="5" t="s">
        <v>377</v>
      </c>
      <c r="D195" s="5" t="s">
        <v>565</v>
      </c>
      <c r="E195" s="5" t="s">
        <v>0</v>
      </c>
      <c r="F195" s="5" t="s">
        <v>0</v>
      </c>
      <c r="G195" s="5" t="s">
        <v>566</v>
      </c>
      <c r="H195" s="10">
        <v>26.37</v>
      </c>
      <c r="I195" s="7">
        <f>ROUND(1811.5,2)</f>
        <v>1811.5</v>
      </c>
      <c r="J195" s="7">
        <f>ROUND(20,2)</f>
        <v>20</v>
      </c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7">
        <f>ROUND(48,2)</f>
        <v>48</v>
      </c>
      <c r="BU195" s="7">
        <f>ROUND(32,2)</f>
        <v>32</v>
      </c>
      <c r="BV195" s="6"/>
      <c r="BW195" s="6"/>
      <c r="BX195" s="7">
        <f>ROUND(94,2)</f>
        <v>94</v>
      </c>
      <c r="BY195" s="7">
        <f>ROUND(80,2)</f>
        <v>80</v>
      </c>
      <c r="BZ195" s="7">
        <f>ROUND(10,2)</f>
        <v>10</v>
      </c>
      <c r="CA195" s="6"/>
      <c r="CB195" s="7">
        <f>ROUND(2095.5,2)</f>
        <v>2095.5</v>
      </c>
      <c r="CC195" s="7">
        <f>ROUND(45389.05,2)</f>
        <v>45389.05</v>
      </c>
      <c r="CD195" s="7">
        <f>ROUND(761.819999999999,2)</f>
        <v>761.82</v>
      </c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7">
        <f>ROUND(500,2)</f>
        <v>500</v>
      </c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7">
        <f>ROUND(2531.52,2)</f>
        <v>2531.52</v>
      </c>
      <c r="EF195" s="6"/>
      <c r="EG195" s="7">
        <f>ROUND(1207.89,2)</f>
        <v>1207.8900000000001</v>
      </c>
      <c r="EH195" s="7">
        <f>ROUND(795.1,2)</f>
        <v>795.1</v>
      </c>
      <c r="EI195" s="6"/>
      <c r="EJ195" s="6"/>
      <c r="EK195" s="6"/>
      <c r="EL195" s="6"/>
      <c r="EM195" s="6"/>
      <c r="EN195" s="7">
        <f>ROUND(2405.69,2)</f>
        <v>2405.69</v>
      </c>
      <c r="EO195" s="6"/>
      <c r="EP195" s="6"/>
      <c r="EQ195" s="6"/>
      <c r="ER195" s="6"/>
      <c r="ES195" s="7">
        <f>ROUND(2045.63999999999,2)</f>
        <v>2045.64</v>
      </c>
      <c r="ET195" s="7">
        <f>ROUND(263.7,2)</f>
        <v>263.7</v>
      </c>
      <c r="EU195" s="6"/>
      <c r="EV195" s="7">
        <f>ROUND(55900.41,2)</f>
        <v>55900.41</v>
      </c>
    </row>
    <row r="196" spans="1:152">
      <c r="A196" s="4" t="s">
        <v>567</v>
      </c>
      <c r="B196" s="4" t="s">
        <v>1058</v>
      </c>
      <c r="C196" s="5" t="s">
        <v>152</v>
      </c>
      <c r="D196" s="5" t="s">
        <v>568</v>
      </c>
      <c r="E196" s="5" t="s">
        <v>569</v>
      </c>
      <c r="F196" s="5" t="s">
        <v>0</v>
      </c>
      <c r="G196" s="5" t="s">
        <v>155</v>
      </c>
      <c r="H196" s="10">
        <v>27.78</v>
      </c>
      <c r="I196" s="6"/>
      <c r="J196" s="6"/>
      <c r="K196" s="6"/>
      <c r="L196" s="6"/>
      <c r="M196" s="7">
        <f>ROUND(1514.87999999999,2)</f>
        <v>1514.88</v>
      </c>
      <c r="N196" s="6"/>
      <c r="O196" s="6"/>
      <c r="P196" s="7">
        <f>ROUND(195.94,2)</f>
        <v>195.94</v>
      </c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7">
        <f>ROUND(6,2)</f>
        <v>6</v>
      </c>
      <c r="AH196" s="7">
        <f>ROUND(72,2)</f>
        <v>72</v>
      </c>
      <c r="AI196" s="6"/>
      <c r="AJ196" s="7">
        <f>ROUND(168,2)</f>
        <v>168</v>
      </c>
      <c r="AK196" s="6"/>
      <c r="AL196" s="7">
        <f>ROUND(10.5,2)</f>
        <v>10.5</v>
      </c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7">
        <f>ROUND(8,2)</f>
        <v>8</v>
      </c>
      <c r="BC196" s="6"/>
      <c r="BD196" s="6"/>
      <c r="BE196" s="7">
        <f>ROUND(4,2)</f>
        <v>4</v>
      </c>
      <c r="BF196" s="6"/>
      <c r="BG196" s="6"/>
      <c r="BH196" s="6"/>
      <c r="BI196" s="6"/>
      <c r="BJ196" s="6"/>
      <c r="BK196" s="6"/>
      <c r="BL196" s="6"/>
      <c r="BM196" s="7">
        <f>ROUND(8,2)</f>
        <v>8</v>
      </c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7">
        <f>ROUND(1987.32,2)</f>
        <v>1987.32</v>
      </c>
      <c r="CC196" s="6"/>
      <c r="CD196" s="6"/>
      <c r="CE196" s="6"/>
      <c r="CF196" s="6"/>
      <c r="CG196" s="7">
        <f>ROUND(42083.37,2)</f>
        <v>42083.37</v>
      </c>
      <c r="CH196" s="6"/>
      <c r="CI196" s="6"/>
      <c r="CJ196" s="7">
        <f>ROUND(8164.85,2)</f>
        <v>8164.85</v>
      </c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7">
        <f>ROUND(250.02,2)</f>
        <v>250.02</v>
      </c>
      <c r="DC196" s="7">
        <f>ROUND(2000.16,2)</f>
        <v>2000.16</v>
      </c>
      <c r="DD196" s="6"/>
      <c r="DE196" s="7">
        <f>ROUND(4667.03999999999,2)</f>
        <v>4667.04</v>
      </c>
      <c r="DF196" s="6"/>
      <c r="DG196" s="6"/>
      <c r="DH196" s="6"/>
      <c r="DI196" s="7">
        <f>ROUND(291.69,2)</f>
        <v>291.69</v>
      </c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7">
        <f>ROUND(1150,2)</f>
        <v>1150</v>
      </c>
      <c r="EM196" s="6"/>
      <c r="EN196" s="6"/>
      <c r="EO196" s="6"/>
      <c r="EP196" s="6"/>
      <c r="EQ196" s="6"/>
      <c r="ER196" s="6"/>
      <c r="ES196" s="6"/>
      <c r="ET196" s="6"/>
      <c r="EU196" s="7">
        <f>ROUND(2000.16,2)</f>
        <v>2000.16</v>
      </c>
      <c r="EV196" s="7">
        <f>ROUND(60607.2899999999,2)</f>
        <v>60607.29</v>
      </c>
    </row>
    <row r="197" spans="1:152">
      <c r="A197" s="4" t="s">
        <v>570</v>
      </c>
      <c r="B197" s="4" t="s">
        <v>1058</v>
      </c>
      <c r="C197" s="5" t="s">
        <v>152</v>
      </c>
      <c r="D197" s="5" t="s">
        <v>404</v>
      </c>
      <c r="E197" s="5" t="s">
        <v>0</v>
      </c>
      <c r="F197" s="5" t="s">
        <v>0</v>
      </c>
      <c r="G197" s="5" t="s">
        <v>155</v>
      </c>
      <c r="H197" s="10">
        <v>30.4</v>
      </c>
      <c r="I197" s="6"/>
      <c r="J197" s="6"/>
      <c r="K197" s="6"/>
      <c r="L197" s="6"/>
      <c r="M197" s="7">
        <f>ROUND(1464.26,2)</f>
        <v>1464.26</v>
      </c>
      <c r="N197" s="6"/>
      <c r="O197" s="6"/>
      <c r="P197" s="7">
        <f>ROUND(104.26,2)</f>
        <v>104.26</v>
      </c>
      <c r="Q197" s="6"/>
      <c r="R197" s="6"/>
      <c r="S197" s="6"/>
      <c r="T197" s="6"/>
      <c r="U197" s="6"/>
      <c r="V197" s="7">
        <f>ROUND(14.5,2)</f>
        <v>14.5</v>
      </c>
      <c r="W197" s="6"/>
      <c r="X197" s="6"/>
      <c r="Y197" s="6"/>
      <c r="Z197" s="6"/>
      <c r="AA197" s="6"/>
      <c r="AB197" s="6"/>
      <c r="AC197" s="7">
        <f>ROUND(41.25,2)</f>
        <v>41.25</v>
      </c>
      <c r="AD197" s="7">
        <f>ROUND(30.75,2)</f>
        <v>30.75</v>
      </c>
      <c r="AE197" s="6"/>
      <c r="AF197" s="6"/>
      <c r="AG197" s="7">
        <f>ROUND(6,2)</f>
        <v>6</v>
      </c>
      <c r="AH197" s="7">
        <f>ROUND(72,2)</f>
        <v>72</v>
      </c>
      <c r="AI197" s="6"/>
      <c r="AJ197" s="7">
        <f>ROUND(184,2)</f>
        <v>184</v>
      </c>
      <c r="AK197" s="6"/>
      <c r="AL197" s="7">
        <f>ROUND(17.58,2)</f>
        <v>17.579999999999998</v>
      </c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7">
        <f>ROUND(16,2)</f>
        <v>16</v>
      </c>
      <c r="BC197" s="7">
        <f>ROUND(304,2)</f>
        <v>304</v>
      </c>
      <c r="BD197" s="7">
        <f>ROUND(7.9,2)</f>
        <v>7.9</v>
      </c>
      <c r="BE197" s="6"/>
      <c r="BF197" s="6"/>
      <c r="BG197" s="6"/>
      <c r="BH197" s="7">
        <f>ROUND(8,2)</f>
        <v>8</v>
      </c>
      <c r="BI197" s="6"/>
      <c r="BJ197" s="6"/>
      <c r="BK197" s="6"/>
      <c r="BL197" s="6"/>
      <c r="BM197" s="7">
        <f>ROUND(32,2)</f>
        <v>32</v>
      </c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7">
        <f>ROUND(16,2)</f>
        <v>16</v>
      </c>
      <c r="CB197" s="7">
        <f>ROUND(2318.5,2)</f>
        <v>2318.5</v>
      </c>
      <c r="CC197" s="6"/>
      <c r="CD197" s="6"/>
      <c r="CE197" s="6"/>
      <c r="CF197" s="6"/>
      <c r="CG197" s="7">
        <f>ROUND(41177.96,2)</f>
        <v>41177.96</v>
      </c>
      <c r="CH197" s="6"/>
      <c r="CI197" s="6"/>
      <c r="CJ197" s="7">
        <f>ROUND(4395.81999999999,2)</f>
        <v>4395.82</v>
      </c>
      <c r="CK197" s="6"/>
      <c r="CL197" s="6"/>
      <c r="CM197" s="6"/>
      <c r="CN197" s="6"/>
      <c r="CO197" s="6"/>
      <c r="CP197" s="7">
        <f>ROUND(607.48,2)</f>
        <v>607.48</v>
      </c>
      <c r="CQ197" s="6"/>
      <c r="CR197" s="6"/>
      <c r="CS197" s="6"/>
      <c r="CT197" s="6"/>
      <c r="CU197" s="6"/>
      <c r="CV197" s="6"/>
      <c r="CW197" s="7">
        <f>ROUND(1145.93,2)</f>
        <v>1145.93</v>
      </c>
      <c r="CX197" s="7">
        <f>ROUND(1281.36,2)</f>
        <v>1281.3599999999999</v>
      </c>
      <c r="CY197" s="6"/>
      <c r="CZ197" s="6"/>
      <c r="DA197" s="6"/>
      <c r="DB197" s="7">
        <f>ROUND(250.02,2)</f>
        <v>250.02</v>
      </c>
      <c r="DC197" s="7">
        <f>ROUND(2042.08,2)</f>
        <v>2042.08</v>
      </c>
      <c r="DD197" s="6"/>
      <c r="DE197" s="7">
        <f>ROUND(5237.27999999999,2)</f>
        <v>5237.28</v>
      </c>
      <c r="DF197" s="6"/>
      <c r="DG197" s="6"/>
      <c r="DH197" s="6"/>
      <c r="DI197" s="7">
        <f>ROUND(512.16,2)</f>
        <v>512.16</v>
      </c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7">
        <f>ROUND(400,2)</f>
        <v>400</v>
      </c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7">
        <f>ROUND(924.96,2)</f>
        <v>924.96</v>
      </c>
      <c r="ER197" s="6"/>
      <c r="ES197" s="6"/>
      <c r="ET197" s="6"/>
      <c r="EU197" s="7">
        <f>ROUND(486.4,2)</f>
        <v>486.4</v>
      </c>
      <c r="EV197" s="7">
        <f>ROUND(58461.4499999999,2)</f>
        <v>58461.45</v>
      </c>
    </row>
    <row r="198" spans="1:152">
      <c r="A198" s="4" t="s">
        <v>571</v>
      </c>
      <c r="B198" s="4" t="s">
        <v>1058</v>
      </c>
      <c r="C198" s="5" t="s">
        <v>152</v>
      </c>
      <c r="D198" s="5" t="s">
        <v>153</v>
      </c>
      <c r="E198" s="5" t="s">
        <v>572</v>
      </c>
      <c r="F198" s="5" t="s">
        <v>0</v>
      </c>
      <c r="G198" s="5" t="s">
        <v>155</v>
      </c>
      <c r="H198" s="10">
        <v>23.34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7">
        <f>ROUND(1015,2)</f>
        <v>1015</v>
      </c>
      <c r="BD198" s="6"/>
      <c r="BE198" s="6"/>
      <c r="BF198" s="6"/>
      <c r="BG198" s="6"/>
      <c r="BH198" s="7">
        <f>ROUND(15,2)</f>
        <v>15</v>
      </c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7">
        <f>ROUND(1030,2)</f>
        <v>1030</v>
      </c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</row>
    <row r="199" spans="1:152">
      <c r="A199" s="4" t="s">
        <v>573</v>
      </c>
      <c r="B199" s="4" t="s">
        <v>1058</v>
      </c>
      <c r="C199" s="5" t="s">
        <v>152</v>
      </c>
      <c r="D199" s="5" t="s">
        <v>574</v>
      </c>
      <c r="E199" s="5" t="s">
        <v>575</v>
      </c>
      <c r="F199" s="5" t="s">
        <v>0</v>
      </c>
      <c r="G199" s="5" t="s">
        <v>155</v>
      </c>
      <c r="H199" s="10">
        <v>30.4</v>
      </c>
      <c r="I199" s="6"/>
      <c r="J199" s="6"/>
      <c r="K199" s="6"/>
      <c r="L199" s="6"/>
      <c r="M199" s="7">
        <f>ROUND(603.37,2)</f>
        <v>603.37</v>
      </c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7">
        <f>ROUND(15,2)</f>
        <v>15</v>
      </c>
      <c r="AI199" s="6"/>
      <c r="AJ199" s="6"/>
      <c r="AK199" s="6"/>
      <c r="AL199" s="7">
        <f>ROUND(8,2)</f>
        <v>8</v>
      </c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7">
        <f>ROUND(5,2)</f>
        <v>5</v>
      </c>
      <c r="BC199" s="7">
        <f>ROUND(820,2)</f>
        <v>820</v>
      </c>
      <c r="BD199" s="6"/>
      <c r="BE199" s="7">
        <f>ROUND(5,2)</f>
        <v>5</v>
      </c>
      <c r="BF199" s="6"/>
      <c r="BG199" s="6"/>
      <c r="BH199" s="7">
        <f>ROUND(15,2)</f>
        <v>15</v>
      </c>
      <c r="BI199" s="6"/>
      <c r="BJ199" s="6"/>
      <c r="BK199" s="6"/>
      <c r="BL199" s="6"/>
      <c r="BM199" s="7">
        <f>ROUND(25,2)</f>
        <v>25</v>
      </c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7">
        <f>ROUND(50,2)</f>
        <v>50</v>
      </c>
      <c r="CB199" s="7">
        <f>ROUND(1546.37,2)</f>
        <v>1546.37</v>
      </c>
      <c r="CC199" s="6"/>
      <c r="CD199" s="6"/>
      <c r="CE199" s="6"/>
      <c r="CF199" s="6"/>
      <c r="CG199" s="7">
        <f>ROUND(15587.4499999999,2)</f>
        <v>15587.45</v>
      </c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7">
        <f>ROUND(387.51,2)</f>
        <v>387.51</v>
      </c>
      <c r="DD199" s="6"/>
      <c r="DE199" s="6"/>
      <c r="DF199" s="6"/>
      <c r="DG199" s="6"/>
      <c r="DH199" s="6"/>
      <c r="DI199" s="7">
        <f>ROUND(206.67,2)</f>
        <v>206.67</v>
      </c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7">
        <f>ROUND(300,2)</f>
        <v>300</v>
      </c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7">
        <f>ROUND(1520,2)</f>
        <v>1520</v>
      </c>
      <c r="EV199" s="7">
        <f>ROUND(18001.6299999999,2)</f>
        <v>18001.63</v>
      </c>
    </row>
    <row r="200" spans="1:152" ht="24">
      <c r="A200" s="4" t="s">
        <v>576</v>
      </c>
      <c r="B200" s="4"/>
      <c r="C200" s="5" t="s">
        <v>233</v>
      </c>
      <c r="D200" s="5" t="s">
        <v>212</v>
      </c>
      <c r="E200" s="5" t="s">
        <v>0</v>
      </c>
      <c r="F200" s="5" t="s">
        <v>0</v>
      </c>
      <c r="G200" s="5" t="s">
        <v>236</v>
      </c>
      <c r="H200" s="10">
        <v>18</v>
      </c>
      <c r="I200" s="7">
        <f>ROUND(52.75,2)</f>
        <v>52.75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7">
        <f>ROUND(52.75,2)</f>
        <v>52.75</v>
      </c>
      <c r="CC200" s="7">
        <f>ROUND(949.5,2)</f>
        <v>949.5</v>
      </c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7">
        <f>ROUND(949.5,2)</f>
        <v>949.5</v>
      </c>
    </row>
    <row r="201" spans="1:152">
      <c r="A201" s="4" t="s">
        <v>577</v>
      </c>
      <c r="B201" s="4" t="s">
        <v>1058</v>
      </c>
      <c r="C201" s="5" t="s">
        <v>152</v>
      </c>
      <c r="D201" s="5" t="s">
        <v>505</v>
      </c>
      <c r="E201" s="5" t="s">
        <v>0</v>
      </c>
      <c r="F201" s="5" t="s">
        <v>0</v>
      </c>
      <c r="G201" s="5" t="s">
        <v>155</v>
      </c>
      <c r="H201" s="10">
        <v>30.4</v>
      </c>
      <c r="I201" s="6"/>
      <c r="J201" s="6"/>
      <c r="K201" s="6"/>
      <c r="L201" s="6"/>
      <c r="M201" s="7">
        <f>ROUND(1062.21,2)</f>
        <v>1062.21</v>
      </c>
      <c r="N201" s="6"/>
      <c r="O201" s="6"/>
      <c r="P201" s="7">
        <f>ROUND(206.73,2)</f>
        <v>206.73</v>
      </c>
      <c r="Q201" s="6"/>
      <c r="R201" s="6"/>
      <c r="S201" s="6"/>
      <c r="T201" s="6"/>
      <c r="U201" s="7">
        <f>ROUND(31.08,2)</f>
        <v>31.08</v>
      </c>
      <c r="V201" s="7">
        <f>ROUND(13.17,2)</f>
        <v>13.17</v>
      </c>
      <c r="W201" s="7">
        <f>ROUND(9.80999999999999,2)</f>
        <v>9.81</v>
      </c>
      <c r="X201" s="7">
        <f>ROUND(1.25,2)</f>
        <v>1.25</v>
      </c>
      <c r="Y201" s="6"/>
      <c r="Z201" s="6"/>
      <c r="AA201" s="6"/>
      <c r="AB201" s="6"/>
      <c r="AC201" s="7">
        <f>ROUND(184.37,2)</f>
        <v>184.37</v>
      </c>
      <c r="AD201" s="7">
        <f>ROUND(14.63,2)</f>
        <v>14.63</v>
      </c>
      <c r="AE201" s="6"/>
      <c r="AF201" s="7">
        <f>ROUND(613.97,2)</f>
        <v>613.97</v>
      </c>
      <c r="AG201" s="7">
        <f>ROUND(91.54,2)</f>
        <v>91.54</v>
      </c>
      <c r="AH201" s="7">
        <f>ROUND(96,2)</f>
        <v>96</v>
      </c>
      <c r="AI201" s="6"/>
      <c r="AJ201" s="7">
        <f>ROUND(80,2)</f>
        <v>80</v>
      </c>
      <c r="AK201" s="6"/>
      <c r="AL201" s="7">
        <f>ROUND(2.58,2)</f>
        <v>2.58</v>
      </c>
      <c r="AM201" s="6"/>
      <c r="AN201" s="7">
        <f>ROUND(5.42,2)</f>
        <v>5.42</v>
      </c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7">
        <f>ROUND(2412.76,2)</f>
        <v>2412.7600000000002</v>
      </c>
      <c r="CC201" s="6"/>
      <c r="CD201" s="6"/>
      <c r="CE201" s="6"/>
      <c r="CF201" s="6"/>
      <c r="CG201" s="7">
        <f>ROUND(29824.1599999999,2)</f>
        <v>29824.16</v>
      </c>
      <c r="CH201" s="6"/>
      <c r="CI201" s="6"/>
      <c r="CJ201" s="7">
        <f>ROUND(8691.35999999999,2)</f>
        <v>8691.36</v>
      </c>
      <c r="CK201" s="6"/>
      <c r="CL201" s="6"/>
      <c r="CM201" s="6"/>
      <c r="CN201" s="6"/>
      <c r="CO201" s="7">
        <f>ROUND(877.44,2)</f>
        <v>877.44</v>
      </c>
      <c r="CP201" s="7">
        <f>ROUND(581.22,2)</f>
        <v>581.22</v>
      </c>
      <c r="CQ201" s="7">
        <f>ROUND(280.73,2)</f>
        <v>280.73</v>
      </c>
      <c r="CR201" s="7">
        <f>ROUND(52.09,2)</f>
        <v>52.09</v>
      </c>
      <c r="CS201" s="6"/>
      <c r="CT201" s="6"/>
      <c r="CU201" s="6"/>
      <c r="CV201" s="6"/>
      <c r="CW201" s="7">
        <f>ROUND(5204.86,2)</f>
        <v>5204.8599999999997</v>
      </c>
      <c r="CX201" s="7">
        <f>ROUND(609.63,2)</f>
        <v>609.63</v>
      </c>
      <c r="CY201" s="6"/>
      <c r="CZ201" s="6"/>
      <c r="DA201" s="7">
        <f>ROUND(17372.01,2)</f>
        <v>17372.009999999998</v>
      </c>
      <c r="DB201" s="7">
        <f>ROUND(3852.59999999999,2)</f>
        <v>3852.6</v>
      </c>
      <c r="DC201" s="7">
        <f>ROUND(2729.75999999999,2)</f>
        <v>2729.76</v>
      </c>
      <c r="DD201" s="6"/>
      <c r="DE201" s="7">
        <f>ROUND(2285.27999999999,2)</f>
        <v>2285.2800000000002</v>
      </c>
      <c r="DF201" s="6"/>
      <c r="DG201" s="6"/>
      <c r="DH201" s="6"/>
      <c r="DI201" s="7">
        <f>ROUND(71.67,2)</f>
        <v>71.67</v>
      </c>
      <c r="DJ201" s="6"/>
      <c r="DK201" s="7">
        <f>ROUND(225.85,2)</f>
        <v>225.85</v>
      </c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7">
        <f>ROUND(1375,2)</f>
        <v>1375</v>
      </c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7">
        <f>ROUND(1250,2)</f>
        <v>1250</v>
      </c>
      <c r="ER201" s="6"/>
      <c r="ES201" s="6"/>
      <c r="ET201" s="6"/>
      <c r="EU201" s="6"/>
      <c r="EV201" s="7">
        <f>ROUND(75283.66,2)</f>
        <v>75283.66</v>
      </c>
    </row>
    <row r="202" spans="1:152">
      <c r="A202" s="4" t="s">
        <v>578</v>
      </c>
      <c r="B202" s="4"/>
      <c r="C202" s="5" t="s">
        <v>294</v>
      </c>
      <c r="D202" s="5" t="s">
        <v>251</v>
      </c>
      <c r="E202" s="5" t="s">
        <v>0</v>
      </c>
      <c r="F202" s="5" t="s">
        <v>0</v>
      </c>
      <c r="G202" s="5" t="s">
        <v>579</v>
      </c>
      <c r="H202" s="10">
        <v>1525.18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7">
        <f>ROUND(16,2)</f>
        <v>16</v>
      </c>
      <c r="BU202" s="6"/>
      <c r="BV202" s="6"/>
      <c r="BW202" s="6"/>
      <c r="BX202" s="6"/>
      <c r="BY202" s="7">
        <f>ROUND(56,2)</f>
        <v>56</v>
      </c>
      <c r="BZ202" s="6"/>
      <c r="CA202" s="6"/>
      <c r="CB202" s="7">
        <f>ROUND(72,2)</f>
        <v>72</v>
      </c>
      <c r="CC202" s="7">
        <f>ROUND(36989.3699999999,2)</f>
        <v>36989.370000000003</v>
      </c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7">
        <f>ROUND(305.04,2)</f>
        <v>305.04000000000002</v>
      </c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7">
        <f>ROUND(1000,2)</f>
        <v>1000</v>
      </c>
      <c r="ER202" s="6"/>
      <c r="ES202" s="6"/>
      <c r="ET202" s="6"/>
      <c r="EU202" s="6"/>
      <c r="EV202" s="7">
        <f>ROUND(38294.4099999999,2)</f>
        <v>38294.410000000003</v>
      </c>
    </row>
    <row r="203" spans="1:152" ht="24">
      <c r="A203" s="4" t="s">
        <v>580</v>
      </c>
      <c r="B203" s="4"/>
      <c r="C203" s="5" t="s">
        <v>377</v>
      </c>
      <c r="D203" s="5" t="s">
        <v>581</v>
      </c>
      <c r="E203" s="5" t="s">
        <v>0</v>
      </c>
      <c r="F203" s="5" t="s">
        <v>0</v>
      </c>
      <c r="G203" s="5" t="s">
        <v>582</v>
      </c>
      <c r="H203" s="10">
        <v>1092.73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7">
        <f>ROUND(24,2)</f>
        <v>24</v>
      </c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7">
        <f>ROUND(32,2)</f>
        <v>32</v>
      </c>
      <c r="BU203" s="7">
        <f>ROUND(32,2)</f>
        <v>32</v>
      </c>
      <c r="BV203" s="6"/>
      <c r="BW203" s="6"/>
      <c r="BX203" s="7">
        <f>ROUND(8,2)</f>
        <v>8</v>
      </c>
      <c r="BY203" s="7">
        <f>ROUND(64,2)</f>
        <v>64</v>
      </c>
      <c r="BZ203" s="6"/>
      <c r="CA203" s="6"/>
      <c r="CB203" s="7">
        <f>ROUND(160,2)</f>
        <v>160</v>
      </c>
      <c r="CC203" s="7">
        <f>ROUND(54121.78,2)</f>
        <v>54121.78</v>
      </c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7">
        <f>ROUND(2622.72,2)</f>
        <v>2622.72</v>
      </c>
      <c r="EF203" s="6"/>
      <c r="EG203" s="6"/>
      <c r="EH203" s="6"/>
      <c r="EI203" s="6"/>
      <c r="EJ203" s="6"/>
      <c r="EK203" s="6"/>
      <c r="EL203" s="6"/>
      <c r="EM203" s="6"/>
      <c r="EN203" s="7">
        <f>ROUND(326.4,2)</f>
        <v>326.39999999999998</v>
      </c>
      <c r="EO203" s="6"/>
      <c r="EP203" s="6"/>
      <c r="EQ203" s="6"/>
      <c r="ER203" s="6"/>
      <c r="ES203" s="6"/>
      <c r="ET203" s="6"/>
      <c r="EU203" s="6"/>
      <c r="EV203" s="7">
        <f>ROUND(57070.9,2)</f>
        <v>57070.9</v>
      </c>
    </row>
    <row r="204" spans="1:152">
      <c r="A204" s="4" t="s">
        <v>583</v>
      </c>
      <c r="B204" s="4" t="s">
        <v>1058</v>
      </c>
      <c r="C204" s="5" t="s">
        <v>152</v>
      </c>
      <c r="D204" s="5" t="s">
        <v>584</v>
      </c>
      <c r="E204" s="5" t="s">
        <v>0</v>
      </c>
      <c r="F204" s="5" t="s">
        <v>0</v>
      </c>
      <c r="G204" s="5" t="s">
        <v>155</v>
      </c>
      <c r="H204" s="10">
        <v>30.4</v>
      </c>
      <c r="I204" s="6"/>
      <c r="J204" s="6"/>
      <c r="K204" s="6"/>
      <c r="L204" s="6"/>
      <c r="M204" s="7">
        <f>ROUND(1004.32,2)</f>
        <v>1004.32</v>
      </c>
      <c r="N204" s="6"/>
      <c r="O204" s="6"/>
      <c r="P204" s="7">
        <f>ROUND(109.22,2)</f>
        <v>109.22</v>
      </c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7">
        <f>ROUND(288,2)</f>
        <v>288</v>
      </c>
      <c r="AD204" s="7">
        <f>ROUND(8.3,2)</f>
        <v>8.3000000000000007</v>
      </c>
      <c r="AE204" s="6"/>
      <c r="AF204" s="6"/>
      <c r="AG204" s="6"/>
      <c r="AH204" s="7">
        <f>ROUND(66,2)</f>
        <v>66</v>
      </c>
      <c r="AI204" s="6"/>
      <c r="AJ204" s="7">
        <f>ROUND(168,2)</f>
        <v>168</v>
      </c>
      <c r="AK204" s="6"/>
      <c r="AL204" s="7">
        <f>ROUND(8,2)</f>
        <v>8</v>
      </c>
      <c r="AM204" s="6"/>
      <c r="AN204" s="6"/>
      <c r="AO204" s="6"/>
      <c r="AP204" s="7">
        <f>ROUND(42.92,2)</f>
        <v>42.92</v>
      </c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7">
        <f>ROUND(24,2)</f>
        <v>24</v>
      </c>
      <c r="BC204" s="7">
        <f>ROUND(152,2)</f>
        <v>152</v>
      </c>
      <c r="BD204" s="7">
        <f>ROUND(2.88,2)</f>
        <v>2.88</v>
      </c>
      <c r="BE204" s="7">
        <f>ROUND(208.62,2)</f>
        <v>208.62</v>
      </c>
      <c r="BF204" s="6"/>
      <c r="BG204" s="7">
        <f>ROUND(56,2)</f>
        <v>56</v>
      </c>
      <c r="BH204" s="7">
        <f>ROUND(8,2)</f>
        <v>8</v>
      </c>
      <c r="BI204" s="6"/>
      <c r="BJ204" s="7">
        <f>ROUND(40,2)</f>
        <v>40</v>
      </c>
      <c r="BK204" s="6"/>
      <c r="BL204" s="6"/>
      <c r="BM204" s="7">
        <f>ROUND(56,2)</f>
        <v>56</v>
      </c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7">
        <f>ROUND(2242.25999999999,2)</f>
        <v>2242.2600000000002</v>
      </c>
      <c r="CC204" s="6"/>
      <c r="CD204" s="6"/>
      <c r="CE204" s="6"/>
      <c r="CF204" s="6"/>
      <c r="CG204" s="7">
        <f>ROUND(27906.28,2)</f>
        <v>27906.28</v>
      </c>
      <c r="CH204" s="6"/>
      <c r="CI204" s="6"/>
      <c r="CJ204" s="7">
        <f>ROUND(4551.23,2)</f>
        <v>4551.2299999999996</v>
      </c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7">
        <f>ROUND(8608.48,2)</f>
        <v>8608.48</v>
      </c>
      <c r="CX204" s="7">
        <f>ROUND(378.48,2)</f>
        <v>378.48</v>
      </c>
      <c r="CY204" s="6"/>
      <c r="CZ204" s="6"/>
      <c r="DA204" s="6"/>
      <c r="DB204" s="6"/>
      <c r="DC204" s="7">
        <f>ROUND(1875.4,2)</f>
        <v>1875.4</v>
      </c>
      <c r="DD204" s="6"/>
      <c r="DE204" s="7">
        <f>ROUND(4667.04,2)</f>
        <v>4667.04</v>
      </c>
      <c r="DF204" s="6"/>
      <c r="DG204" s="6"/>
      <c r="DH204" s="6"/>
      <c r="DI204" s="7">
        <f>ROUND(222.24,2)</f>
        <v>222.24</v>
      </c>
      <c r="DJ204" s="6"/>
      <c r="DK204" s="6"/>
      <c r="DL204" s="6"/>
      <c r="DM204" s="7">
        <f>ROUND(1192.32,2)</f>
        <v>1192.32</v>
      </c>
      <c r="DN204" s="6"/>
      <c r="DO204" s="6"/>
      <c r="DP204" s="6"/>
      <c r="DQ204" s="6"/>
      <c r="DR204" s="7">
        <f>ROUND(500,2)</f>
        <v>500</v>
      </c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7">
        <f>ROUND(225,2)</f>
        <v>225</v>
      </c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7">
        <f>ROUND(688.8,2)</f>
        <v>688.8</v>
      </c>
      <c r="ER204" s="6"/>
      <c r="ES204" s="6"/>
      <c r="ET204" s="6"/>
      <c r="EU204" s="6"/>
      <c r="EV204" s="7">
        <f>ROUND(50815.27,2)</f>
        <v>50815.27</v>
      </c>
    </row>
    <row r="205" spans="1:152">
      <c r="A205" s="4" t="s">
        <v>585</v>
      </c>
      <c r="B205" s="4" t="s">
        <v>1058</v>
      </c>
      <c r="C205" s="5" t="s">
        <v>152</v>
      </c>
      <c r="D205" s="5" t="s">
        <v>351</v>
      </c>
      <c r="E205" s="5" t="s">
        <v>0</v>
      </c>
      <c r="F205" s="5" t="s">
        <v>0</v>
      </c>
      <c r="G205" s="5" t="s">
        <v>155</v>
      </c>
      <c r="H205" s="10">
        <v>30.4</v>
      </c>
      <c r="I205" s="6"/>
      <c r="J205" s="6"/>
      <c r="K205" s="6"/>
      <c r="L205" s="6"/>
      <c r="M205" s="7">
        <f>ROUND(1913.73999999999,2)</f>
        <v>1913.74</v>
      </c>
      <c r="N205" s="6"/>
      <c r="O205" s="6"/>
      <c r="P205" s="7">
        <f>ROUND(271.45,2)</f>
        <v>271.45</v>
      </c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7">
        <f>ROUND(96,2)</f>
        <v>96</v>
      </c>
      <c r="AI205" s="6"/>
      <c r="AJ205" s="7">
        <f>ROUND(72,2)</f>
        <v>72</v>
      </c>
      <c r="AK205" s="6"/>
      <c r="AL205" s="7">
        <f>ROUND(8,2)</f>
        <v>8</v>
      </c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7">
        <f>ROUND(8,2)</f>
        <v>8</v>
      </c>
      <c r="BC205" s="6"/>
      <c r="BD205" s="6"/>
      <c r="BE205" s="7">
        <f>ROUND(2.25,2)</f>
        <v>2.25</v>
      </c>
      <c r="BF205" s="6"/>
      <c r="BG205" s="6"/>
      <c r="BH205" s="6"/>
      <c r="BI205" s="6"/>
      <c r="BJ205" s="6"/>
      <c r="BK205" s="6"/>
      <c r="BL205" s="6"/>
      <c r="BM205" s="7">
        <f>ROUND(8,2)</f>
        <v>8</v>
      </c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7">
        <f>ROUND(40,2)</f>
        <v>40</v>
      </c>
      <c r="CB205" s="7">
        <f>ROUND(2419.44,2)</f>
        <v>2419.44</v>
      </c>
      <c r="CC205" s="6"/>
      <c r="CD205" s="6"/>
      <c r="CE205" s="6"/>
      <c r="CF205" s="6"/>
      <c r="CG205" s="7">
        <f>ROUND(53950.5399999999,2)</f>
        <v>53950.54</v>
      </c>
      <c r="CH205" s="6"/>
      <c r="CI205" s="6"/>
      <c r="CJ205" s="7">
        <f>ROUND(11444.8199999999,2)</f>
        <v>11444.82</v>
      </c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7">
        <f>ROUND(2729.76,2)</f>
        <v>2729.76</v>
      </c>
      <c r="DD205" s="6"/>
      <c r="DE205" s="7">
        <f>ROUND(2310.4,2)</f>
        <v>2310.4</v>
      </c>
      <c r="DF205" s="6"/>
      <c r="DG205" s="6"/>
      <c r="DH205" s="6"/>
      <c r="DI205" s="7">
        <f>ROUND(222.24,2)</f>
        <v>222.24</v>
      </c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7">
        <f>ROUND(1350,2)</f>
        <v>1350</v>
      </c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7">
        <f>ROUND(1250,2)</f>
        <v>1250</v>
      </c>
      <c r="ER205" s="6"/>
      <c r="ES205" s="6"/>
      <c r="ET205" s="6"/>
      <c r="EU205" s="7">
        <f>ROUND(1216,2)</f>
        <v>1216</v>
      </c>
      <c r="EV205" s="7">
        <f>ROUND(74473.76,2)</f>
        <v>74473.759999999995</v>
      </c>
    </row>
    <row r="206" spans="1:152" ht="24">
      <c r="A206" s="4" t="s">
        <v>586</v>
      </c>
      <c r="B206" s="4"/>
      <c r="C206" s="5" t="s">
        <v>285</v>
      </c>
      <c r="D206" s="5" t="s">
        <v>381</v>
      </c>
      <c r="E206" s="5" t="s">
        <v>0</v>
      </c>
      <c r="F206" s="5" t="s">
        <v>0</v>
      </c>
      <c r="G206" s="5" t="s">
        <v>587</v>
      </c>
      <c r="H206" s="10">
        <v>1339.23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7">
        <f>ROUND(4,2)</f>
        <v>4</v>
      </c>
      <c r="AB206" s="7">
        <f>ROUND(25,2)</f>
        <v>25</v>
      </c>
      <c r="AC206" s="6"/>
      <c r="AD206" s="6"/>
      <c r="AE206" s="6"/>
      <c r="AF206" s="6"/>
      <c r="AG206" s="6"/>
      <c r="AH206" s="6"/>
      <c r="AI206" s="6"/>
      <c r="AJ206" s="6"/>
      <c r="AK206" s="7">
        <f>ROUND(16,2)</f>
        <v>16</v>
      </c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7">
        <f>ROUND(32,2)</f>
        <v>32</v>
      </c>
      <c r="BU206" s="7">
        <f>ROUND(32,2)</f>
        <v>32</v>
      </c>
      <c r="BV206" s="6"/>
      <c r="BW206" s="6"/>
      <c r="BX206" s="6"/>
      <c r="BY206" s="7">
        <f>ROUND(192,2)</f>
        <v>192</v>
      </c>
      <c r="BZ206" s="6"/>
      <c r="CA206" s="6"/>
      <c r="CB206" s="7">
        <f>ROUND(301,2)</f>
        <v>301</v>
      </c>
      <c r="CC206" s="7">
        <f>ROUND(66330.6999999999,2)</f>
        <v>66330.7</v>
      </c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7">
        <f>ROUND(1500,2)</f>
        <v>1500</v>
      </c>
      <c r="CV206" s="7">
        <f>ROUND(9375,2)</f>
        <v>9375</v>
      </c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7">
        <f>ROUND(3214.08,2)</f>
        <v>3214.08</v>
      </c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7">
        <f>ROUND(2524.7,2)</f>
        <v>2524.6999999999998</v>
      </c>
      <c r="ET206" s="6"/>
      <c r="EU206" s="6"/>
      <c r="EV206" s="7">
        <f>ROUND(82944.4799999999,2)</f>
        <v>82944.479999999996</v>
      </c>
    </row>
    <row r="207" spans="1:152">
      <c r="A207" s="4" t="s">
        <v>588</v>
      </c>
      <c r="B207" s="4" t="s">
        <v>1058</v>
      </c>
      <c r="C207" s="5" t="s">
        <v>152</v>
      </c>
      <c r="D207" s="5" t="s">
        <v>153</v>
      </c>
      <c r="E207" s="5" t="s">
        <v>0</v>
      </c>
      <c r="F207" s="5" t="s">
        <v>0</v>
      </c>
      <c r="G207" s="5" t="s">
        <v>155</v>
      </c>
      <c r="H207" s="10">
        <v>30.4</v>
      </c>
      <c r="I207" s="6"/>
      <c r="J207" s="6"/>
      <c r="K207" s="6"/>
      <c r="L207" s="6"/>
      <c r="M207" s="7">
        <f>ROUND(1198.37,2)</f>
        <v>1198.3699999999999</v>
      </c>
      <c r="N207" s="6"/>
      <c r="O207" s="6"/>
      <c r="P207" s="7">
        <f>ROUND(142.81,2)</f>
        <v>142.81</v>
      </c>
      <c r="Q207" s="6"/>
      <c r="R207" s="6"/>
      <c r="S207" s="6"/>
      <c r="T207" s="6"/>
      <c r="U207" s="7">
        <f>ROUND(67.47,2)</f>
        <v>67.47</v>
      </c>
      <c r="V207" s="7">
        <f>ROUND(6.2,2)</f>
        <v>6.2</v>
      </c>
      <c r="W207" s="7">
        <f>ROUND(11.34,2)</f>
        <v>11.34</v>
      </c>
      <c r="X207" s="7">
        <f>ROUND(0.33,2)</f>
        <v>0.33</v>
      </c>
      <c r="Y207" s="6"/>
      <c r="Z207" s="6"/>
      <c r="AA207" s="6"/>
      <c r="AB207" s="6"/>
      <c r="AC207" s="7">
        <f>ROUND(89.52,2)</f>
        <v>89.52</v>
      </c>
      <c r="AD207" s="7">
        <f>ROUND(0.18,2)</f>
        <v>0.18</v>
      </c>
      <c r="AE207" s="6"/>
      <c r="AF207" s="7">
        <f>ROUND(491.249999999999,2)</f>
        <v>491.25</v>
      </c>
      <c r="AG207" s="7">
        <f>ROUND(29.44,2)</f>
        <v>29.44</v>
      </c>
      <c r="AH207" s="7">
        <f>ROUND(96,2)</f>
        <v>96</v>
      </c>
      <c r="AI207" s="6"/>
      <c r="AJ207" s="7">
        <f>ROUND(80,2)</f>
        <v>80</v>
      </c>
      <c r="AK207" s="6"/>
      <c r="AL207" s="7">
        <f>ROUND(8,2)</f>
        <v>8</v>
      </c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7">
        <f>ROUND(0.65,2)</f>
        <v>0.65</v>
      </c>
      <c r="AY207" s="7">
        <f>ROUND(4.18,2)</f>
        <v>4.18</v>
      </c>
      <c r="AZ207" s="6"/>
      <c r="BA207" s="6"/>
      <c r="BB207" s="7">
        <f>ROUND(24,2)</f>
        <v>24</v>
      </c>
      <c r="BC207" s="7">
        <f>ROUND(24,2)</f>
        <v>24</v>
      </c>
      <c r="BD207" s="7">
        <f>ROUND(3.13,2)</f>
        <v>3.13</v>
      </c>
      <c r="BE207" s="7">
        <f>ROUND(2,2)</f>
        <v>2</v>
      </c>
      <c r="BF207" s="6"/>
      <c r="BG207" s="6"/>
      <c r="BH207" s="6"/>
      <c r="BI207" s="6"/>
      <c r="BJ207" s="7">
        <f>ROUND(8,2)</f>
        <v>8</v>
      </c>
      <c r="BK207" s="6"/>
      <c r="BL207" s="6"/>
      <c r="BM207" s="7">
        <f>ROUND(40,2)</f>
        <v>40</v>
      </c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7">
        <f>ROUND(2326.87,2)</f>
        <v>2326.87</v>
      </c>
      <c r="CC207" s="6"/>
      <c r="CD207" s="6"/>
      <c r="CE207" s="6"/>
      <c r="CF207" s="6"/>
      <c r="CG207" s="7">
        <f>ROUND(29802.3099999999,2)</f>
        <v>29802.31</v>
      </c>
      <c r="CH207" s="6"/>
      <c r="CI207" s="6"/>
      <c r="CJ207" s="7">
        <f>ROUND(5371.32,2)</f>
        <v>5371.32</v>
      </c>
      <c r="CK207" s="6"/>
      <c r="CL207" s="6"/>
      <c r="CM207" s="6"/>
      <c r="CN207" s="6"/>
      <c r="CO207" s="7">
        <f>ROUND(1580.79,2)</f>
        <v>1580.79</v>
      </c>
      <c r="CP207" s="7">
        <f>ROUND(217.01,2)</f>
        <v>217.01</v>
      </c>
      <c r="CQ207" s="7">
        <f>ROUND(265.32,2)</f>
        <v>265.32</v>
      </c>
      <c r="CR207" s="7">
        <f>ROUND(11.62,2)</f>
        <v>11.62</v>
      </c>
      <c r="CS207" s="6"/>
      <c r="CT207" s="6"/>
      <c r="CU207" s="6"/>
      <c r="CV207" s="6"/>
      <c r="CW207" s="7">
        <f>ROUND(2093.64,2)</f>
        <v>2093.64</v>
      </c>
      <c r="CX207" s="7">
        <f>ROUND(6.3,2)</f>
        <v>6.3</v>
      </c>
      <c r="CY207" s="6"/>
      <c r="CZ207" s="6"/>
      <c r="DA207" s="7">
        <f>ROUND(11497.99,2)</f>
        <v>11497.99</v>
      </c>
      <c r="DB207" s="7">
        <f>ROUND(1032.45,2)</f>
        <v>1032.45</v>
      </c>
      <c r="DC207" s="7">
        <f>ROUND(2409.72,2)</f>
        <v>2409.7199999999998</v>
      </c>
      <c r="DD207" s="6"/>
      <c r="DE207" s="7">
        <f>ROUND(1866.8,2)</f>
        <v>1866.8</v>
      </c>
      <c r="DF207" s="6"/>
      <c r="DG207" s="6"/>
      <c r="DH207" s="6"/>
      <c r="DI207" s="7">
        <f>ROUND(186.68,2)</f>
        <v>186.68</v>
      </c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7">
        <f>ROUND(15.27,2)</f>
        <v>15.27</v>
      </c>
      <c r="DZ207" s="7">
        <f>ROUND(147.25,2)</f>
        <v>147.25</v>
      </c>
      <c r="EA207" s="6"/>
      <c r="EB207" s="6"/>
      <c r="EC207" s="6"/>
      <c r="ED207" s="6"/>
      <c r="EE207" s="7">
        <f>ROUND(625,2)</f>
        <v>625</v>
      </c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7">
        <f>ROUND(1250,2)</f>
        <v>1250</v>
      </c>
      <c r="ER207" s="6"/>
      <c r="ES207" s="6"/>
      <c r="ET207" s="6"/>
      <c r="EU207" s="6"/>
      <c r="EV207" s="7">
        <f>ROUND(58379.47,2)</f>
        <v>58379.47</v>
      </c>
    </row>
    <row r="208" spans="1:152">
      <c r="A208" s="4" t="s">
        <v>589</v>
      </c>
      <c r="B208" s="4" t="s">
        <v>1058</v>
      </c>
      <c r="C208" s="5" t="s">
        <v>152</v>
      </c>
      <c r="D208" s="5" t="s">
        <v>381</v>
      </c>
      <c r="E208" s="5" t="s">
        <v>590</v>
      </c>
      <c r="F208" s="5" t="s">
        <v>0</v>
      </c>
      <c r="G208" s="5" t="s">
        <v>155</v>
      </c>
      <c r="H208" s="10">
        <v>27.78</v>
      </c>
      <c r="I208" s="6"/>
      <c r="J208" s="6"/>
      <c r="K208" s="6"/>
      <c r="L208" s="6"/>
      <c r="M208" s="7">
        <f>ROUND(741.78,2)</f>
        <v>741.78</v>
      </c>
      <c r="N208" s="6"/>
      <c r="O208" s="6"/>
      <c r="P208" s="7">
        <f>ROUND(98.98,2)</f>
        <v>98.98</v>
      </c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7">
        <f>ROUND(56,2)</f>
        <v>56</v>
      </c>
      <c r="AI208" s="6"/>
      <c r="AJ208" s="7">
        <f>ROUND(56,2)</f>
        <v>56</v>
      </c>
      <c r="AK208" s="6"/>
      <c r="AL208" s="7">
        <f>ROUND(8.5,2)</f>
        <v>8.5</v>
      </c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7">
        <f>ROUND(24,2)</f>
        <v>24</v>
      </c>
      <c r="BC208" s="7">
        <f>ROUND(24,2)</f>
        <v>24</v>
      </c>
      <c r="BD208" s="7">
        <f>ROUND(4.67,2)</f>
        <v>4.67</v>
      </c>
      <c r="BE208" s="6"/>
      <c r="BF208" s="6"/>
      <c r="BG208" s="6"/>
      <c r="BH208" s="6"/>
      <c r="BI208" s="6"/>
      <c r="BJ208" s="7">
        <f>ROUND(8,2)</f>
        <v>8</v>
      </c>
      <c r="BK208" s="6"/>
      <c r="BL208" s="7">
        <f>ROUND(24,2)</f>
        <v>24</v>
      </c>
      <c r="BM208" s="7">
        <f>ROUND(8,2)</f>
        <v>8</v>
      </c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7">
        <f>ROUND(1053.93,2)</f>
        <v>1053.93</v>
      </c>
      <c r="CC208" s="6"/>
      <c r="CD208" s="6"/>
      <c r="CE208" s="6"/>
      <c r="CF208" s="6"/>
      <c r="CG208" s="7">
        <f>ROUND(20709.12,2)</f>
        <v>20709.12</v>
      </c>
      <c r="CH208" s="6"/>
      <c r="CI208" s="6"/>
      <c r="CJ208" s="7">
        <f>ROUND(4138.89,2)</f>
        <v>4138.8900000000003</v>
      </c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7">
        <f>ROUND(1555.68,2)</f>
        <v>1555.68</v>
      </c>
      <c r="DD208" s="6"/>
      <c r="DE208" s="7">
        <f>ROUND(1555.68,2)</f>
        <v>1555.68</v>
      </c>
      <c r="DF208" s="6"/>
      <c r="DG208" s="6"/>
      <c r="DH208" s="6"/>
      <c r="DI208" s="7">
        <f>ROUND(236.13,2)</f>
        <v>236.13</v>
      </c>
      <c r="DJ208" s="6"/>
      <c r="DK208" s="6"/>
      <c r="DL208" s="6"/>
      <c r="DM208" s="6"/>
      <c r="DN208" s="6"/>
      <c r="DO208" s="6"/>
      <c r="DP208" s="6"/>
      <c r="DQ208" s="6"/>
      <c r="DR208" s="7">
        <f>ROUND(500,2)</f>
        <v>500</v>
      </c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7">
        <f>ROUND(275,2)</f>
        <v>275</v>
      </c>
      <c r="EM208" s="6"/>
      <c r="EN208" s="6"/>
      <c r="EO208" s="6"/>
      <c r="EP208" s="6"/>
      <c r="EQ208" s="6"/>
      <c r="ER208" s="6"/>
      <c r="ES208" s="6"/>
      <c r="ET208" s="6"/>
      <c r="EU208" s="7">
        <f>ROUND(3111.36,2)</f>
        <v>3111.36</v>
      </c>
      <c r="EV208" s="7">
        <f>ROUND(32081.86,2)</f>
        <v>32081.86</v>
      </c>
    </row>
    <row r="209" spans="1:152">
      <c r="A209" s="4" t="s">
        <v>591</v>
      </c>
      <c r="B209" s="4" t="s">
        <v>1058</v>
      </c>
      <c r="C209" s="5" t="s">
        <v>152</v>
      </c>
      <c r="D209" s="5" t="s">
        <v>250</v>
      </c>
      <c r="E209" s="5" t="s">
        <v>0</v>
      </c>
      <c r="F209" s="5" t="s">
        <v>0</v>
      </c>
      <c r="G209" s="5" t="s">
        <v>155</v>
      </c>
      <c r="H209" s="10">
        <v>30.4</v>
      </c>
      <c r="I209" s="6"/>
      <c r="J209" s="6"/>
      <c r="K209" s="6"/>
      <c r="L209" s="6"/>
      <c r="M209" s="7">
        <f>ROUND(1146.05,2)</f>
        <v>1146.05</v>
      </c>
      <c r="N209" s="6"/>
      <c r="O209" s="6"/>
      <c r="P209" s="7">
        <f>ROUND(111.96,2)</f>
        <v>111.96</v>
      </c>
      <c r="Q209" s="6"/>
      <c r="R209" s="6"/>
      <c r="S209" s="6"/>
      <c r="T209" s="6"/>
      <c r="U209" s="7">
        <f>ROUND(74.2599999999999,2)</f>
        <v>74.260000000000005</v>
      </c>
      <c r="V209" s="6"/>
      <c r="W209" s="7">
        <f>ROUND(0.869999999999999,2)</f>
        <v>0.87</v>
      </c>
      <c r="X209" s="6"/>
      <c r="Y209" s="6"/>
      <c r="Z209" s="6"/>
      <c r="AA209" s="6"/>
      <c r="AB209" s="6"/>
      <c r="AC209" s="7">
        <f>ROUND(139.829999999999,2)</f>
        <v>139.83000000000001</v>
      </c>
      <c r="AD209" s="7">
        <f>ROUND(1.5,2)</f>
        <v>1.5</v>
      </c>
      <c r="AE209" s="6"/>
      <c r="AF209" s="7">
        <f>ROUND(56.47,2)</f>
        <v>56.47</v>
      </c>
      <c r="AG209" s="7">
        <f>ROUND(5.95,2)</f>
        <v>5.95</v>
      </c>
      <c r="AH209" s="7">
        <f>ROUND(72,2)</f>
        <v>72</v>
      </c>
      <c r="AI209" s="6"/>
      <c r="AJ209" s="7">
        <f>ROUND(72,2)</f>
        <v>72</v>
      </c>
      <c r="AK209" s="6"/>
      <c r="AL209" s="7">
        <f>ROUND(8,2)</f>
        <v>8</v>
      </c>
      <c r="AM209" s="6"/>
      <c r="AN209" s="6"/>
      <c r="AO209" s="6"/>
      <c r="AP209" s="7">
        <f>ROUND(24,2)</f>
        <v>24</v>
      </c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7">
        <f>ROUND(24,2)</f>
        <v>24</v>
      </c>
      <c r="BC209" s="7">
        <f>ROUND(369.2,2)</f>
        <v>369.2</v>
      </c>
      <c r="BD209" s="7">
        <f>ROUND(8.95,2)</f>
        <v>8.9499999999999993</v>
      </c>
      <c r="BE209" s="7">
        <f>ROUND(13.84,2)</f>
        <v>13.84</v>
      </c>
      <c r="BF209" s="6"/>
      <c r="BG209" s="7">
        <f>ROUND(71.55,2)</f>
        <v>71.55</v>
      </c>
      <c r="BH209" s="7">
        <f>ROUND(16,2)</f>
        <v>16</v>
      </c>
      <c r="BI209" s="6"/>
      <c r="BJ209" s="7">
        <f>ROUND(24,2)</f>
        <v>24</v>
      </c>
      <c r="BK209" s="6"/>
      <c r="BL209" s="6"/>
      <c r="BM209" s="7">
        <f>ROUND(46.33,2)</f>
        <v>46.33</v>
      </c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7">
        <f>ROUND(2286.75999999999,2)</f>
        <v>2286.7600000000002</v>
      </c>
      <c r="CC209" s="6"/>
      <c r="CD209" s="6"/>
      <c r="CE209" s="6"/>
      <c r="CF209" s="6"/>
      <c r="CG209" s="7">
        <f>ROUND(28858.4,2)</f>
        <v>28858.400000000001</v>
      </c>
      <c r="CH209" s="6"/>
      <c r="CI209" s="6"/>
      <c r="CJ209" s="7">
        <f>ROUND(4185.85,2)</f>
        <v>4185.8500000000004</v>
      </c>
      <c r="CK209" s="6"/>
      <c r="CL209" s="6"/>
      <c r="CM209" s="6"/>
      <c r="CN209" s="6"/>
      <c r="CO209" s="7">
        <f>ROUND(1799.93,2)</f>
        <v>1799.93</v>
      </c>
      <c r="CP209" s="6"/>
      <c r="CQ209" s="7">
        <f>ROUND(21.03,2)</f>
        <v>21.03</v>
      </c>
      <c r="CR209" s="6"/>
      <c r="CS209" s="6"/>
      <c r="CT209" s="6"/>
      <c r="CU209" s="6"/>
      <c r="CV209" s="6"/>
      <c r="CW209" s="7">
        <f>ROUND(3421.39,2)</f>
        <v>3421.39</v>
      </c>
      <c r="CX209" s="7">
        <f>ROUND(54.38,2)</f>
        <v>54.38</v>
      </c>
      <c r="CY209" s="6"/>
      <c r="CZ209" s="6"/>
      <c r="DA209" s="7">
        <f>ROUND(1364.77,2)</f>
        <v>1364.77</v>
      </c>
      <c r="DB209" s="7">
        <f>ROUND(215.7,2)</f>
        <v>215.7</v>
      </c>
      <c r="DC209" s="7">
        <f>ROUND(1789.91999999999,2)</f>
        <v>1789.92</v>
      </c>
      <c r="DD209" s="6"/>
      <c r="DE209" s="7">
        <f>ROUND(1740.06999999999,2)</f>
        <v>1740.07</v>
      </c>
      <c r="DF209" s="6"/>
      <c r="DG209" s="6"/>
      <c r="DH209" s="6"/>
      <c r="DI209" s="7">
        <f>ROUND(193.34,2)</f>
        <v>193.34</v>
      </c>
      <c r="DJ209" s="6"/>
      <c r="DK209" s="6"/>
      <c r="DL209" s="6"/>
      <c r="DM209" s="7">
        <f>ROUND(580.03,2)</f>
        <v>580.03</v>
      </c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7">
        <f>ROUND(75,2)</f>
        <v>75</v>
      </c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7">
        <f>ROUND(816.72,2)</f>
        <v>816.72</v>
      </c>
      <c r="ER209" s="6"/>
      <c r="ES209" s="6"/>
      <c r="ET209" s="6"/>
      <c r="EU209" s="6"/>
      <c r="EV209" s="7">
        <f>ROUND(45116.53,2)</f>
        <v>45116.53</v>
      </c>
    </row>
    <row r="210" spans="1:152" ht="24">
      <c r="A210" s="4" t="s">
        <v>592</v>
      </c>
      <c r="B210" s="4"/>
      <c r="C210" s="5" t="s">
        <v>285</v>
      </c>
      <c r="D210" s="5" t="s">
        <v>424</v>
      </c>
      <c r="E210" s="5" t="s">
        <v>0</v>
      </c>
      <c r="F210" s="5" t="s">
        <v>0</v>
      </c>
      <c r="G210" s="5" t="s">
        <v>593</v>
      </c>
      <c r="H210" s="10">
        <v>1200.3399999999999</v>
      </c>
      <c r="I210" s="7">
        <f>ROUND(400,2)</f>
        <v>400</v>
      </c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7">
        <f>ROUND(16,2)</f>
        <v>16</v>
      </c>
      <c r="AB210" s="7">
        <f>ROUND(7,2)</f>
        <v>7</v>
      </c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7">
        <f>ROUND(24,2)</f>
        <v>24</v>
      </c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7">
        <f>ROUND(8,2)</f>
        <v>8</v>
      </c>
      <c r="BT210" s="7">
        <f>ROUND(32,2)</f>
        <v>32</v>
      </c>
      <c r="BU210" s="7">
        <f>ROUND(32,2)</f>
        <v>32</v>
      </c>
      <c r="BV210" s="6"/>
      <c r="BW210" s="6"/>
      <c r="BX210" s="6"/>
      <c r="BY210" s="7">
        <f>ROUND(80,2)</f>
        <v>80</v>
      </c>
      <c r="BZ210" s="6"/>
      <c r="CA210" s="6"/>
      <c r="CB210" s="7">
        <f>ROUND(599,2)</f>
        <v>599</v>
      </c>
      <c r="CC210" s="7">
        <f>ROUND(60371.4099999999,2)</f>
        <v>60371.41</v>
      </c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7">
        <f>ROUND(6000,2)</f>
        <v>6000</v>
      </c>
      <c r="CV210" s="7">
        <f>ROUND(2625,2)</f>
        <v>2625</v>
      </c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7">
        <f>ROUND(2880.96,2)</f>
        <v>2880.96</v>
      </c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7">
        <f>ROUND(71877.3699999999,2)</f>
        <v>71877.37</v>
      </c>
    </row>
    <row r="211" spans="1:152">
      <c r="A211" s="4" t="s">
        <v>594</v>
      </c>
      <c r="B211" s="4" t="s">
        <v>1058</v>
      </c>
      <c r="C211" s="5" t="s">
        <v>152</v>
      </c>
      <c r="D211" s="5" t="s">
        <v>186</v>
      </c>
      <c r="E211" s="5" t="s">
        <v>595</v>
      </c>
      <c r="F211" s="5" t="s">
        <v>0</v>
      </c>
      <c r="G211" s="5" t="s">
        <v>155</v>
      </c>
      <c r="H211" s="10">
        <v>17.5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7">
        <f>ROUND(13,2)</f>
        <v>13</v>
      </c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7">
        <f>ROUND(13,2)</f>
        <v>13</v>
      </c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7">
        <f>ROUND(227.5,2)</f>
        <v>227.5</v>
      </c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7">
        <f>ROUND(227.5,2)</f>
        <v>227.5</v>
      </c>
    </row>
    <row r="212" spans="1:152">
      <c r="A212" s="4" t="s">
        <v>596</v>
      </c>
      <c r="B212" s="4" t="s">
        <v>1058</v>
      </c>
      <c r="C212" s="5" t="s">
        <v>152</v>
      </c>
      <c r="D212" s="5" t="s">
        <v>597</v>
      </c>
      <c r="E212" s="5" t="s">
        <v>0</v>
      </c>
      <c r="F212" s="5" t="s">
        <v>0</v>
      </c>
      <c r="G212" s="5" t="s">
        <v>155</v>
      </c>
      <c r="H212" s="10">
        <v>30.4</v>
      </c>
      <c r="I212" s="6"/>
      <c r="J212" s="6"/>
      <c r="K212" s="6"/>
      <c r="L212" s="6"/>
      <c r="M212" s="7">
        <f>ROUND(1094.28,2)</f>
        <v>1094.28</v>
      </c>
      <c r="N212" s="6"/>
      <c r="O212" s="6"/>
      <c r="P212" s="7">
        <f>ROUND(329.669999999999,2)</f>
        <v>329.67</v>
      </c>
      <c r="Q212" s="6"/>
      <c r="R212" s="6"/>
      <c r="S212" s="6"/>
      <c r="T212" s="6"/>
      <c r="U212" s="7">
        <f>ROUND(8,2)</f>
        <v>8</v>
      </c>
      <c r="V212" s="7">
        <f>ROUND(48.58,2)</f>
        <v>48.58</v>
      </c>
      <c r="W212" s="7">
        <f>ROUND(0.33,2)</f>
        <v>0.33</v>
      </c>
      <c r="X212" s="7">
        <f>ROUND(1.33,2)</f>
        <v>1.33</v>
      </c>
      <c r="Y212" s="6"/>
      <c r="Z212" s="6"/>
      <c r="AA212" s="6"/>
      <c r="AB212" s="6"/>
      <c r="AC212" s="7">
        <f>ROUND(321.94,2)</f>
        <v>321.94</v>
      </c>
      <c r="AD212" s="7">
        <f>ROUND(12.09,2)</f>
        <v>12.09</v>
      </c>
      <c r="AE212" s="6"/>
      <c r="AF212" s="7">
        <f>ROUND(270.75,2)</f>
        <v>270.75</v>
      </c>
      <c r="AG212" s="7">
        <f>ROUND(69.0099999999999,2)</f>
        <v>69.010000000000005</v>
      </c>
      <c r="AH212" s="7">
        <f>ROUND(72,2)</f>
        <v>72</v>
      </c>
      <c r="AI212" s="6"/>
      <c r="AJ212" s="7">
        <f>ROUND(160,2)</f>
        <v>160</v>
      </c>
      <c r="AK212" s="6"/>
      <c r="AL212" s="7">
        <f>ROUND(8.5,2)</f>
        <v>8.5</v>
      </c>
      <c r="AM212" s="6"/>
      <c r="AN212" s="6"/>
      <c r="AO212" s="6"/>
      <c r="AP212" s="7">
        <f>ROUND(40,2)</f>
        <v>40</v>
      </c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7">
        <f>ROUND(16,2)</f>
        <v>16</v>
      </c>
      <c r="BC212" s="6"/>
      <c r="BD212" s="7">
        <f>ROUND(6.96,2)</f>
        <v>6.96</v>
      </c>
      <c r="BE212" s="7">
        <f>ROUND(7.72,2)</f>
        <v>7.72</v>
      </c>
      <c r="BF212" s="7">
        <f>ROUND(58.7,2)</f>
        <v>58.7</v>
      </c>
      <c r="BG212" s="7">
        <f>ROUND(88.95,2)</f>
        <v>88.95</v>
      </c>
      <c r="BH212" s="6"/>
      <c r="BI212" s="6"/>
      <c r="BJ212" s="6"/>
      <c r="BK212" s="6"/>
      <c r="BL212" s="6"/>
      <c r="BM212" s="7">
        <f>ROUND(23.35,2)</f>
        <v>23.35</v>
      </c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7">
        <f>ROUND(2638.16,2)</f>
        <v>2638.16</v>
      </c>
      <c r="CC212" s="6"/>
      <c r="CD212" s="6"/>
      <c r="CE212" s="6"/>
      <c r="CF212" s="6"/>
      <c r="CG212" s="7">
        <f>ROUND(31092.79,2)</f>
        <v>31092.79</v>
      </c>
      <c r="CH212" s="6"/>
      <c r="CI212" s="6"/>
      <c r="CJ212" s="7">
        <f>ROUND(14127.17,2)</f>
        <v>14127.17</v>
      </c>
      <c r="CK212" s="6"/>
      <c r="CL212" s="6"/>
      <c r="CM212" s="6"/>
      <c r="CN212" s="6"/>
      <c r="CO212" s="7">
        <f>ROUND(235.68,2)</f>
        <v>235.68</v>
      </c>
      <c r="CP212" s="7">
        <f>ROUND(2073.53,2)</f>
        <v>2073.5300000000002</v>
      </c>
      <c r="CQ212" s="7">
        <f>ROUND(9.22,2)</f>
        <v>9.2200000000000006</v>
      </c>
      <c r="CR212" s="7">
        <f>ROUND(55.42,2)</f>
        <v>55.42</v>
      </c>
      <c r="CS212" s="6"/>
      <c r="CT212" s="6"/>
      <c r="CU212" s="6"/>
      <c r="CV212" s="6"/>
      <c r="CW212" s="7">
        <f>ROUND(9010.46,2)</f>
        <v>9010.4599999999991</v>
      </c>
      <c r="CX212" s="7">
        <f>ROUND(511.01,2)</f>
        <v>511.01</v>
      </c>
      <c r="CY212" s="6"/>
      <c r="CZ212" s="6"/>
      <c r="DA212" s="7">
        <f>ROUND(7556.24,2)</f>
        <v>7556.24</v>
      </c>
      <c r="DB212" s="7">
        <f>ROUND(2892.70999999999,2)</f>
        <v>2892.71</v>
      </c>
      <c r="DC212" s="7">
        <f>ROUND(2063.04,2)</f>
        <v>2063.04</v>
      </c>
      <c r="DD212" s="6"/>
      <c r="DE212" s="7">
        <f>ROUND(4507.68,2)</f>
        <v>4507.68</v>
      </c>
      <c r="DF212" s="6"/>
      <c r="DG212" s="6"/>
      <c r="DH212" s="6"/>
      <c r="DI212" s="7">
        <f>ROUND(236.13,2)</f>
        <v>236.13</v>
      </c>
      <c r="DJ212" s="6"/>
      <c r="DK212" s="6"/>
      <c r="DL212" s="6"/>
      <c r="DM212" s="7">
        <f>ROUND(1111.2,2)</f>
        <v>1111.2</v>
      </c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7">
        <f>ROUND(1186.2,2)</f>
        <v>1186.2</v>
      </c>
      <c r="ED212" s="6"/>
      <c r="EE212" s="7">
        <f>ROUND(575,2)</f>
        <v>575</v>
      </c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7">
        <f>ROUND(1250,2)</f>
        <v>1250</v>
      </c>
      <c r="ER212" s="6"/>
      <c r="ES212" s="6"/>
      <c r="ET212" s="6"/>
      <c r="EU212" s="6"/>
      <c r="EV212" s="7">
        <f>ROUND(78493.48,2)</f>
        <v>78493.48</v>
      </c>
    </row>
    <row r="213" spans="1:152">
      <c r="A213" s="4" t="s">
        <v>598</v>
      </c>
      <c r="B213" s="4" t="s">
        <v>1058</v>
      </c>
      <c r="C213" s="5" t="s">
        <v>211</v>
      </c>
      <c r="D213" s="5" t="s">
        <v>599</v>
      </c>
      <c r="E213" s="5" t="s">
        <v>0</v>
      </c>
      <c r="F213" s="5" t="s">
        <v>0</v>
      </c>
      <c r="G213" s="5" t="s">
        <v>218</v>
      </c>
      <c r="H213" s="10">
        <v>34</v>
      </c>
      <c r="I213" s="6"/>
      <c r="J213" s="6"/>
      <c r="K213" s="7">
        <f>ROUND(1504,2)</f>
        <v>1504</v>
      </c>
      <c r="L213" s="7">
        <f>ROUND(16,2)</f>
        <v>16</v>
      </c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7">
        <f>ROUND(104,2)</f>
        <v>104</v>
      </c>
      <c r="AI213" s="6"/>
      <c r="AJ213" s="7">
        <f>ROUND(120,2)</f>
        <v>120</v>
      </c>
      <c r="AK213" s="6"/>
      <c r="AL213" s="6"/>
      <c r="AM213" s="6"/>
      <c r="AN213" s="6"/>
      <c r="AO213" s="6"/>
      <c r="AP213" s="7">
        <f>ROUND(40,2)</f>
        <v>40</v>
      </c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7">
        <f>ROUND(24,2)</f>
        <v>24</v>
      </c>
      <c r="BC213" s="7">
        <f>ROUND(16,2)</f>
        <v>16</v>
      </c>
      <c r="BD213" s="6"/>
      <c r="BE213" s="7">
        <f>ROUND(40,2)</f>
        <v>40</v>
      </c>
      <c r="BF213" s="6"/>
      <c r="BG213" s="6"/>
      <c r="BH213" s="6"/>
      <c r="BI213" s="7">
        <f>ROUND(240,2)</f>
        <v>240</v>
      </c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7">
        <f>ROUND(2104,2)</f>
        <v>2104</v>
      </c>
      <c r="CC213" s="6"/>
      <c r="CD213" s="6"/>
      <c r="CE213" s="7">
        <f>ROUND(46967.6,2)</f>
        <v>46967.6</v>
      </c>
      <c r="CF213" s="7">
        <f>ROUND(780.6,2)</f>
        <v>780.6</v>
      </c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7">
        <f>ROUND(3082,2)</f>
        <v>3082</v>
      </c>
      <c r="DD213" s="6"/>
      <c r="DE213" s="7">
        <f>ROUND(3690,2)</f>
        <v>3690</v>
      </c>
      <c r="DF213" s="6"/>
      <c r="DG213" s="6"/>
      <c r="DH213" s="6"/>
      <c r="DI213" s="6"/>
      <c r="DJ213" s="6"/>
      <c r="DK213" s="6"/>
      <c r="DL213" s="6"/>
      <c r="DM213" s="7">
        <f>ROUND(1360,2)</f>
        <v>1360</v>
      </c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7">
        <f>ROUND(1125,2)</f>
        <v>1125</v>
      </c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7">
        <f>ROUND(1250,2)</f>
        <v>1250</v>
      </c>
      <c r="ER213" s="6"/>
      <c r="ES213" s="6"/>
      <c r="ET213" s="6"/>
      <c r="EU213" s="6"/>
      <c r="EV213" s="7">
        <f>ROUND(58255.2,2)</f>
        <v>58255.199999999997</v>
      </c>
    </row>
    <row r="214" spans="1:152">
      <c r="A214" s="4" t="s">
        <v>600</v>
      </c>
      <c r="B214" s="4" t="s">
        <v>1058</v>
      </c>
      <c r="C214" s="5" t="s">
        <v>211</v>
      </c>
      <c r="D214" s="5" t="s">
        <v>160</v>
      </c>
      <c r="E214" s="5" t="s">
        <v>0</v>
      </c>
      <c r="F214" s="5" t="s">
        <v>0</v>
      </c>
      <c r="G214" s="5" t="s">
        <v>213</v>
      </c>
      <c r="H214" s="10">
        <v>23.8</v>
      </c>
      <c r="I214" s="6"/>
      <c r="J214" s="6"/>
      <c r="K214" s="6"/>
      <c r="L214" s="6"/>
      <c r="M214" s="6"/>
      <c r="N214" s="6"/>
      <c r="O214" s="6"/>
      <c r="P214" s="6"/>
      <c r="Q214" s="7">
        <f>ROUND(1128,2)</f>
        <v>1128</v>
      </c>
      <c r="R214" s="7">
        <f>ROUND(87.47,2)</f>
        <v>87.47</v>
      </c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7">
        <f>ROUND(40,2)</f>
        <v>40</v>
      </c>
      <c r="AI214" s="6"/>
      <c r="AJ214" s="6"/>
      <c r="AK214" s="6"/>
      <c r="AL214" s="6"/>
      <c r="AM214" s="6"/>
      <c r="AN214" s="6"/>
      <c r="AO214" s="6"/>
      <c r="AP214" s="7">
        <f>ROUND(64,2)</f>
        <v>64</v>
      </c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7">
        <f>ROUND(0.08,2)</f>
        <v>0.08</v>
      </c>
      <c r="BE214" s="6"/>
      <c r="BF214" s="6"/>
      <c r="BG214" s="6"/>
      <c r="BH214" s="7">
        <f>ROUND(8,2)</f>
        <v>8</v>
      </c>
      <c r="BI214" s="6"/>
      <c r="BJ214" s="6"/>
      <c r="BK214" s="6"/>
      <c r="BL214" s="6"/>
      <c r="BM214" s="7">
        <f>ROUND(8,2)</f>
        <v>8</v>
      </c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7">
        <f>ROUND(24,2)</f>
        <v>24</v>
      </c>
      <c r="CB214" s="7">
        <f>ROUND(1359.55,2)</f>
        <v>1359.55</v>
      </c>
      <c r="CC214" s="6"/>
      <c r="CD214" s="6"/>
      <c r="CE214" s="6"/>
      <c r="CF214" s="6"/>
      <c r="CG214" s="6"/>
      <c r="CH214" s="6"/>
      <c r="CI214" s="6"/>
      <c r="CJ214" s="6"/>
      <c r="CK214" s="7">
        <f>ROUND(21581.8,2)</f>
        <v>21581.8</v>
      </c>
      <c r="CL214" s="7">
        <f>ROUND(2469.70999999999,2)</f>
        <v>2469.71</v>
      </c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7">
        <f>ROUND(817.599999999999,2)</f>
        <v>817.6</v>
      </c>
      <c r="DD214" s="6"/>
      <c r="DE214" s="6"/>
      <c r="DF214" s="6"/>
      <c r="DG214" s="6"/>
      <c r="DH214" s="6"/>
      <c r="DI214" s="6"/>
      <c r="DJ214" s="6"/>
      <c r="DK214" s="6"/>
      <c r="DL214" s="6"/>
      <c r="DM214" s="7">
        <f>ROUND(1388.67,2)</f>
        <v>1388.67</v>
      </c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7">
        <f>ROUND(140,2)</f>
        <v>140</v>
      </c>
      <c r="EE214" s="7">
        <f>ROUND(575,2)</f>
        <v>575</v>
      </c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7">
        <f>ROUND(1151.28,2)</f>
        <v>1151.28</v>
      </c>
      <c r="ER214" s="6"/>
      <c r="ES214" s="6"/>
      <c r="ET214" s="6"/>
      <c r="EU214" s="7">
        <f>ROUND(537.6,2)</f>
        <v>537.6</v>
      </c>
      <c r="EV214" s="7">
        <f>ROUND(28661.6599999999,2)</f>
        <v>28661.66</v>
      </c>
    </row>
    <row r="215" spans="1:152">
      <c r="A215" s="4" t="s">
        <v>601</v>
      </c>
      <c r="B215" s="4" t="s">
        <v>1058</v>
      </c>
      <c r="C215" s="5" t="s">
        <v>152</v>
      </c>
      <c r="D215" s="5" t="s">
        <v>173</v>
      </c>
      <c r="E215" s="5" t="s">
        <v>602</v>
      </c>
      <c r="F215" s="5" t="s">
        <v>0</v>
      </c>
      <c r="G215" s="5" t="s">
        <v>155</v>
      </c>
      <c r="H215" s="10">
        <v>17.5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7">
        <f>ROUND(137.82,2)</f>
        <v>137.82</v>
      </c>
      <c r="AM215" s="6"/>
      <c r="AN215" s="7">
        <f>ROUND(0.47,2)</f>
        <v>0.47</v>
      </c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7">
        <f>ROUND(5,2)</f>
        <v>5</v>
      </c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7">
        <f>ROUND(143.29,2)</f>
        <v>143.29</v>
      </c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7">
        <f>ROUND(2411.85,2)</f>
        <v>2411.85</v>
      </c>
      <c r="DJ215" s="6"/>
      <c r="DK215" s="7">
        <f>ROUND(12.34,2)</f>
        <v>12.34</v>
      </c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7">
        <f>ROUND(2424.19,2)</f>
        <v>2424.19</v>
      </c>
    </row>
    <row r="216" spans="1:152">
      <c r="A216" s="4" t="s">
        <v>603</v>
      </c>
      <c r="B216" s="4" t="s">
        <v>1058</v>
      </c>
      <c r="C216" s="5" t="s">
        <v>211</v>
      </c>
      <c r="D216" s="5" t="s">
        <v>604</v>
      </c>
      <c r="E216" s="5" t="s">
        <v>605</v>
      </c>
      <c r="F216" s="5" t="s">
        <v>0</v>
      </c>
      <c r="G216" s="5" t="s">
        <v>218</v>
      </c>
      <c r="H216" s="10">
        <v>31.95</v>
      </c>
      <c r="I216" s="6"/>
      <c r="J216" s="6"/>
      <c r="K216" s="7">
        <f>ROUND(376,2)</f>
        <v>376</v>
      </c>
      <c r="L216" s="7">
        <f>ROUND(36,2)</f>
        <v>36</v>
      </c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7">
        <f>ROUND(16,2)</f>
        <v>16</v>
      </c>
      <c r="AI216" s="6"/>
      <c r="AJ216" s="7">
        <f>ROUND(80,2)</f>
        <v>80</v>
      </c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7">
        <f>ROUND(16,2)</f>
        <v>16</v>
      </c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7">
        <f>ROUND(524,2)</f>
        <v>524</v>
      </c>
      <c r="CC216" s="6"/>
      <c r="CD216" s="6"/>
      <c r="CE216" s="7">
        <f>ROUND(12060,2)</f>
        <v>12060</v>
      </c>
      <c r="CF216" s="7">
        <f>ROUND(1728.89999999999,2)</f>
        <v>1728.9</v>
      </c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7">
        <f>ROUND(511.2,2)</f>
        <v>511.2</v>
      </c>
      <c r="DD216" s="6"/>
      <c r="DE216" s="7">
        <f>ROUND(2556,2)</f>
        <v>2556</v>
      </c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7">
        <f>ROUND(16856.1,2)</f>
        <v>16856.099999999999</v>
      </c>
    </row>
    <row r="217" spans="1:152">
      <c r="A217" s="4" t="s">
        <v>606</v>
      </c>
      <c r="B217" s="4" t="s">
        <v>1058</v>
      </c>
      <c r="C217" s="5" t="s">
        <v>152</v>
      </c>
      <c r="D217" s="5" t="s">
        <v>607</v>
      </c>
      <c r="E217" s="5" t="s">
        <v>608</v>
      </c>
      <c r="F217" s="5" t="s">
        <v>0</v>
      </c>
      <c r="G217" s="5" t="s">
        <v>155</v>
      </c>
      <c r="H217" s="10">
        <v>27.78</v>
      </c>
      <c r="I217" s="6"/>
      <c r="J217" s="6"/>
      <c r="K217" s="6"/>
      <c r="L217" s="6"/>
      <c r="M217" s="7">
        <f>ROUND(66.92,2)</f>
        <v>66.92</v>
      </c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7">
        <f>ROUND(844.93,2)</f>
        <v>844.93</v>
      </c>
      <c r="AD217" s="7">
        <f>ROUND(8.08,2)</f>
        <v>8.08</v>
      </c>
      <c r="AE217" s="6"/>
      <c r="AF217" s="6"/>
      <c r="AG217" s="6"/>
      <c r="AH217" s="7">
        <f>ROUND(64,2)</f>
        <v>64</v>
      </c>
      <c r="AI217" s="6"/>
      <c r="AJ217" s="7">
        <f>ROUND(240,2)</f>
        <v>240</v>
      </c>
      <c r="AK217" s="6"/>
      <c r="AL217" s="7">
        <f>ROUND(8,2)</f>
        <v>8</v>
      </c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7">
        <f>ROUND(8,2)</f>
        <v>8</v>
      </c>
      <c r="BC217" s="7">
        <f>ROUND(576,2)</f>
        <v>576</v>
      </c>
      <c r="BD217" s="7">
        <f>ROUND(0.15,2)</f>
        <v>0.15</v>
      </c>
      <c r="BE217" s="6"/>
      <c r="BF217" s="6"/>
      <c r="BG217" s="6"/>
      <c r="BH217" s="7">
        <f>ROUND(10,2)</f>
        <v>10</v>
      </c>
      <c r="BI217" s="6"/>
      <c r="BJ217" s="6"/>
      <c r="BK217" s="6"/>
      <c r="BL217" s="6"/>
      <c r="BM217" s="7">
        <f>ROUND(8,2)</f>
        <v>8</v>
      </c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7">
        <f>ROUND(1834.08,2)</f>
        <v>1834.08</v>
      </c>
      <c r="CC217" s="6"/>
      <c r="CD217" s="6"/>
      <c r="CE217" s="6"/>
      <c r="CF217" s="6"/>
      <c r="CG217" s="7">
        <f>ROUND(1859.04,2)</f>
        <v>1859.04</v>
      </c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7">
        <f>ROUND(23472.15,2)</f>
        <v>23472.15</v>
      </c>
      <c r="CX217" s="7">
        <f>ROUND(336.69,2)</f>
        <v>336.69</v>
      </c>
      <c r="CY217" s="6"/>
      <c r="CZ217" s="6"/>
      <c r="DA217" s="6"/>
      <c r="DB217" s="6"/>
      <c r="DC217" s="7">
        <f>ROUND(1777.92,2)</f>
        <v>1777.92</v>
      </c>
      <c r="DD217" s="6"/>
      <c r="DE217" s="7">
        <f>ROUND(6667.19999999999,2)</f>
        <v>6667.2</v>
      </c>
      <c r="DF217" s="6"/>
      <c r="DG217" s="6"/>
      <c r="DH217" s="6"/>
      <c r="DI217" s="7">
        <f>ROUND(222.24,2)</f>
        <v>222.24</v>
      </c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7">
        <f>ROUND(400,2)</f>
        <v>400</v>
      </c>
      <c r="EM217" s="6"/>
      <c r="EN217" s="6"/>
      <c r="EO217" s="6"/>
      <c r="EP217" s="6"/>
      <c r="EQ217" s="6"/>
      <c r="ER217" s="6"/>
      <c r="ES217" s="6"/>
      <c r="ET217" s="6"/>
      <c r="EU217" s="6"/>
      <c r="EV217" s="7">
        <f>ROUND(34735.24,2)</f>
        <v>34735.24</v>
      </c>
    </row>
    <row r="218" spans="1:152">
      <c r="A218" s="4" t="s">
        <v>609</v>
      </c>
      <c r="B218" s="4"/>
      <c r="C218" s="5" t="s">
        <v>377</v>
      </c>
      <c r="D218" s="5" t="s">
        <v>378</v>
      </c>
      <c r="E218" s="5" t="s">
        <v>0</v>
      </c>
      <c r="F218" s="5" t="s">
        <v>0</v>
      </c>
      <c r="G218" s="5" t="s">
        <v>379</v>
      </c>
      <c r="H218" s="10">
        <v>23.84</v>
      </c>
      <c r="I218" s="7">
        <f>ROUND(1856,2)</f>
        <v>1856</v>
      </c>
      <c r="J218" s="7">
        <f>ROUND(3,2)</f>
        <v>3</v>
      </c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7">
        <f>ROUND(24,2)</f>
        <v>24</v>
      </c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7">
        <f>ROUND(32,2)</f>
        <v>32</v>
      </c>
      <c r="BU218" s="6"/>
      <c r="BV218" s="6"/>
      <c r="BW218" s="6"/>
      <c r="BX218" s="7">
        <f>ROUND(8,2)</f>
        <v>8</v>
      </c>
      <c r="BY218" s="7">
        <f>ROUND(160,2)</f>
        <v>160</v>
      </c>
      <c r="BZ218" s="6"/>
      <c r="CA218" s="6"/>
      <c r="CB218" s="7">
        <f>ROUND(2083,2)</f>
        <v>2083</v>
      </c>
      <c r="CC218" s="7">
        <f>ROUND(42118.84,2)</f>
        <v>42118.84</v>
      </c>
      <c r="CD218" s="7">
        <f>ROUND(104.18,2)</f>
        <v>104.18</v>
      </c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7">
        <f>ROUND(539.45,2)</f>
        <v>539.45000000000005</v>
      </c>
      <c r="EE218" s="7">
        <f>ROUND(2288.64,2)</f>
        <v>2288.64</v>
      </c>
      <c r="EF218" s="6"/>
      <c r="EG218" s="7">
        <f>ROUND(730.18,2)</f>
        <v>730.18</v>
      </c>
      <c r="EH218" s="6"/>
      <c r="EI218" s="6"/>
      <c r="EJ218" s="6"/>
      <c r="EK218" s="6"/>
      <c r="EL218" s="6"/>
      <c r="EM218" s="6"/>
      <c r="EN218" s="7">
        <f>ROUND(179.82,2)</f>
        <v>179.82</v>
      </c>
      <c r="EO218" s="6"/>
      <c r="EP218" s="6"/>
      <c r="EQ218" s="6"/>
      <c r="ER218" s="6"/>
      <c r="ES218" s="7">
        <f>ROUND(3672.50999999999,2)</f>
        <v>3672.51</v>
      </c>
      <c r="ET218" s="6"/>
      <c r="EU218" s="6"/>
      <c r="EV218" s="7">
        <f>ROUND(49633.62,2)</f>
        <v>49633.62</v>
      </c>
    </row>
    <row r="219" spans="1:152">
      <c r="A219" s="4" t="s">
        <v>610</v>
      </c>
      <c r="B219" s="4" t="s">
        <v>1058</v>
      </c>
      <c r="C219" s="5" t="s">
        <v>152</v>
      </c>
      <c r="D219" s="5" t="s">
        <v>186</v>
      </c>
      <c r="E219" s="5" t="s">
        <v>611</v>
      </c>
      <c r="F219" s="5" t="s">
        <v>0</v>
      </c>
      <c r="G219" s="5" t="s">
        <v>155</v>
      </c>
      <c r="H219" s="10">
        <v>20.84</v>
      </c>
      <c r="I219" s="6"/>
      <c r="J219" s="6"/>
      <c r="K219" s="6"/>
      <c r="L219" s="6"/>
      <c r="M219" s="7">
        <f>ROUND(41.58,2)</f>
        <v>41.58</v>
      </c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7">
        <f>ROUND(234.5,2)</f>
        <v>234.5</v>
      </c>
      <c r="AM219" s="6"/>
      <c r="AN219" s="7">
        <f>ROUND(13.89,2)</f>
        <v>13.89</v>
      </c>
      <c r="AO219" s="6"/>
      <c r="AP219" s="6"/>
      <c r="AQ219" s="6"/>
      <c r="AR219" s="7">
        <f>ROUND(5,2)</f>
        <v>5</v>
      </c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7">
        <f>ROUND(294.969999999999,2)</f>
        <v>294.97000000000003</v>
      </c>
      <c r="CC219" s="6"/>
      <c r="CD219" s="6"/>
      <c r="CE219" s="6"/>
      <c r="CF219" s="6"/>
      <c r="CG219" s="7">
        <f>ROUND(866.319999999999,2)</f>
        <v>866.32</v>
      </c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7">
        <f>ROUND(4103.75,2)</f>
        <v>4103.75</v>
      </c>
      <c r="DJ219" s="6"/>
      <c r="DK219" s="7">
        <f>ROUND(364.62,2)</f>
        <v>364.62</v>
      </c>
      <c r="DL219" s="6"/>
      <c r="DM219" s="6"/>
      <c r="DN219" s="6"/>
      <c r="DO219" s="6"/>
      <c r="DP219" s="7">
        <f>ROUND(87.5,2)</f>
        <v>87.5</v>
      </c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7">
        <f>ROUND(5422.19,2)</f>
        <v>5422.19</v>
      </c>
    </row>
    <row r="220" spans="1:152" ht="24">
      <c r="A220" s="4" t="s">
        <v>612</v>
      </c>
      <c r="B220" s="4"/>
      <c r="C220" s="5" t="s">
        <v>233</v>
      </c>
      <c r="D220" s="5" t="s">
        <v>319</v>
      </c>
      <c r="E220" s="5" t="s">
        <v>173</v>
      </c>
      <c r="F220" s="5" t="s">
        <v>0</v>
      </c>
      <c r="G220" s="5" t="s">
        <v>236</v>
      </c>
      <c r="H220" s="10">
        <v>18</v>
      </c>
      <c r="I220" s="7">
        <f>ROUND(204,2)</f>
        <v>204</v>
      </c>
      <c r="J220" s="7">
        <f>ROUND(1.5,2)</f>
        <v>1.5</v>
      </c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7">
        <f>ROUND(205.5,2)</f>
        <v>205.5</v>
      </c>
      <c r="CC220" s="7">
        <f>ROUND(3672,2)</f>
        <v>3672</v>
      </c>
      <c r="CD220" s="7">
        <f>ROUND(40.5,2)</f>
        <v>40.5</v>
      </c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7">
        <f>ROUND(3712.5,2)</f>
        <v>3712.5</v>
      </c>
    </row>
    <row r="221" spans="1:152">
      <c r="A221" s="4" t="s">
        <v>613</v>
      </c>
      <c r="B221" s="4"/>
      <c r="C221" s="5" t="s">
        <v>277</v>
      </c>
      <c r="D221" s="5" t="s">
        <v>614</v>
      </c>
      <c r="E221" s="5" t="s">
        <v>0</v>
      </c>
      <c r="F221" s="5" t="s">
        <v>0</v>
      </c>
      <c r="G221" s="5" t="s">
        <v>279</v>
      </c>
      <c r="H221" s="10">
        <v>26.75</v>
      </c>
      <c r="I221" s="7">
        <f>ROUND(1890,2)</f>
        <v>1890</v>
      </c>
      <c r="J221" s="7">
        <f>ROUND(16.5,2)</f>
        <v>16.5</v>
      </c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7">
        <f>ROUND(24,2)</f>
        <v>24</v>
      </c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7">
        <f>ROUND(32,2)</f>
        <v>32</v>
      </c>
      <c r="BU221" s="7">
        <f>ROUND(32,2)</f>
        <v>32</v>
      </c>
      <c r="BV221" s="6"/>
      <c r="BW221" s="6"/>
      <c r="BX221" s="7">
        <f>ROUND(15.5,2)</f>
        <v>15.5</v>
      </c>
      <c r="BY221" s="7">
        <f>ROUND(88,2)</f>
        <v>88</v>
      </c>
      <c r="BZ221" s="6"/>
      <c r="CA221" s="6"/>
      <c r="CB221" s="7">
        <f>ROUND(2098,2)</f>
        <v>2098</v>
      </c>
      <c r="CC221" s="7">
        <f>ROUND(48148.12,2)</f>
        <v>48148.12</v>
      </c>
      <c r="CD221" s="7">
        <f>ROUND(624.05,2)</f>
        <v>624.04999999999995</v>
      </c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7">
        <f>ROUND(605.13,2)</f>
        <v>605.13</v>
      </c>
      <c r="EE221" s="7">
        <f>ROUND(2568,2)</f>
        <v>2568</v>
      </c>
      <c r="EF221" s="6"/>
      <c r="EG221" s="7">
        <f>ROUND(819.13,2)</f>
        <v>819.13</v>
      </c>
      <c r="EH221" s="7">
        <f>ROUND(806.86,2)</f>
        <v>806.86</v>
      </c>
      <c r="EI221" s="6"/>
      <c r="EJ221" s="6"/>
      <c r="EK221" s="6"/>
      <c r="EL221" s="6"/>
      <c r="EM221" s="6"/>
      <c r="EN221" s="7">
        <f>ROUND(392.15,2)</f>
        <v>392.15</v>
      </c>
      <c r="EO221" s="6"/>
      <c r="EP221" s="6"/>
      <c r="EQ221" s="6"/>
      <c r="ER221" s="6"/>
      <c r="ES221" s="7">
        <f>ROUND(2261.64999999999,2)</f>
        <v>2261.65</v>
      </c>
      <c r="ET221" s="6"/>
      <c r="EU221" s="6"/>
      <c r="EV221" s="7">
        <f>ROUND(56225.09,2)</f>
        <v>56225.09</v>
      </c>
    </row>
    <row r="222" spans="1:152" ht="24">
      <c r="A222" s="4" t="s">
        <v>615</v>
      </c>
      <c r="B222" s="4"/>
      <c r="C222" s="5" t="s">
        <v>330</v>
      </c>
      <c r="D222" s="5" t="s">
        <v>243</v>
      </c>
      <c r="E222" s="5" t="s">
        <v>160</v>
      </c>
      <c r="F222" s="5" t="s">
        <v>616</v>
      </c>
      <c r="G222" s="5" t="s">
        <v>617</v>
      </c>
      <c r="H222" s="10">
        <v>50</v>
      </c>
      <c r="I222" s="7">
        <f>ROUND(198,2)</f>
        <v>198</v>
      </c>
      <c r="J222" s="7">
        <f>ROUND(0.5,2)</f>
        <v>0.5</v>
      </c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7">
        <f>ROUND(198.5,2)</f>
        <v>198.5</v>
      </c>
      <c r="CC222" s="7">
        <f>ROUND(9900,2)</f>
        <v>9900</v>
      </c>
      <c r="CD222" s="7">
        <f>ROUND(37.5,2)</f>
        <v>37.5</v>
      </c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7">
        <f>ROUND(9937.5,2)</f>
        <v>9937.5</v>
      </c>
    </row>
    <row r="223" spans="1:152" ht="24">
      <c r="A223" s="4" t="s">
        <v>618</v>
      </c>
      <c r="B223" s="4"/>
      <c r="C223" s="5" t="s">
        <v>178</v>
      </c>
      <c r="D223" s="5" t="s">
        <v>619</v>
      </c>
      <c r="E223" s="5" t="s">
        <v>0</v>
      </c>
      <c r="F223" s="5" t="s">
        <v>0</v>
      </c>
      <c r="G223" s="5" t="s">
        <v>248</v>
      </c>
      <c r="H223" s="10">
        <v>18.54</v>
      </c>
      <c r="I223" s="7">
        <f>ROUND(571.75,2)</f>
        <v>571.75</v>
      </c>
      <c r="J223" s="7">
        <f>ROUND(0.75,2)</f>
        <v>0.75</v>
      </c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7">
        <f>ROUND(5,2)</f>
        <v>5</v>
      </c>
      <c r="BU223" s="6"/>
      <c r="BV223" s="6"/>
      <c r="BW223" s="6"/>
      <c r="BX223" s="6"/>
      <c r="BY223" s="6"/>
      <c r="BZ223" s="6"/>
      <c r="CA223" s="6"/>
      <c r="CB223" s="7">
        <f>ROUND(577.5,2)</f>
        <v>577.5</v>
      </c>
      <c r="CC223" s="7">
        <f>ROUND(10409.36,2)</f>
        <v>10409.36</v>
      </c>
      <c r="CD223" s="7">
        <f>ROUND(20.86,2)</f>
        <v>20.86</v>
      </c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7">
        <f>ROUND(225,2)</f>
        <v>225</v>
      </c>
      <c r="EF223" s="6"/>
      <c r="EG223" s="7">
        <f>ROUND(92.7,2)</f>
        <v>92.7</v>
      </c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7">
        <f>ROUND(10747.92,2)</f>
        <v>10747.92</v>
      </c>
    </row>
    <row r="224" spans="1:152">
      <c r="A224" s="4" t="s">
        <v>620</v>
      </c>
      <c r="B224" s="4"/>
      <c r="C224" s="5" t="s">
        <v>341</v>
      </c>
      <c r="D224" s="5" t="s">
        <v>523</v>
      </c>
      <c r="E224" s="5" t="s">
        <v>621</v>
      </c>
      <c r="F224" s="5" t="s">
        <v>0</v>
      </c>
      <c r="G224" s="5" t="s">
        <v>622</v>
      </c>
      <c r="H224" s="10">
        <v>15</v>
      </c>
      <c r="I224" s="7">
        <f>ROUND(382,2)</f>
        <v>382</v>
      </c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7">
        <f>ROUND(5,2)</f>
        <v>5</v>
      </c>
      <c r="BU224" s="6"/>
      <c r="BV224" s="6"/>
      <c r="BW224" s="6"/>
      <c r="BX224" s="6"/>
      <c r="BY224" s="6"/>
      <c r="BZ224" s="6"/>
      <c r="CA224" s="6"/>
      <c r="CB224" s="7">
        <f>ROUND(387,2)</f>
        <v>387</v>
      </c>
      <c r="CC224" s="7">
        <f>ROUND(5730,2)</f>
        <v>5730</v>
      </c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7">
        <f>ROUND(75,2)</f>
        <v>75</v>
      </c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7">
        <f>ROUND(5805,2)</f>
        <v>5805</v>
      </c>
    </row>
    <row r="225" spans="1:152">
      <c r="A225" s="4" t="s">
        <v>623</v>
      </c>
      <c r="B225" s="4" t="s">
        <v>1058</v>
      </c>
      <c r="C225" s="5" t="s">
        <v>152</v>
      </c>
      <c r="D225" s="5" t="s">
        <v>413</v>
      </c>
      <c r="E225" s="5" t="s">
        <v>624</v>
      </c>
      <c r="F225" s="5" t="s">
        <v>0</v>
      </c>
      <c r="G225" s="5" t="s">
        <v>155</v>
      </c>
      <c r="H225" s="10">
        <v>30.4</v>
      </c>
      <c r="I225" s="6"/>
      <c r="J225" s="6"/>
      <c r="K225" s="6"/>
      <c r="L225" s="6"/>
      <c r="M225" s="7">
        <f>ROUND(1632.5,2)</f>
        <v>1632.5</v>
      </c>
      <c r="N225" s="6"/>
      <c r="O225" s="6"/>
      <c r="P225" s="7">
        <f>ROUND(106.149999999999,2)</f>
        <v>106.15</v>
      </c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7">
        <f>ROUND(43,2)</f>
        <v>43</v>
      </c>
      <c r="AD225" s="7">
        <f>ROUND(5,2)</f>
        <v>5</v>
      </c>
      <c r="AE225" s="6"/>
      <c r="AF225" s="6"/>
      <c r="AG225" s="6"/>
      <c r="AH225" s="7">
        <f>ROUND(80,2)</f>
        <v>80</v>
      </c>
      <c r="AI225" s="6"/>
      <c r="AJ225" s="7">
        <f>ROUND(80,2)</f>
        <v>80</v>
      </c>
      <c r="AK225" s="6"/>
      <c r="AL225" s="7">
        <f>ROUND(8.5,2)</f>
        <v>8.5</v>
      </c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7">
        <f>ROUND(8,2)</f>
        <v>8</v>
      </c>
      <c r="BC225" s="6"/>
      <c r="BD225" s="7">
        <f>ROUND(3.88,2)</f>
        <v>3.88</v>
      </c>
      <c r="BE225" s="7">
        <f>ROUND(32,2)</f>
        <v>32</v>
      </c>
      <c r="BF225" s="7">
        <f>ROUND(119.33,2)</f>
        <v>119.33</v>
      </c>
      <c r="BG225" s="7">
        <f>ROUND(145.019999999999,2)</f>
        <v>145.02000000000001</v>
      </c>
      <c r="BH225" s="6"/>
      <c r="BI225" s="6"/>
      <c r="BJ225" s="6"/>
      <c r="BK225" s="6"/>
      <c r="BL225" s="6"/>
      <c r="BM225" s="7">
        <f>ROUND(48,2)</f>
        <v>48</v>
      </c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7">
        <f>ROUND(40,2)</f>
        <v>40</v>
      </c>
      <c r="CB225" s="7">
        <f>ROUND(2351.38,2)</f>
        <v>2351.38</v>
      </c>
      <c r="CC225" s="6"/>
      <c r="CD225" s="6"/>
      <c r="CE225" s="6"/>
      <c r="CF225" s="6"/>
      <c r="CG225" s="7">
        <f>ROUND(45934.4999999999,2)</f>
        <v>45934.5</v>
      </c>
      <c r="CH225" s="6"/>
      <c r="CI225" s="6"/>
      <c r="CJ225" s="7">
        <f>ROUND(4474.69,2)</f>
        <v>4474.6899999999996</v>
      </c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7">
        <f>ROUND(1194.54,2)</f>
        <v>1194.54</v>
      </c>
      <c r="CX225" s="7">
        <f>ROUND(208.35,2)</f>
        <v>208.35</v>
      </c>
      <c r="CY225" s="6"/>
      <c r="CZ225" s="6"/>
      <c r="DA225" s="6"/>
      <c r="DB225" s="6"/>
      <c r="DC225" s="7">
        <f>ROUND(2264.32,2)</f>
        <v>2264.3200000000002</v>
      </c>
      <c r="DD225" s="6"/>
      <c r="DE225" s="7">
        <f>ROUND(2222.4,2)</f>
        <v>2222.4</v>
      </c>
      <c r="DF225" s="6"/>
      <c r="DG225" s="6"/>
      <c r="DH225" s="6"/>
      <c r="DI225" s="7">
        <f>ROUND(236.13,2)</f>
        <v>236.13</v>
      </c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7">
        <f>ROUND(1111.2,2)</f>
        <v>1111.2</v>
      </c>
      <c r="ED225" s="6"/>
      <c r="EE225" s="7">
        <f>ROUND(75,2)</f>
        <v>75</v>
      </c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7">
        <f>ROUND(1082.4,2)</f>
        <v>1082.4000000000001</v>
      </c>
      <c r="ER225" s="6"/>
      <c r="ES225" s="6"/>
      <c r="ET225" s="6"/>
      <c r="EU225" s="7">
        <f>ROUND(1216,2)</f>
        <v>1216</v>
      </c>
      <c r="EV225" s="7">
        <f>ROUND(60019.5299999999,2)</f>
        <v>60019.53</v>
      </c>
    </row>
    <row r="226" spans="1:152">
      <c r="A226" s="4" t="s">
        <v>625</v>
      </c>
      <c r="B226" s="4" t="s">
        <v>1058</v>
      </c>
      <c r="C226" s="5" t="s">
        <v>152</v>
      </c>
      <c r="D226" s="5" t="s">
        <v>626</v>
      </c>
      <c r="E226" s="5" t="s">
        <v>0</v>
      </c>
      <c r="F226" s="5" t="s">
        <v>0</v>
      </c>
      <c r="G226" s="5" t="s">
        <v>155</v>
      </c>
      <c r="H226" s="10">
        <v>30.4</v>
      </c>
      <c r="I226" s="6"/>
      <c r="J226" s="6"/>
      <c r="K226" s="6"/>
      <c r="L226" s="6"/>
      <c r="M226" s="7">
        <f>ROUND(1693.57,2)</f>
        <v>1693.57</v>
      </c>
      <c r="N226" s="6"/>
      <c r="O226" s="6"/>
      <c r="P226" s="7">
        <f>ROUND(426.21,2)</f>
        <v>426.21</v>
      </c>
      <c r="Q226" s="6"/>
      <c r="R226" s="6"/>
      <c r="S226" s="6"/>
      <c r="T226" s="6"/>
      <c r="U226" s="7">
        <f>ROUND(55.0899999999999,2)</f>
        <v>55.09</v>
      </c>
      <c r="V226" s="7">
        <f>ROUND(41.42,2)</f>
        <v>41.42</v>
      </c>
      <c r="W226" s="7">
        <f>ROUND(2.69,2)</f>
        <v>2.69</v>
      </c>
      <c r="X226" s="7">
        <f>ROUND(0.75,2)</f>
        <v>0.75</v>
      </c>
      <c r="Y226" s="6"/>
      <c r="Z226" s="6"/>
      <c r="AA226" s="6"/>
      <c r="AB226" s="6"/>
      <c r="AC226" s="7">
        <f>ROUND(51.28,2)</f>
        <v>51.28</v>
      </c>
      <c r="AD226" s="7">
        <f>ROUND(31.04,2)</f>
        <v>31.04</v>
      </c>
      <c r="AE226" s="6"/>
      <c r="AF226" s="7">
        <f>ROUND(109.259999999999,2)</f>
        <v>109.26</v>
      </c>
      <c r="AG226" s="7">
        <f>ROUND(28.49,2)</f>
        <v>28.49</v>
      </c>
      <c r="AH226" s="7">
        <f>ROUND(88,2)</f>
        <v>88</v>
      </c>
      <c r="AI226" s="6"/>
      <c r="AJ226" s="7">
        <f>ROUND(80,2)</f>
        <v>80</v>
      </c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7">
        <f>ROUND(8,2)</f>
        <v>8</v>
      </c>
      <c r="BD226" s="7">
        <f>ROUND(0.2,2)</f>
        <v>0.2</v>
      </c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7">
        <f>ROUND(40,2)</f>
        <v>40</v>
      </c>
      <c r="CB226" s="7">
        <f>ROUND(2655.99999999999,2)</f>
        <v>2656</v>
      </c>
      <c r="CC226" s="6"/>
      <c r="CD226" s="6"/>
      <c r="CE226" s="6"/>
      <c r="CF226" s="6"/>
      <c r="CG226" s="7">
        <f>ROUND(47865.2499999999,2)</f>
        <v>47865.25</v>
      </c>
      <c r="CH226" s="6"/>
      <c r="CI226" s="6"/>
      <c r="CJ226" s="7">
        <f>ROUND(18256.05,2)</f>
        <v>18256.05</v>
      </c>
      <c r="CK226" s="6"/>
      <c r="CL226" s="6"/>
      <c r="CM226" s="6"/>
      <c r="CN226" s="6"/>
      <c r="CO226" s="7">
        <f>ROUND(1537.5,2)</f>
        <v>1537.5</v>
      </c>
      <c r="CP226" s="7">
        <f>ROUND(1768.80999999999,2)</f>
        <v>1768.81</v>
      </c>
      <c r="CQ226" s="7">
        <f>ROUND(75.57,2)</f>
        <v>75.569999999999993</v>
      </c>
      <c r="CR226" s="7">
        <f>ROUND(31.42,2)</f>
        <v>31.42</v>
      </c>
      <c r="CS226" s="6"/>
      <c r="CT226" s="6"/>
      <c r="CU226" s="6"/>
      <c r="CV226" s="6"/>
      <c r="CW226" s="7">
        <f>ROUND(1432.26,2)</f>
        <v>1432.26</v>
      </c>
      <c r="CX226" s="7">
        <f>ROUND(1300.42,2)</f>
        <v>1300.42</v>
      </c>
      <c r="CY226" s="6"/>
      <c r="CZ226" s="6"/>
      <c r="DA226" s="7">
        <f>ROUND(3044,2)</f>
        <v>3044</v>
      </c>
      <c r="DB226" s="7">
        <f>ROUND(1191.76,2)</f>
        <v>1191.76</v>
      </c>
      <c r="DC226" s="7">
        <f>ROUND(2486.56,2)</f>
        <v>2486.56</v>
      </c>
      <c r="DD226" s="6"/>
      <c r="DE226" s="7">
        <f>ROUND(2222.4,2)</f>
        <v>2222.4</v>
      </c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7">
        <f>ROUND(1450,2)</f>
        <v>1450</v>
      </c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7">
        <f>ROUND(1250,2)</f>
        <v>1250</v>
      </c>
      <c r="ER226" s="6"/>
      <c r="ES226" s="6"/>
      <c r="ET226" s="6"/>
      <c r="EU226" s="7">
        <f>ROUND(1216,2)</f>
        <v>1216</v>
      </c>
      <c r="EV226" s="7">
        <f>ROUND(85128,2)</f>
        <v>85128</v>
      </c>
    </row>
    <row r="227" spans="1:152">
      <c r="A227" s="4" t="s">
        <v>627</v>
      </c>
      <c r="B227" s="4" t="s">
        <v>1058</v>
      </c>
      <c r="C227" s="5" t="s">
        <v>152</v>
      </c>
      <c r="D227" s="5" t="s">
        <v>546</v>
      </c>
      <c r="E227" s="5" t="s">
        <v>0</v>
      </c>
      <c r="F227" s="5" t="s">
        <v>0</v>
      </c>
      <c r="G227" s="5" t="s">
        <v>155</v>
      </c>
      <c r="H227" s="10">
        <v>30.4</v>
      </c>
      <c r="I227" s="6"/>
      <c r="J227" s="6"/>
      <c r="K227" s="6"/>
      <c r="L227" s="6"/>
      <c r="M227" s="7">
        <f>ROUND(1623.81999999999,2)</f>
        <v>1623.82</v>
      </c>
      <c r="N227" s="6"/>
      <c r="O227" s="6"/>
      <c r="P227" s="7">
        <f>ROUND(164.48,2)</f>
        <v>164.48</v>
      </c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7">
        <f>ROUND(72,2)</f>
        <v>72</v>
      </c>
      <c r="AI227" s="6"/>
      <c r="AJ227" s="7">
        <f>ROUND(120,2)</f>
        <v>120</v>
      </c>
      <c r="AK227" s="6"/>
      <c r="AL227" s="7">
        <f>ROUND(8.5,2)</f>
        <v>8.5</v>
      </c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7">
        <f>ROUND(24,2)</f>
        <v>24</v>
      </c>
      <c r="BC227" s="7">
        <f>ROUND(128,2)</f>
        <v>128</v>
      </c>
      <c r="BD227" s="6"/>
      <c r="BE227" s="7">
        <f>ROUND(8,2)</f>
        <v>8</v>
      </c>
      <c r="BF227" s="6"/>
      <c r="BG227" s="6"/>
      <c r="BH227" s="7">
        <f>ROUND(8,2)</f>
        <v>8</v>
      </c>
      <c r="BI227" s="6"/>
      <c r="BJ227" s="7">
        <f>ROUND(64,2)</f>
        <v>64</v>
      </c>
      <c r="BK227" s="6"/>
      <c r="BL227" s="6"/>
      <c r="BM227" s="7">
        <f>ROUND(88,2)</f>
        <v>88</v>
      </c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7">
        <f>ROUND(2308.8,2)</f>
        <v>2308.8000000000002</v>
      </c>
      <c r="CC227" s="6"/>
      <c r="CD227" s="6"/>
      <c r="CE227" s="6"/>
      <c r="CF227" s="6"/>
      <c r="CG227" s="7">
        <f>ROUND(45923.07,2)</f>
        <v>45923.07</v>
      </c>
      <c r="CH227" s="6"/>
      <c r="CI227" s="6"/>
      <c r="CJ227" s="7">
        <f>ROUND(6981.35,2)</f>
        <v>6981.35</v>
      </c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7">
        <f>ROUND(2042.08,2)</f>
        <v>2042.08</v>
      </c>
      <c r="DD227" s="6"/>
      <c r="DE227" s="7">
        <f>ROUND(3333.6,2)</f>
        <v>3333.6</v>
      </c>
      <c r="DF227" s="6"/>
      <c r="DG227" s="6"/>
      <c r="DH227" s="6"/>
      <c r="DI227" s="7">
        <f>ROUND(236.13,2)</f>
        <v>236.13</v>
      </c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7">
        <f>ROUND(400,2)</f>
        <v>400</v>
      </c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7">
        <f>ROUND(1062.72,2)</f>
        <v>1062.72</v>
      </c>
      <c r="ER227" s="6"/>
      <c r="ES227" s="6"/>
      <c r="ET227" s="6"/>
      <c r="EU227" s="6"/>
      <c r="EV227" s="7">
        <f>ROUND(59978.95,2)</f>
        <v>59978.95</v>
      </c>
    </row>
    <row r="228" spans="1:152">
      <c r="A228" s="4" t="s">
        <v>628</v>
      </c>
      <c r="B228" s="4" t="s">
        <v>1058</v>
      </c>
      <c r="C228" s="5" t="s">
        <v>152</v>
      </c>
      <c r="D228" s="5" t="s">
        <v>319</v>
      </c>
      <c r="E228" s="5" t="s">
        <v>629</v>
      </c>
      <c r="F228" s="5" t="s">
        <v>0</v>
      </c>
      <c r="G228" s="5" t="s">
        <v>155</v>
      </c>
      <c r="H228" s="10">
        <v>24.32</v>
      </c>
      <c r="I228" s="6"/>
      <c r="J228" s="6"/>
      <c r="K228" s="6"/>
      <c r="L228" s="6"/>
      <c r="M228" s="7">
        <f>ROUND(301.76,2)</f>
        <v>301.76</v>
      </c>
      <c r="N228" s="6"/>
      <c r="O228" s="6"/>
      <c r="P228" s="7">
        <f>ROUND(0.63,2)</f>
        <v>0.63</v>
      </c>
      <c r="Q228" s="6"/>
      <c r="R228" s="6"/>
      <c r="S228" s="6"/>
      <c r="T228" s="6"/>
      <c r="U228" s="7">
        <f>ROUND(7.3,2)</f>
        <v>7.3</v>
      </c>
      <c r="V228" s="6"/>
      <c r="W228" s="7">
        <f>ROUND(0.5,2)</f>
        <v>0.5</v>
      </c>
      <c r="X228" s="6"/>
      <c r="Y228" s="6"/>
      <c r="Z228" s="6"/>
      <c r="AA228" s="6"/>
      <c r="AB228" s="6"/>
      <c r="AC228" s="7">
        <f>ROUND(11.16,2)</f>
        <v>11.16</v>
      </c>
      <c r="AD228" s="6"/>
      <c r="AE228" s="6"/>
      <c r="AF228" s="7">
        <f>ROUND(89.93,2)</f>
        <v>89.93</v>
      </c>
      <c r="AG228" s="7">
        <f>ROUND(17.34,2)</f>
        <v>17.34</v>
      </c>
      <c r="AH228" s="7">
        <f>ROUND(13,2)</f>
        <v>13</v>
      </c>
      <c r="AI228" s="6"/>
      <c r="AJ228" s="6"/>
      <c r="AK228" s="6"/>
      <c r="AL228" s="7">
        <f>ROUND(200,2)</f>
        <v>200</v>
      </c>
      <c r="AM228" s="6"/>
      <c r="AN228" s="7">
        <f>ROUND(7.6,2)</f>
        <v>7.6</v>
      </c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7">
        <f>ROUND(33,2)</f>
        <v>33</v>
      </c>
      <c r="BD228" s="6"/>
      <c r="BE228" s="7">
        <f>ROUND(10,2)</f>
        <v>10</v>
      </c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7">
        <f>ROUND(692.22,2)</f>
        <v>692.22</v>
      </c>
      <c r="CC228" s="6"/>
      <c r="CD228" s="6"/>
      <c r="CE228" s="6"/>
      <c r="CF228" s="6"/>
      <c r="CG228" s="7">
        <f>ROUND(6680.05,2)</f>
        <v>6680.05</v>
      </c>
      <c r="CH228" s="6"/>
      <c r="CI228" s="6"/>
      <c r="CJ228" s="7">
        <f>ROUND(20.4199999999999,2)</f>
        <v>20.420000000000002</v>
      </c>
      <c r="CK228" s="6"/>
      <c r="CL228" s="6"/>
      <c r="CM228" s="6"/>
      <c r="CN228" s="6"/>
      <c r="CO228" s="7">
        <f>ROUND(177.54,2)</f>
        <v>177.54</v>
      </c>
      <c r="CP228" s="6"/>
      <c r="CQ228" s="7">
        <f>ROUND(12.24,2)</f>
        <v>12.24</v>
      </c>
      <c r="CR228" s="6"/>
      <c r="CS228" s="6"/>
      <c r="CT228" s="6"/>
      <c r="CU228" s="6"/>
      <c r="CV228" s="6"/>
      <c r="CW228" s="7">
        <f>ROUND(271.62,2)</f>
        <v>271.62</v>
      </c>
      <c r="CX228" s="6"/>
      <c r="CY228" s="6"/>
      <c r="CZ228" s="6"/>
      <c r="DA228" s="7">
        <f>ROUND(2012.48,2)</f>
        <v>2012.48</v>
      </c>
      <c r="DB228" s="7">
        <f>ROUND(613.88,2)</f>
        <v>613.88</v>
      </c>
      <c r="DC228" s="7">
        <f>ROUND(298.74,2)</f>
        <v>298.74</v>
      </c>
      <c r="DD228" s="6"/>
      <c r="DE228" s="6"/>
      <c r="DF228" s="6"/>
      <c r="DG228" s="6"/>
      <c r="DH228" s="6"/>
      <c r="DI228" s="7">
        <f>ROUND(3500,2)</f>
        <v>3500</v>
      </c>
      <c r="DJ228" s="6"/>
      <c r="DK228" s="7">
        <f>ROUND(199.5,2)</f>
        <v>199.5</v>
      </c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7">
        <f>ROUND(500,2)</f>
        <v>500</v>
      </c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7">
        <f>ROUND(188.8,2)</f>
        <v>188.8</v>
      </c>
      <c r="ER228" s="6"/>
      <c r="ES228" s="6"/>
      <c r="ET228" s="6"/>
      <c r="EU228" s="6"/>
      <c r="EV228" s="7">
        <f>ROUND(14475.27,2)</f>
        <v>14475.27</v>
      </c>
    </row>
    <row r="229" spans="1:152" ht="24">
      <c r="A229" s="4" t="s">
        <v>630</v>
      </c>
      <c r="B229" s="4"/>
      <c r="C229" s="5" t="s">
        <v>377</v>
      </c>
      <c r="D229" s="5" t="s">
        <v>631</v>
      </c>
      <c r="E229" s="5" t="s">
        <v>0</v>
      </c>
      <c r="F229" s="5" t="s">
        <v>0</v>
      </c>
      <c r="G229" s="5" t="s">
        <v>632</v>
      </c>
      <c r="H229" s="10">
        <v>1386.53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7">
        <f>ROUND(24,2)</f>
        <v>24</v>
      </c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7">
        <f>ROUND(32,2)</f>
        <v>32</v>
      </c>
      <c r="BU229" s="7">
        <f>ROUND(24,2)</f>
        <v>24</v>
      </c>
      <c r="BV229" s="6"/>
      <c r="BW229" s="6"/>
      <c r="BX229" s="6"/>
      <c r="BY229" s="7">
        <f>ROUND(96,2)</f>
        <v>96</v>
      </c>
      <c r="BZ229" s="6"/>
      <c r="CA229" s="6"/>
      <c r="CB229" s="7">
        <f>ROUND(176,2)</f>
        <v>176</v>
      </c>
      <c r="CC229" s="7">
        <f>ROUND(67145.31,2)</f>
        <v>67145.31</v>
      </c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7">
        <f>ROUND(3327.36,2)</f>
        <v>3327.36</v>
      </c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7">
        <f>ROUND(70472.67,2)</f>
        <v>70472.67</v>
      </c>
    </row>
    <row r="230" spans="1:152">
      <c r="A230" s="4" t="s">
        <v>633</v>
      </c>
      <c r="B230" s="4"/>
      <c r="C230" s="5" t="s">
        <v>259</v>
      </c>
      <c r="D230" s="5" t="s">
        <v>634</v>
      </c>
      <c r="E230" s="5" t="s">
        <v>0</v>
      </c>
      <c r="F230" s="5" t="s">
        <v>635</v>
      </c>
      <c r="G230" s="5" t="s">
        <v>636</v>
      </c>
      <c r="H230" s="10">
        <v>50</v>
      </c>
      <c r="I230" s="7">
        <f>ROUND(895.75,2)</f>
        <v>895.75</v>
      </c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7">
        <f>ROUND(20,2)</f>
        <v>20</v>
      </c>
      <c r="BU230" s="7">
        <f>ROUND(8,2)</f>
        <v>8</v>
      </c>
      <c r="BV230" s="6"/>
      <c r="BW230" s="6"/>
      <c r="BX230" s="6"/>
      <c r="BY230" s="7">
        <f>ROUND(152,2)</f>
        <v>152</v>
      </c>
      <c r="BZ230" s="6"/>
      <c r="CA230" s="6"/>
      <c r="CB230" s="7">
        <f>ROUND(1075.75,2)</f>
        <v>1075.75</v>
      </c>
      <c r="CC230" s="7">
        <f>ROUND(52677.8,2)</f>
        <v>52677.8</v>
      </c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7">
        <f>ROUND(631.2,2)</f>
        <v>631.20000000000005</v>
      </c>
      <c r="EF230" s="6"/>
      <c r="EG230" s="7">
        <f>ROUND(1000,2)</f>
        <v>1000</v>
      </c>
      <c r="EH230" s="7">
        <f>ROUND(1893.67,2)</f>
        <v>1893.67</v>
      </c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7">
        <f>ROUND(12624.48,2)</f>
        <v>12624.48</v>
      </c>
      <c r="ET230" s="6"/>
      <c r="EU230" s="6"/>
      <c r="EV230" s="7">
        <f>ROUND(68827.15,2)</f>
        <v>68827.149999999994</v>
      </c>
    </row>
    <row r="231" spans="1:152">
      <c r="A231" s="4" t="s">
        <v>637</v>
      </c>
      <c r="B231" s="4" t="s">
        <v>1058</v>
      </c>
      <c r="C231" s="5" t="s">
        <v>152</v>
      </c>
      <c r="D231" s="5" t="s">
        <v>270</v>
      </c>
      <c r="E231" s="5" t="s">
        <v>0</v>
      </c>
      <c r="F231" s="5" t="s">
        <v>0</v>
      </c>
      <c r="G231" s="5" t="s">
        <v>155</v>
      </c>
      <c r="H231" s="10">
        <v>28.88</v>
      </c>
      <c r="I231" s="6"/>
      <c r="J231" s="6"/>
      <c r="K231" s="6"/>
      <c r="L231" s="6"/>
      <c r="M231" s="7">
        <f>ROUND(1028.68999999999,2)</f>
        <v>1028.69</v>
      </c>
      <c r="N231" s="6"/>
      <c r="O231" s="6"/>
      <c r="P231" s="7">
        <f>ROUND(172.989999999999,2)</f>
        <v>172.99</v>
      </c>
      <c r="Q231" s="6"/>
      <c r="R231" s="6"/>
      <c r="S231" s="6"/>
      <c r="T231" s="6"/>
      <c r="U231" s="7">
        <f>ROUND(88.75,2)</f>
        <v>88.75</v>
      </c>
      <c r="V231" s="7">
        <f>ROUND(44.87,2)</f>
        <v>44.87</v>
      </c>
      <c r="W231" s="7">
        <f>ROUND(13.16,2)</f>
        <v>13.16</v>
      </c>
      <c r="X231" s="7">
        <f>ROUND(1.29,2)</f>
        <v>1.29</v>
      </c>
      <c r="Y231" s="6"/>
      <c r="Z231" s="6"/>
      <c r="AA231" s="6"/>
      <c r="AB231" s="6"/>
      <c r="AC231" s="7">
        <f>ROUND(170.85,2)</f>
        <v>170.85</v>
      </c>
      <c r="AD231" s="7">
        <f>ROUND(3.38,2)</f>
        <v>3.38</v>
      </c>
      <c r="AE231" s="6"/>
      <c r="AF231" s="7">
        <f>ROUND(669.24,2)</f>
        <v>669.24</v>
      </c>
      <c r="AG231" s="7">
        <f>ROUND(88.66,2)</f>
        <v>88.66</v>
      </c>
      <c r="AH231" s="7">
        <f>ROUND(88,2)</f>
        <v>88</v>
      </c>
      <c r="AI231" s="6"/>
      <c r="AJ231" s="7">
        <f>ROUND(8,2)</f>
        <v>8</v>
      </c>
      <c r="AK231" s="6"/>
      <c r="AL231" s="7">
        <f>ROUND(8,2)</f>
        <v>8</v>
      </c>
      <c r="AM231" s="6"/>
      <c r="AN231" s="6"/>
      <c r="AO231" s="6"/>
      <c r="AP231" s="6"/>
      <c r="AQ231" s="6"/>
      <c r="AR231" s="7">
        <f>ROUND(4,2)</f>
        <v>4</v>
      </c>
      <c r="AS231" s="6"/>
      <c r="AT231" s="6"/>
      <c r="AU231" s="6"/>
      <c r="AV231" s="7">
        <f>ROUND(1.67,2)</f>
        <v>1.67</v>
      </c>
      <c r="AW231" s="7">
        <f>ROUND(1.83,2)</f>
        <v>1.83</v>
      </c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7">
        <f>ROUND(32,2)</f>
        <v>32</v>
      </c>
      <c r="CB231" s="7">
        <f>ROUND(2425.38,2)</f>
        <v>2425.38</v>
      </c>
      <c r="CC231" s="6"/>
      <c r="CD231" s="6"/>
      <c r="CE231" s="6"/>
      <c r="CF231" s="6"/>
      <c r="CG231" s="7">
        <f>ROUND(22497.4899999999,2)</f>
        <v>22497.49</v>
      </c>
      <c r="CH231" s="6"/>
      <c r="CI231" s="6"/>
      <c r="CJ231" s="7">
        <f>ROUND(5586.54,2)</f>
        <v>5586.54</v>
      </c>
      <c r="CK231" s="6"/>
      <c r="CL231" s="6"/>
      <c r="CM231" s="6"/>
      <c r="CN231" s="6"/>
      <c r="CO231" s="7">
        <f>ROUND(1891.64,2)</f>
        <v>1891.64</v>
      </c>
      <c r="CP231" s="7">
        <f>ROUND(1548.1,2)</f>
        <v>1548.1</v>
      </c>
      <c r="CQ231" s="7">
        <f>ROUND(278.68,2)</f>
        <v>278.68</v>
      </c>
      <c r="CR231" s="7">
        <f>ROUND(41.59,2)</f>
        <v>41.59</v>
      </c>
      <c r="CS231" s="6"/>
      <c r="CT231" s="6"/>
      <c r="CU231" s="6"/>
      <c r="CV231" s="6"/>
      <c r="CW231" s="7">
        <f>ROUND(3635.74,2)</f>
        <v>3635.74</v>
      </c>
      <c r="CX231" s="7">
        <f>ROUND(105.63,2)</f>
        <v>105.63</v>
      </c>
      <c r="CY231" s="6"/>
      <c r="CZ231" s="6"/>
      <c r="DA231" s="7">
        <f>ROUND(14600.98,2)</f>
        <v>14600.98</v>
      </c>
      <c r="DB231" s="7">
        <f>ROUND(2940.23,2)</f>
        <v>2940.23</v>
      </c>
      <c r="DC231" s="7">
        <f>ROUND(1937.88,2)</f>
        <v>1937.88</v>
      </c>
      <c r="DD231" s="6"/>
      <c r="DE231" s="7">
        <f>ROUND(166.68,2)</f>
        <v>166.68</v>
      </c>
      <c r="DF231" s="6"/>
      <c r="DG231" s="6"/>
      <c r="DH231" s="6"/>
      <c r="DI231" s="7">
        <f>ROUND(166.68,2)</f>
        <v>166.68</v>
      </c>
      <c r="DJ231" s="6"/>
      <c r="DK231" s="6"/>
      <c r="DL231" s="6"/>
      <c r="DM231" s="6"/>
      <c r="DN231" s="6"/>
      <c r="DO231" s="6"/>
      <c r="DP231" s="7">
        <f>ROUND(83.64,2)</f>
        <v>83.64</v>
      </c>
      <c r="DQ231" s="6"/>
      <c r="DR231" s="7">
        <f>ROUND(500,2)</f>
        <v>500</v>
      </c>
      <c r="DS231" s="6"/>
      <c r="DT231" s="6"/>
      <c r="DU231" s="6"/>
      <c r="DV231" s="6"/>
      <c r="DW231" s="7">
        <f>ROUND(45.94,2)</f>
        <v>45.94</v>
      </c>
      <c r="DX231" s="7">
        <f>ROUND(57.19,2)</f>
        <v>57.19</v>
      </c>
      <c r="DY231" s="6"/>
      <c r="DZ231" s="6"/>
      <c r="EA231" s="6"/>
      <c r="EB231" s="6"/>
      <c r="EC231" s="6"/>
      <c r="ED231" s="6"/>
      <c r="EE231" s="7">
        <f>ROUND(2500,2)</f>
        <v>2500</v>
      </c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7">
        <f>ROUND(1500,2)</f>
        <v>1500</v>
      </c>
      <c r="ER231" s="6"/>
      <c r="ES231" s="6"/>
      <c r="ET231" s="6"/>
      <c r="EU231" s="7">
        <f>ROUND(875.52,2)</f>
        <v>875.52</v>
      </c>
      <c r="EV231" s="7">
        <f>ROUND(60960.1499999999,2)</f>
        <v>60960.15</v>
      </c>
    </row>
    <row r="232" spans="1:152">
      <c r="A232" s="4" t="s">
        <v>638</v>
      </c>
      <c r="B232" s="4" t="s">
        <v>1058</v>
      </c>
      <c r="C232" s="5" t="s">
        <v>152</v>
      </c>
      <c r="D232" s="5" t="s">
        <v>160</v>
      </c>
      <c r="E232" s="5" t="s">
        <v>0</v>
      </c>
      <c r="F232" s="5" t="s">
        <v>0</v>
      </c>
      <c r="G232" s="5" t="s">
        <v>155</v>
      </c>
      <c r="H232" s="10">
        <v>25.84</v>
      </c>
      <c r="I232" s="6"/>
      <c r="J232" s="6"/>
      <c r="K232" s="6"/>
      <c r="L232" s="6"/>
      <c r="M232" s="7">
        <f>ROUND(451.96,2)</f>
        <v>451.96</v>
      </c>
      <c r="N232" s="6"/>
      <c r="O232" s="6"/>
      <c r="P232" s="7">
        <f>ROUND(41.42,2)</f>
        <v>41.42</v>
      </c>
      <c r="Q232" s="6"/>
      <c r="R232" s="6"/>
      <c r="S232" s="6"/>
      <c r="T232" s="6"/>
      <c r="U232" s="6"/>
      <c r="V232" s="6"/>
      <c r="W232" s="7">
        <f>ROUND(1.91,2)</f>
        <v>1.91</v>
      </c>
      <c r="X232" s="7">
        <f>ROUND(0.5,2)</f>
        <v>0.5</v>
      </c>
      <c r="Y232" s="6"/>
      <c r="Z232" s="6"/>
      <c r="AA232" s="6"/>
      <c r="AB232" s="6"/>
      <c r="AC232" s="7">
        <f>ROUND(61.41,2)</f>
        <v>61.41</v>
      </c>
      <c r="AD232" s="7">
        <f>ROUND(11,2)</f>
        <v>11</v>
      </c>
      <c r="AE232" s="6"/>
      <c r="AF232" s="7">
        <f>ROUND(217.69,2)</f>
        <v>217.69</v>
      </c>
      <c r="AG232" s="7">
        <f>ROUND(29.08,2)</f>
        <v>29.08</v>
      </c>
      <c r="AH232" s="7">
        <f>ROUND(42,2)</f>
        <v>42</v>
      </c>
      <c r="AI232" s="6"/>
      <c r="AJ232" s="6"/>
      <c r="AK232" s="6"/>
      <c r="AL232" s="7">
        <f>ROUND(384,2)</f>
        <v>384</v>
      </c>
      <c r="AM232" s="6"/>
      <c r="AN232" s="7">
        <f>ROUND(4.62,2)</f>
        <v>4.62</v>
      </c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7">
        <f>ROUND(5.52,2)</f>
        <v>5.52</v>
      </c>
      <c r="BE232" s="7">
        <f>ROUND(6.5,2)</f>
        <v>6.5</v>
      </c>
      <c r="BF232" s="6"/>
      <c r="BG232" s="6"/>
      <c r="BH232" s="6"/>
      <c r="BI232" s="6"/>
      <c r="BJ232" s="7">
        <f>ROUND(8,2)</f>
        <v>8</v>
      </c>
      <c r="BK232" s="6"/>
      <c r="BL232" s="6"/>
      <c r="BM232" s="7">
        <f>ROUND(35.37,2)</f>
        <v>35.369999999999997</v>
      </c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7">
        <f>ROUND(24,2)</f>
        <v>24</v>
      </c>
      <c r="CB232" s="7">
        <f>ROUND(1324.98,2)</f>
        <v>1324.98</v>
      </c>
      <c r="CC232" s="6"/>
      <c r="CD232" s="6"/>
      <c r="CE232" s="6"/>
      <c r="CF232" s="6"/>
      <c r="CG232" s="7">
        <f>ROUND(10136.1099999999,2)</f>
        <v>10136.11</v>
      </c>
      <c r="CH232" s="6"/>
      <c r="CI232" s="6"/>
      <c r="CJ232" s="7">
        <f>ROUND(1416.56,2)</f>
        <v>1416.56</v>
      </c>
      <c r="CK232" s="6"/>
      <c r="CL232" s="6"/>
      <c r="CM232" s="6"/>
      <c r="CN232" s="6"/>
      <c r="CO232" s="6"/>
      <c r="CP232" s="6"/>
      <c r="CQ232" s="7">
        <f>ROUND(47.08,2)</f>
        <v>47.08</v>
      </c>
      <c r="CR232" s="7">
        <f>ROUND(19.38,2)</f>
        <v>19.38</v>
      </c>
      <c r="CS232" s="6"/>
      <c r="CT232" s="6"/>
      <c r="CU232" s="6"/>
      <c r="CV232" s="6"/>
      <c r="CW232" s="7">
        <f>ROUND(1362.35,2)</f>
        <v>1362.35</v>
      </c>
      <c r="CX232" s="7">
        <f>ROUND(376.64,2)</f>
        <v>376.64</v>
      </c>
      <c r="CY232" s="6"/>
      <c r="CZ232" s="6"/>
      <c r="DA232" s="7">
        <f>ROUND(4960.29,2)</f>
        <v>4960.29</v>
      </c>
      <c r="DB232" s="7">
        <f>ROUND(1015.8,2)</f>
        <v>1015.8</v>
      </c>
      <c r="DC232" s="7">
        <f>ROUND(921.8,2)</f>
        <v>921.8</v>
      </c>
      <c r="DD232" s="6"/>
      <c r="DE232" s="6"/>
      <c r="DF232" s="6"/>
      <c r="DG232" s="6"/>
      <c r="DH232" s="6"/>
      <c r="DI232" s="7">
        <f>ROUND(6853.4,2)</f>
        <v>6853.4</v>
      </c>
      <c r="DJ232" s="6"/>
      <c r="DK232" s="7">
        <f>ROUND(121.27,2)</f>
        <v>121.27</v>
      </c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7">
        <f>ROUND(75,2)</f>
        <v>75</v>
      </c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7">
        <f>ROUND(1651.28,2)</f>
        <v>1651.28</v>
      </c>
      <c r="ER232" s="6"/>
      <c r="ES232" s="6"/>
      <c r="ET232" s="6"/>
      <c r="EU232" s="7">
        <f>ROUND(620.16,2)</f>
        <v>620.16</v>
      </c>
      <c r="EV232" s="7">
        <f>ROUND(29577.12,2)</f>
        <v>29577.119999999999</v>
      </c>
    </row>
    <row r="233" spans="1:152">
      <c r="A233" s="4" t="s">
        <v>639</v>
      </c>
      <c r="B233" s="4" t="s">
        <v>1058</v>
      </c>
      <c r="C233" s="5" t="s">
        <v>152</v>
      </c>
      <c r="D233" s="5" t="s">
        <v>325</v>
      </c>
      <c r="E233" s="5" t="s">
        <v>0</v>
      </c>
      <c r="F233" s="5" t="s">
        <v>0</v>
      </c>
      <c r="G233" s="5" t="s">
        <v>155</v>
      </c>
      <c r="H233" s="10">
        <v>30.4</v>
      </c>
      <c r="I233" s="6"/>
      <c r="J233" s="6"/>
      <c r="K233" s="6"/>
      <c r="L233" s="6"/>
      <c r="M233" s="7">
        <f>ROUND(1412.32,2)</f>
        <v>1412.32</v>
      </c>
      <c r="N233" s="6"/>
      <c r="O233" s="6"/>
      <c r="P233" s="7">
        <f>ROUND(0.65,2)</f>
        <v>0.65</v>
      </c>
      <c r="Q233" s="6"/>
      <c r="R233" s="6"/>
      <c r="S233" s="6"/>
      <c r="T233" s="7">
        <f>ROUND(0.12,2)</f>
        <v>0.12</v>
      </c>
      <c r="U233" s="7">
        <f>ROUND(29.67,2)</f>
        <v>29.67</v>
      </c>
      <c r="V233" s="6"/>
      <c r="W233" s="7">
        <f>ROUND(0.5,2)</f>
        <v>0.5</v>
      </c>
      <c r="X233" s="6"/>
      <c r="Y233" s="6"/>
      <c r="Z233" s="6"/>
      <c r="AA233" s="6"/>
      <c r="AB233" s="6"/>
      <c r="AC233" s="6"/>
      <c r="AD233" s="6"/>
      <c r="AE233" s="6"/>
      <c r="AF233" s="7">
        <f>ROUND(8.5,2)</f>
        <v>8.5</v>
      </c>
      <c r="AG233" s="6"/>
      <c r="AH233" s="7">
        <f>ROUND(35,2)</f>
        <v>35</v>
      </c>
      <c r="AI233" s="6"/>
      <c r="AJ233" s="7">
        <f>ROUND(25,2)</f>
        <v>25</v>
      </c>
      <c r="AK233" s="6"/>
      <c r="AL233" s="7">
        <f>ROUND(8,2)</f>
        <v>8</v>
      </c>
      <c r="AM233" s="6"/>
      <c r="AN233" s="6"/>
      <c r="AO233" s="6"/>
      <c r="AP233" s="6"/>
      <c r="AQ233" s="6"/>
      <c r="AR233" s="7">
        <f>ROUND(2,2)</f>
        <v>2</v>
      </c>
      <c r="AS233" s="6"/>
      <c r="AT233" s="6"/>
      <c r="AU233" s="6"/>
      <c r="AV233" s="6"/>
      <c r="AW233" s="6"/>
      <c r="AX233" s="6"/>
      <c r="AY233" s="6"/>
      <c r="AZ233" s="6"/>
      <c r="BA233" s="6"/>
      <c r="BB233" s="7">
        <f>ROUND(15,2)</f>
        <v>15</v>
      </c>
      <c r="BC233" s="7">
        <f>ROUND(5,2)</f>
        <v>5</v>
      </c>
      <c r="BD233" s="7">
        <f>ROUND(3,2)</f>
        <v>3</v>
      </c>
      <c r="BE233" s="7">
        <f>ROUND(11.25,2)</f>
        <v>11.25</v>
      </c>
      <c r="BF233" s="6"/>
      <c r="BG233" s="6"/>
      <c r="BH233" s="7">
        <f>ROUND(5,2)</f>
        <v>5</v>
      </c>
      <c r="BI233" s="6"/>
      <c r="BJ233" s="7">
        <f>ROUND(10,2)</f>
        <v>10</v>
      </c>
      <c r="BK233" s="6"/>
      <c r="BL233" s="6"/>
      <c r="BM233" s="7">
        <f>ROUND(14.58,2)</f>
        <v>14.58</v>
      </c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7">
        <f>ROUND(1585.59,2)</f>
        <v>1585.59</v>
      </c>
      <c r="CC233" s="6"/>
      <c r="CD233" s="6"/>
      <c r="CE233" s="6"/>
      <c r="CF233" s="6"/>
      <c r="CG233" s="7">
        <f>ROUND(33243.28,2)</f>
        <v>33243.279999999999</v>
      </c>
      <c r="CH233" s="6"/>
      <c r="CI233" s="6"/>
      <c r="CJ233" s="7">
        <f>ROUND(21.94,2)</f>
        <v>21.94</v>
      </c>
      <c r="CK233" s="6"/>
      <c r="CL233" s="6"/>
      <c r="CM233" s="6"/>
      <c r="CN233" s="7">
        <f>ROUND(5.4,2)</f>
        <v>5.4</v>
      </c>
      <c r="CO233" s="7">
        <f>ROUND(667.6,2)</f>
        <v>667.6</v>
      </c>
      <c r="CP233" s="6"/>
      <c r="CQ233" s="7">
        <f>ROUND(11.26,2)</f>
        <v>11.26</v>
      </c>
      <c r="CR233" s="6"/>
      <c r="CS233" s="6"/>
      <c r="CT233" s="6"/>
      <c r="CU233" s="6"/>
      <c r="CV233" s="6"/>
      <c r="CW233" s="6"/>
      <c r="CX233" s="6"/>
      <c r="CY233" s="6"/>
      <c r="CZ233" s="6"/>
      <c r="DA233" s="7">
        <f>ROUND(191.26,2)</f>
        <v>191.26</v>
      </c>
      <c r="DB233" s="6"/>
      <c r="DC233" s="7">
        <f>ROUND(827.06,2)</f>
        <v>827.06</v>
      </c>
      <c r="DD233" s="6"/>
      <c r="DE233" s="7">
        <f>ROUND(562.54,2)</f>
        <v>562.54</v>
      </c>
      <c r="DF233" s="6"/>
      <c r="DG233" s="6"/>
      <c r="DH233" s="6"/>
      <c r="DI233" s="7">
        <f>ROUND(180.01,2)</f>
        <v>180.01</v>
      </c>
      <c r="DJ233" s="6"/>
      <c r="DK233" s="6"/>
      <c r="DL233" s="6"/>
      <c r="DM233" s="6"/>
      <c r="DN233" s="6"/>
      <c r="DO233" s="6"/>
      <c r="DP233" s="7">
        <f>ROUND(45,2)</f>
        <v>45</v>
      </c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7">
        <f>ROUND(425,2)</f>
        <v>425</v>
      </c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7">
        <f>ROUND(625,2)</f>
        <v>625</v>
      </c>
      <c r="ER233" s="6"/>
      <c r="ES233" s="6"/>
      <c r="ET233" s="6"/>
      <c r="EU233" s="6"/>
      <c r="EV233" s="7">
        <f>ROUND(36805.35,2)</f>
        <v>36805.35</v>
      </c>
    </row>
    <row r="234" spans="1:152">
      <c r="A234" s="4" t="s">
        <v>640</v>
      </c>
      <c r="B234" s="4" t="s">
        <v>1058</v>
      </c>
      <c r="C234" s="5" t="s">
        <v>152</v>
      </c>
      <c r="D234" s="5" t="s">
        <v>404</v>
      </c>
      <c r="E234" s="5" t="s">
        <v>0</v>
      </c>
      <c r="F234" s="5" t="s">
        <v>0</v>
      </c>
      <c r="G234" s="5" t="s">
        <v>155</v>
      </c>
      <c r="H234" s="10">
        <v>30.4</v>
      </c>
      <c r="I234" s="6"/>
      <c r="J234" s="6"/>
      <c r="K234" s="6"/>
      <c r="L234" s="6"/>
      <c r="M234" s="7">
        <f>ROUND(831.95,2)</f>
        <v>831.95</v>
      </c>
      <c r="N234" s="6"/>
      <c r="O234" s="6"/>
      <c r="P234" s="7">
        <f>ROUND(96.9399999999999,2)</f>
        <v>96.94</v>
      </c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7">
        <f>ROUND(821.79,2)</f>
        <v>821.79</v>
      </c>
      <c r="AD234" s="7">
        <f>ROUND(73,2)</f>
        <v>73</v>
      </c>
      <c r="AE234" s="6"/>
      <c r="AF234" s="6"/>
      <c r="AG234" s="6"/>
      <c r="AH234" s="7">
        <f>ROUND(67,2)</f>
        <v>67</v>
      </c>
      <c r="AI234" s="6"/>
      <c r="AJ234" s="7">
        <f>ROUND(200,2)</f>
        <v>200</v>
      </c>
      <c r="AK234" s="6"/>
      <c r="AL234" s="7">
        <f>ROUND(8.5,2)</f>
        <v>8.5</v>
      </c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7">
        <f>ROUND(8,2)</f>
        <v>8</v>
      </c>
      <c r="BC234" s="7">
        <f>ROUND(40,2)</f>
        <v>40</v>
      </c>
      <c r="BD234" s="7">
        <f>ROUND(7.75,2)</f>
        <v>7.75</v>
      </c>
      <c r="BE234" s="7">
        <f>ROUND(7.17,2)</f>
        <v>7.17</v>
      </c>
      <c r="BF234" s="7">
        <f>ROUND(42.84,2)</f>
        <v>42.84</v>
      </c>
      <c r="BG234" s="7">
        <f>ROUND(91.04,2)</f>
        <v>91.04</v>
      </c>
      <c r="BH234" s="7">
        <f>ROUND(16,2)</f>
        <v>16</v>
      </c>
      <c r="BI234" s="6"/>
      <c r="BJ234" s="7">
        <f>ROUND(32,2)</f>
        <v>32</v>
      </c>
      <c r="BK234" s="6"/>
      <c r="BL234" s="6"/>
      <c r="BM234" s="7">
        <f>ROUND(30.22,2)</f>
        <v>30.22</v>
      </c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7">
        <f>ROUND(2374.2,2)</f>
        <v>2374.1999999999998</v>
      </c>
      <c r="CC234" s="6"/>
      <c r="CD234" s="6"/>
      <c r="CE234" s="6"/>
      <c r="CF234" s="6"/>
      <c r="CG234" s="7">
        <f>ROUND(23112.27,2)</f>
        <v>23112.27</v>
      </c>
      <c r="CH234" s="6"/>
      <c r="CI234" s="6"/>
      <c r="CJ234" s="7">
        <f>ROUND(4075.91,2)</f>
        <v>4075.91</v>
      </c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7">
        <f>ROUND(23430.62,2)</f>
        <v>23430.62</v>
      </c>
      <c r="CX234" s="7">
        <f>ROUND(3179.85,2)</f>
        <v>3179.85</v>
      </c>
      <c r="CY234" s="6"/>
      <c r="CZ234" s="6"/>
      <c r="DA234" s="6"/>
      <c r="DB234" s="6"/>
      <c r="DC234" s="7">
        <f>ROUND(1882.22,2)</f>
        <v>1882.22</v>
      </c>
      <c r="DD234" s="6"/>
      <c r="DE234" s="7">
        <f>ROUND(5639.83999999999,2)</f>
        <v>5639.84</v>
      </c>
      <c r="DF234" s="6"/>
      <c r="DG234" s="6"/>
      <c r="DH234" s="6"/>
      <c r="DI234" s="7">
        <f>ROUND(236.13,2)</f>
        <v>236.13</v>
      </c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7">
        <f>ROUND(888.96,2)</f>
        <v>888.96</v>
      </c>
      <c r="ED234" s="7">
        <f>ROUND(222.24,2)</f>
        <v>222.24</v>
      </c>
      <c r="EE234" s="7">
        <f>ROUND(200,2)</f>
        <v>200</v>
      </c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7">
        <f>ROUND(1082.4,2)</f>
        <v>1082.4000000000001</v>
      </c>
      <c r="ER234" s="6"/>
      <c r="ES234" s="6"/>
      <c r="ET234" s="6"/>
      <c r="EU234" s="6"/>
      <c r="EV234" s="7">
        <f>ROUND(63950.44,2)</f>
        <v>63950.44</v>
      </c>
    </row>
    <row r="235" spans="1:152" ht="24">
      <c r="A235" s="4" t="s">
        <v>641</v>
      </c>
      <c r="B235" s="4"/>
      <c r="C235" s="5" t="s">
        <v>430</v>
      </c>
      <c r="D235" s="5" t="s">
        <v>642</v>
      </c>
      <c r="E235" s="5" t="s">
        <v>643</v>
      </c>
      <c r="F235" s="5" t="s">
        <v>0</v>
      </c>
      <c r="G235" s="5" t="s">
        <v>433</v>
      </c>
      <c r="H235" s="10">
        <v>1438.4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7">
        <f>ROUND(6,2)</f>
        <v>6</v>
      </c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7">
        <f>ROUND(8,2)</f>
        <v>8</v>
      </c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7">
        <f>ROUND(40,2)</f>
        <v>40</v>
      </c>
      <c r="BZ235" s="6"/>
      <c r="CA235" s="6"/>
      <c r="CB235" s="7">
        <f>ROUND(54,2)</f>
        <v>54</v>
      </c>
      <c r="CC235" s="7">
        <f>ROUND(25891.2,2)</f>
        <v>25891.200000000001</v>
      </c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7">
        <f>ROUND(2250,2)</f>
        <v>2250</v>
      </c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7">
        <f>ROUND(1726.08,2)</f>
        <v>1726.08</v>
      </c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7">
        <f>ROUND(4315.2,2)</f>
        <v>4315.2</v>
      </c>
      <c r="ET235" s="6"/>
      <c r="EU235" s="6"/>
      <c r="EV235" s="7">
        <f>ROUND(34182.48,2)</f>
        <v>34182.480000000003</v>
      </c>
    </row>
    <row r="236" spans="1:152" ht="24">
      <c r="A236" s="4" t="s">
        <v>644</v>
      </c>
      <c r="B236" s="4"/>
      <c r="C236" s="5" t="s">
        <v>277</v>
      </c>
      <c r="D236" s="5" t="s">
        <v>645</v>
      </c>
      <c r="E236" s="5" t="s">
        <v>0</v>
      </c>
      <c r="F236" s="5" t="s">
        <v>0</v>
      </c>
      <c r="G236" s="5" t="s">
        <v>646</v>
      </c>
      <c r="H236" s="10">
        <v>50</v>
      </c>
      <c r="I236" s="7">
        <f>ROUND(1928,2)</f>
        <v>1928</v>
      </c>
      <c r="J236" s="7">
        <f>ROUND(0,2)</f>
        <v>0</v>
      </c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7">
        <f>ROUND(32,2)</f>
        <v>32</v>
      </c>
      <c r="BU236" s="7">
        <f>ROUND(32,2)</f>
        <v>32</v>
      </c>
      <c r="BV236" s="6"/>
      <c r="BW236" s="6"/>
      <c r="BX236" s="7">
        <f>ROUND(88,2)</f>
        <v>88</v>
      </c>
      <c r="BY236" s="6"/>
      <c r="BZ236" s="6"/>
      <c r="CA236" s="6"/>
      <c r="CB236" s="7">
        <f>ROUND(2080,2)</f>
        <v>2080</v>
      </c>
      <c r="CC236" s="7">
        <f>ROUND(96400,2)</f>
        <v>96400</v>
      </c>
      <c r="CD236" s="7">
        <f>ROUND(0,2)</f>
        <v>0</v>
      </c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7">
        <f>ROUND(4800,2)</f>
        <v>4800</v>
      </c>
      <c r="EF236" s="6"/>
      <c r="EG236" s="7">
        <f>ROUND(1600,2)</f>
        <v>1600</v>
      </c>
      <c r="EH236" s="7">
        <f>ROUND(1600,2)</f>
        <v>1600</v>
      </c>
      <c r="EI236" s="6"/>
      <c r="EJ236" s="6"/>
      <c r="EK236" s="6"/>
      <c r="EL236" s="6"/>
      <c r="EM236" s="6"/>
      <c r="EN236" s="7">
        <f>ROUND(4400,2)</f>
        <v>4400</v>
      </c>
      <c r="EO236" s="6"/>
      <c r="EP236" s="6"/>
      <c r="EQ236" s="6"/>
      <c r="ER236" s="6"/>
      <c r="ES236" s="6"/>
      <c r="ET236" s="6"/>
      <c r="EU236" s="6"/>
      <c r="EV236" s="7">
        <f>ROUND(108800,2)</f>
        <v>108800</v>
      </c>
    </row>
    <row r="237" spans="1:152">
      <c r="A237" s="4" t="s">
        <v>647</v>
      </c>
      <c r="B237" s="4" t="s">
        <v>1058</v>
      </c>
      <c r="C237" s="5" t="s">
        <v>152</v>
      </c>
      <c r="D237" s="5" t="s">
        <v>160</v>
      </c>
      <c r="E237" s="5" t="s">
        <v>164</v>
      </c>
      <c r="F237" s="5" t="s">
        <v>0</v>
      </c>
      <c r="G237" s="5" t="s">
        <v>155</v>
      </c>
      <c r="H237" s="10">
        <v>17.5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7">
        <f>ROUND(10,2)</f>
        <v>10</v>
      </c>
      <c r="AI237" s="6"/>
      <c r="AJ237" s="6"/>
      <c r="AK237" s="6"/>
      <c r="AL237" s="7">
        <f>ROUND(151.88,2)</f>
        <v>151.88</v>
      </c>
      <c r="AM237" s="6"/>
      <c r="AN237" s="7">
        <f>ROUND(3.58,2)</f>
        <v>3.58</v>
      </c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7">
        <f>ROUND(35,2)</f>
        <v>35</v>
      </c>
      <c r="BD237" s="7">
        <f>ROUND(0.12,2)</f>
        <v>0.12</v>
      </c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7">
        <f>ROUND(200.579999999999,2)</f>
        <v>200.58</v>
      </c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7">
        <f>ROUND(87.5,2)</f>
        <v>87.5</v>
      </c>
      <c r="DD237" s="6"/>
      <c r="DE237" s="6"/>
      <c r="DF237" s="6"/>
      <c r="DG237" s="6"/>
      <c r="DH237" s="6"/>
      <c r="DI237" s="7">
        <f>ROUND(2657.9,2)</f>
        <v>2657.9</v>
      </c>
      <c r="DJ237" s="6"/>
      <c r="DK237" s="7">
        <f>ROUND(93.98,2)</f>
        <v>93.98</v>
      </c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7">
        <f>ROUND(2839.38,2)</f>
        <v>2839.38</v>
      </c>
    </row>
    <row r="238" spans="1:152">
      <c r="A238" s="4" t="s">
        <v>648</v>
      </c>
      <c r="B238" s="4"/>
      <c r="C238" s="5" t="s">
        <v>330</v>
      </c>
      <c r="D238" s="5" t="s">
        <v>361</v>
      </c>
      <c r="E238" s="5" t="s">
        <v>0</v>
      </c>
      <c r="F238" s="5" t="s">
        <v>0</v>
      </c>
      <c r="G238" s="5" t="s">
        <v>649</v>
      </c>
      <c r="H238" s="10">
        <v>1331.83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7">
        <f>ROUND(2,2)</f>
        <v>2</v>
      </c>
      <c r="AB238" s="7">
        <f>ROUND(19,2)</f>
        <v>19</v>
      </c>
      <c r="AC238" s="6"/>
      <c r="AD238" s="6"/>
      <c r="AE238" s="6"/>
      <c r="AF238" s="6"/>
      <c r="AG238" s="6"/>
      <c r="AH238" s="6"/>
      <c r="AI238" s="6"/>
      <c r="AJ238" s="6"/>
      <c r="AK238" s="7">
        <f>ROUND(16,2)</f>
        <v>16</v>
      </c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7">
        <f>ROUND(24,2)</f>
        <v>24</v>
      </c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7">
        <f>ROUND(32,2)</f>
        <v>32</v>
      </c>
      <c r="BU238" s="7">
        <f>ROUND(32,2)</f>
        <v>32</v>
      </c>
      <c r="BV238" s="6"/>
      <c r="BW238" s="6"/>
      <c r="BX238" s="6"/>
      <c r="BY238" s="7">
        <f>ROUND(256,2)</f>
        <v>256</v>
      </c>
      <c r="BZ238" s="6"/>
      <c r="CA238" s="6"/>
      <c r="CB238" s="7">
        <f>ROUND(381,2)</f>
        <v>381</v>
      </c>
      <c r="CC238" s="7">
        <f>ROUND(65189.13,2)</f>
        <v>65189.13</v>
      </c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7">
        <f>ROUND(750,2)</f>
        <v>750</v>
      </c>
      <c r="CV238" s="7">
        <f>ROUND(7125,2)</f>
        <v>7125</v>
      </c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7">
        <f>ROUND(2930.4,2)</f>
        <v>2930.4</v>
      </c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7">
        <f>ROUND(1267.69,2)</f>
        <v>1267.69</v>
      </c>
      <c r="ET238" s="6"/>
      <c r="EU238" s="6"/>
      <c r="EV238" s="7">
        <f>ROUND(77262.22,2)</f>
        <v>77262.22</v>
      </c>
    </row>
    <row r="239" spans="1:152">
      <c r="A239" s="4" t="s">
        <v>650</v>
      </c>
      <c r="B239" s="4" t="s">
        <v>1058</v>
      </c>
      <c r="C239" s="5" t="s">
        <v>152</v>
      </c>
      <c r="D239" s="5" t="s">
        <v>310</v>
      </c>
      <c r="E239" s="5" t="s">
        <v>0</v>
      </c>
      <c r="F239" s="5" t="s">
        <v>0</v>
      </c>
      <c r="G239" s="5" t="s">
        <v>155</v>
      </c>
      <c r="H239" s="10">
        <v>30.4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7">
        <f>ROUND(2096,2)</f>
        <v>2096</v>
      </c>
      <c r="BD239" s="6"/>
      <c r="BE239" s="6"/>
      <c r="BF239" s="6"/>
      <c r="BG239" s="6"/>
      <c r="BH239" s="7">
        <f>ROUND(56,2)</f>
        <v>56</v>
      </c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7">
        <f>ROUND(120,2)</f>
        <v>120</v>
      </c>
      <c r="CB239" s="7">
        <f>ROUND(2272,2)</f>
        <v>2272</v>
      </c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7">
        <f>ROUND(3648,2)</f>
        <v>3648</v>
      </c>
      <c r="EV239" s="7">
        <f>ROUND(3648,2)</f>
        <v>3648</v>
      </c>
    </row>
    <row r="240" spans="1:152">
      <c r="A240" s="4" t="s">
        <v>651</v>
      </c>
      <c r="B240" s="4" t="s">
        <v>1058</v>
      </c>
      <c r="C240" s="5" t="s">
        <v>152</v>
      </c>
      <c r="D240" s="5" t="s">
        <v>363</v>
      </c>
      <c r="E240" s="5" t="s">
        <v>0</v>
      </c>
      <c r="F240" s="5" t="s">
        <v>0</v>
      </c>
      <c r="G240" s="5" t="s">
        <v>155</v>
      </c>
      <c r="H240" s="10">
        <v>30.4</v>
      </c>
      <c r="I240" s="6"/>
      <c r="J240" s="6"/>
      <c r="K240" s="6"/>
      <c r="L240" s="6"/>
      <c r="M240" s="7">
        <f>ROUND(414.41,2)</f>
        <v>414.41</v>
      </c>
      <c r="N240" s="6"/>
      <c r="O240" s="6"/>
      <c r="P240" s="7">
        <f>ROUND(4.13,2)</f>
        <v>4.13</v>
      </c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7">
        <f>ROUND(385.159999999999,2)</f>
        <v>385.16</v>
      </c>
      <c r="AD240" s="6"/>
      <c r="AE240" s="6"/>
      <c r="AF240" s="6"/>
      <c r="AG240" s="6"/>
      <c r="AH240" s="7">
        <f>ROUND(32,2)</f>
        <v>32</v>
      </c>
      <c r="AI240" s="6"/>
      <c r="AJ240" s="6"/>
      <c r="AK240" s="6"/>
      <c r="AL240" s="7">
        <f>ROUND(8.5,2)</f>
        <v>8.5</v>
      </c>
      <c r="AM240" s="6"/>
      <c r="AN240" s="6"/>
      <c r="AO240" s="6"/>
      <c r="AP240" s="7">
        <f>ROUND(28.9399999999999,2)</f>
        <v>28.94</v>
      </c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7">
        <f>ROUND(16,2)</f>
        <v>16</v>
      </c>
      <c r="BC240" s="7">
        <f>ROUND(906.23,2)</f>
        <v>906.23</v>
      </c>
      <c r="BD240" s="7">
        <f>ROUND(31.92,2)</f>
        <v>31.92</v>
      </c>
      <c r="BE240" s="6"/>
      <c r="BF240" s="7">
        <f>ROUND(115.29,2)</f>
        <v>115.29</v>
      </c>
      <c r="BG240" s="7">
        <f>ROUND(204.22,2)</f>
        <v>204.22</v>
      </c>
      <c r="BH240" s="7">
        <f>ROUND(40,2)</f>
        <v>40</v>
      </c>
      <c r="BI240" s="6"/>
      <c r="BJ240" s="6"/>
      <c r="BK240" s="6"/>
      <c r="BL240" s="6"/>
      <c r="BM240" s="7">
        <f>ROUND(56,2)</f>
        <v>56</v>
      </c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7">
        <f>ROUND(40,2)</f>
        <v>40</v>
      </c>
      <c r="CB240" s="7">
        <f>ROUND(2282.79999999999,2)</f>
        <v>2282.8000000000002</v>
      </c>
      <c r="CC240" s="6"/>
      <c r="CD240" s="6"/>
      <c r="CE240" s="6"/>
      <c r="CF240" s="6"/>
      <c r="CG240" s="7">
        <f>ROUND(11512.8399999999,2)</f>
        <v>11512.84</v>
      </c>
      <c r="CH240" s="6"/>
      <c r="CI240" s="6"/>
      <c r="CJ240" s="7">
        <f>ROUND(172.09,2)</f>
        <v>172.09</v>
      </c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7">
        <f>ROUND(10699.76,2)</f>
        <v>10699.76</v>
      </c>
      <c r="CX240" s="6"/>
      <c r="CY240" s="6"/>
      <c r="CZ240" s="6"/>
      <c r="DA240" s="6"/>
      <c r="DB240" s="6"/>
      <c r="DC240" s="7">
        <f>ROUND(888.96,2)</f>
        <v>888.96</v>
      </c>
      <c r="DD240" s="6"/>
      <c r="DE240" s="6"/>
      <c r="DF240" s="6"/>
      <c r="DG240" s="6"/>
      <c r="DH240" s="6"/>
      <c r="DI240" s="7">
        <f>ROUND(236.13,2)</f>
        <v>236.13</v>
      </c>
      <c r="DJ240" s="6"/>
      <c r="DK240" s="6"/>
      <c r="DL240" s="6"/>
      <c r="DM240" s="7">
        <f>ROUND(803.96,2)</f>
        <v>803.96</v>
      </c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7">
        <f>ROUND(2259.07,2)</f>
        <v>2259.0700000000002</v>
      </c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7">
        <f>ROUND(580.56,2)</f>
        <v>580.55999999999995</v>
      </c>
      <c r="ER240" s="6"/>
      <c r="ES240" s="6"/>
      <c r="ET240" s="6"/>
      <c r="EU240" s="7">
        <f>ROUND(1216,2)</f>
        <v>1216</v>
      </c>
      <c r="EV240" s="7">
        <f>ROUND(28369.37,2)</f>
        <v>28369.37</v>
      </c>
    </row>
    <row r="241" spans="1:152">
      <c r="A241" s="4" t="s">
        <v>652</v>
      </c>
      <c r="B241" s="4"/>
      <c r="C241" s="5" t="s">
        <v>377</v>
      </c>
      <c r="D241" s="5" t="s">
        <v>653</v>
      </c>
      <c r="E241" s="5" t="s">
        <v>0</v>
      </c>
      <c r="F241" s="5" t="s">
        <v>0</v>
      </c>
      <c r="G241" s="5" t="s">
        <v>379</v>
      </c>
      <c r="H241" s="10">
        <v>22.95</v>
      </c>
      <c r="I241" s="7">
        <f>ROUND(1778.25,2)</f>
        <v>1778.25</v>
      </c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7">
        <f>ROUND(32,2)</f>
        <v>32</v>
      </c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7">
        <f>ROUND(40,2)</f>
        <v>40</v>
      </c>
      <c r="BU241" s="6"/>
      <c r="BV241" s="6"/>
      <c r="BW241" s="6"/>
      <c r="BX241" s="7">
        <f>ROUND(64,2)</f>
        <v>64</v>
      </c>
      <c r="BY241" s="7">
        <f>ROUND(40,2)</f>
        <v>40</v>
      </c>
      <c r="BZ241" s="6"/>
      <c r="CA241" s="6"/>
      <c r="CB241" s="7">
        <f>ROUND(1954.25,2)</f>
        <v>1954.25</v>
      </c>
      <c r="CC241" s="7">
        <f>ROUND(38887.59,2)</f>
        <v>38887.589999999997</v>
      </c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7">
        <f>ROUND(702.72,2)</f>
        <v>702.72</v>
      </c>
      <c r="EE241" s="7">
        <f>ROUND(2203.2,2)</f>
        <v>2203.1999999999998</v>
      </c>
      <c r="EF241" s="6"/>
      <c r="EG241" s="7">
        <f>ROUND(875.76,2)</f>
        <v>875.76</v>
      </c>
      <c r="EH241" s="6"/>
      <c r="EI241" s="6"/>
      <c r="EJ241" s="6"/>
      <c r="EK241" s="6"/>
      <c r="EL241" s="6"/>
      <c r="EM241" s="6"/>
      <c r="EN241" s="7">
        <f>ROUND(1398.78,2)</f>
        <v>1398.78</v>
      </c>
      <c r="EO241" s="6"/>
      <c r="EP241" s="6"/>
      <c r="EQ241" s="6"/>
      <c r="ER241" s="6"/>
      <c r="ES241" s="7">
        <f>ROUND(865.199999999999,2)</f>
        <v>865.2</v>
      </c>
      <c r="ET241" s="6"/>
      <c r="EU241" s="6"/>
      <c r="EV241" s="7">
        <f>ROUND(44933.25,2)</f>
        <v>44933.25</v>
      </c>
    </row>
    <row r="242" spans="1:152">
      <c r="A242" s="4" t="s">
        <v>654</v>
      </c>
      <c r="B242" s="4" t="s">
        <v>1058</v>
      </c>
      <c r="C242" s="5" t="s">
        <v>152</v>
      </c>
      <c r="D242" s="5" t="s">
        <v>562</v>
      </c>
      <c r="E242" s="5" t="s">
        <v>0</v>
      </c>
      <c r="F242" s="5" t="s">
        <v>0</v>
      </c>
      <c r="G242" s="5" t="s">
        <v>155</v>
      </c>
      <c r="H242" s="10">
        <v>30.4</v>
      </c>
      <c r="I242" s="6"/>
      <c r="J242" s="6"/>
      <c r="K242" s="6"/>
      <c r="L242" s="6"/>
      <c r="M242" s="7">
        <f>ROUND(836.31,2)</f>
        <v>836.31</v>
      </c>
      <c r="N242" s="6"/>
      <c r="O242" s="6"/>
      <c r="P242" s="7">
        <f>ROUND(126.259999999999,2)</f>
        <v>126.26</v>
      </c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7">
        <f>ROUND(964.42,2)</f>
        <v>964.42</v>
      </c>
      <c r="AD242" s="7">
        <f>ROUND(8.88,2)</f>
        <v>8.8800000000000008</v>
      </c>
      <c r="AE242" s="6"/>
      <c r="AF242" s="6"/>
      <c r="AG242" s="6"/>
      <c r="AH242" s="7">
        <f>ROUND(72,2)</f>
        <v>72</v>
      </c>
      <c r="AI242" s="6"/>
      <c r="AJ242" s="7">
        <f>ROUND(160,2)</f>
        <v>160</v>
      </c>
      <c r="AK242" s="6"/>
      <c r="AL242" s="7">
        <f>ROUND(8,2)</f>
        <v>8</v>
      </c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7">
        <f>ROUND(24,2)</f>
        <v>24</v>
      </c>
      <c r="BC242" s="7">
        <f>ROUND(8,2)</f>
        <v>8</v>
      </c>
      <c r="BD242" s="7">
        <f>ROUND(4.13,2)</f>
        <v>4.13</v>
      </c>
      <c r="BE242" s="6"/>
      <c r="BF242" s="6"/>
      <c r="BG242" s="6"/>
      <c r="BH242" s="7">
        <f>ROUND(8,2)</f>
        <v>8</v>
      </c>
      <c r="BI242" s="6"/>
      <c r="BJ242" s="7">
        <f>ROUND(8,2)</f>
        <v>8</v>
      </c>
      <c r="BK242" s="6"/>
      <c r="BL242" s="6"/>
      <c r="BM242" s="7">
        <f>ROUND(22.25,2)</f>
        <v>22.25</v>
      </c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7">
        <f>ROUND(2250.25,2)</f>
        <v>2250.25</v>
      </c>
      <c r="CC242" s="6"/>
      <c r="CD242" s="6"/>
      <c r="CE242" s="6"/>
      <c r="CF242" s="6"/>
      <c r="CG242" s="7">
        <f>ROUND(23470.26,2)</f>
        <v>23470.26</v>
      </c>
      <c r="CH242" s="6"/>
      <c r="CI242" s="6"/>
      <c r="CJ242" s="7">
        <f>ROUND(5271.49999999999,2)</f>
        <v>5271.5</v>
      </c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7">
        <f>ROUND(27412.61,2)</f>
        <v>27412.61</v>
      </c>
      <c r="CX242" s="7">
        <f>ROUND(370.219999999999,2)</f>
        <v>370.22</v>
      </c>
      <c r="CY242" s="6"/>
      <c r="CZ242" s="6"/>
      <c r="DA242" s="6"/>
      <c r="DB242" s="6"/>
      <c r="DC242" s="7">
        <f>ROUND(2021.12,2)</f>
        <v>2021.12</v>
      </c>
      <c r="DD242" s="6"/>
      <c r="DE242" s="7">
        <f>ROUND(4444.8,2)</f>
        <v>4444.8</v>
      </c>
      <c r="DF242" s="6"/>
      <c r="DG242" s="6"/>
      <c r="DH242" s="6"/>
      <c r="DI242" s="7">
        <f>ROUND(222.24,2)</f>
        <v>222.24</v>
      </c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7">
        <f>ROUND(1050,2)</f>
        <v>1050</v>
      </c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7">
        <f>ROUND(1250,2)</f>
        <v>1250</v>
      </c>
      <c r="ER242" s="6"/>
      <c r="ES242" s="6"/>
      <c r="ET242" s="6"/>
      <c r="EU242" s="6"/>
      <c r="EV242" s="7">
        <f>ROUND(65512.7499999999,2)</f>
        <v>65512.75</v>
      </c>
    </row>
    <row r="243" spans="1:152">
      <c r="A243" s="4" t="s">
        <v>655</v>
      </c>
      <c r="B243" s="4" t="s">
        <v>1058</v>
      </c>
      <c r="C243" s="5" t="s">
        <v>152</v>
      </c>
      <c r="D243" s="5" t="s">
        <v>656</v>
      </c>
      <c r="E243" s="5" t="s">
        <v>657</v>
      </c>
      <c r="F243" s="5" t="s">
        <v>0</v>
      </c>
      <c r="G243" s="5" t="s">
        <v>155</v>
      </c>
      <c r="H243" s="10">
        <v>25</v>
      </c>
      <c r="I243" s="6"/>
      <c r="J243" s="6"/>
      <c r="K243" s="6"/>
      <c r="L243" s="6"/>
      <c r="M243" s="7">
        <f>ROUND(191.22,2)</f>
        <v>191.22</v>
      </c>
      <c r="N243" s="6"/>
      <c r="O243" s="6"/>
      <c r="P243" s="6"/>
      <c r="Q243" s="6"/>
      <c r="R243" s="6"/>
      <c r="S243" s="6"/>
      <c r="T243" s="6"/>
      <c r="U243" s="7">
        <f>ROUND(6,2)</f>
        <v>6</v>
      </c>
      <c r="V243" s="6"/>
      <c r="W243" s="7">
        <f>ROUND(0.67,2)</f>
        <v>0.67</v>
      </c>
      <c r="X243" s="6"/>
      <c r="Y243" s="6"/>
      <c r="Z243" s="6"/>
      <c r="AA243" s="6"/>
      <c r="AB243" s="6"/>
      <c r="AC243" s="7">
        <f>ROUND(31.83,2)</f>
        <v>31.83</v>
      </c>
      <c r="AD243" s="6"/>
      <c r="AE243" s="6"/>
      <c r="AF243" s="7">
        <f>ROUND(47.01,2)</f>
        <v>47.01</v>
      </c>
      <c r="AG243" s="7">
        <f>ROUND(1.88,2)</f>
        <v>1.88</v>
      </c>
      <c r="AH243" s="7">
        <f>ROUND(8,2)</f>
        <v>8</v>
      </c>
      <c r="AI243" s="6"/>
      <c r="AJ243" s="7">
        <f>ROUND(8,2)</f>
        <v>8</v>
      </c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7">
        <f>ROUND(160,2)</f>
        <v>160</v>
      </c>
      <c r="BD243" s="7">
        <f>ROUND(10.83,2)</f>
        <v>10.83</v>
      </c>
      <c r="BE243" s="6"/>
      <c r="BF243" s="7">
        <f>ROUND(200.609999999999,2)</f>
        <v>200.61</v>
      </c>
      <c r="BG243" s="7">
        <f>ROUND(38.55,2)</f>
        <v>38.549999999999997</v>
      </c>
      <c r="BH243" s="7">
        <f>ROUND(8,2)</f>
        <v>8</v>
      </c>
      <c r="BI243" s="6"/>
      <c r="BJ243" s="7">
        <f>ROUND(8,2)</f>
        <v>8</v>
      </c>
      <c r="BK243" s="6"/>
      <c r="BL243" s="7">
        <f>ROUND(32,2)</f>
        <v>32</v>
      </c>
      <c r="BM243" s="7">
        <f>ROUND(40,2)</f>
        <v>40</v>
      </c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7">
        <f>ROUND(792.599999999999,2)</f>
        <v>792.6</v>
      </c>
      <c r="CC243" s="6"/>
      <c r="CD243" s="6"/>
      <c r="CE243" s="6"/>
      <c r="CF243" s="6"/>
      <c r="CG243" s="7">
        <f>ROUND(4792.93,2)</f>
        <v>4792.93</v>
      </c>
      <c r="CH243" s="6"/>
      <c r="CI243" s="6"/>
      <c r="CJ243" s="6"/>
      <c r="CK243" s="6"/>
      <c r="CL243" s="6"/>
      <c r="CM243" s="6"/>
      <c r="CN243" s="6"/>
      <c r="CO243" s="7">
        <f>ROUND(150.29,2)</f>
        <v>150.29</v>
      </c>
      <c r="CP243" s="6"/>
      <c r="CQ243" s="7">
        <f>ROUND(16.75,2)</f>
        <v>16.75</v>
      </c>
      <c r="CR243" s="6"/>
      <c r="CS243" s="6"/>
      <c r="CT243" s="6"/>
      <c r="CU243" s="6"/>
      <c r="CV243" s="6"/>
      <c r="CW243" s="7">
        <f>ROUND(799.36,2)</f>
        <v>799.36</v>
      </c>
      <c r="CX243" s="6"/>
      <c r="CY243" s="6"/>
      <c r="CZ243" s="6"/>
      <c r="DA243" s="7">
        <f>ROUND(1176.21,2)</f>
        <v>1176.21</v>
      </c>
      <c r="DB243" s="7">
        <f>ROUND(70.5,2)</f>
        <v>70.5</v>
      </c>
      <c r="DC243" s="7">
        <f>ROUND(200.01,2)</f>
        <v>200.01</v>
      </c>
      <c r="DD243" s="6"/>
      <c r="DE243" s="7">
        <f>ROUND(200.01,2)</f>
        <v>200.01</v>
      </c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7">
        <f>ROUND(1000.04,2)</f>
        <v>1000.04</v>
      </c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7">
        <f>ROUND(8406.1,2)</f>
        <v>8406.1</v>
      </c>
    </row>
    <row r="244" spans="1:152">
      <c r="A244" s="4" t="s">
        <v>658</v>
      </c>
      <c r="B244" s="4" t="s">
        <v>1058</v>
      </c>
      <c r="C244" s="5" t="s">
        <v>152</v>
      </c>
      <c r="D244" s="5" t="s">
        <v>310</v>
      </c>
      <c r="E244" s="5" t="s">
        <v>0</v>
      </c>
      <c r="F244" s="5" t="s">
        <v>0</v>
      </c>
      <c r="G244" s="5" t="s">
        <v>155</v>
      </c>
      <c r="H244" s="10">
        <v>30.4</v>
      </c>
      <c r="I244" s="6"/>
      <c r="J244" s="6"/>
      <c r="K244" s="6"/>
      <c r="L244" s="6"/>
      <c r="M244" s="7">
        <f>ROUND(1002.87999999999,2)</f>
        <v>1002.88</v>
      </c>
      <c r="N244" s="6"/>
      <c r="O244" s="6"/>
      <c r="P244" s="7">
        <f>ROUND(139.1,2)</f>
        <v>139.1</v>
      </c>
      <c r="Q244" s="6"/>
      <c r="R244" s="6"/>
      <c r="S244" s="6"/>
      <c r="T244" s="6"/>
      <c r="U244" s="7">
        <f>ROUND(31.52,2)</f>
        <v>31.52</v>
      </c>
      <c r="V244" s="6"/>
      <c r="W244" s="7">
        <f>ROUND(9.52,2)</f>
        <v>9.52</v>
      </c>
      <c r="X244" s="7">
        <f>ROUND(2.78,2)</f>
        <v>2.78</v>
      </c>
      <c r="Y244" s="6"/>
      <c r="Z244" s="6"/>
      <c r="AA244" s="6"/>
      <c r="AB244" s="6"/>
      <c r="AC244" s="7">
        <f>ROUND(143.14,2)</f>
        <v>143.13999999999999</v>
      </c>
      <c r="AD244" s="7">
        <f>ROUND(18.6199999999999,2)</f>
        <v>18.62</v>
      </c>
      <c r="AE244" s="6"/>
      <c r="AF244" s="7">
        <f>ROUND(663.55,2)</f>
        <v>663.55</v>
      </c>
      <c r="AG244" s="7">
        <f>ROUND(57.6499999999999,2)</f>
        <v>57.65</v>
      </c>
      <c r="AH244" s="7">
        <f>ROUND(80,2)</f>
        <v>80</v>
      </c>
      <c r="AI244" s="6"/>
      <c r="AJ244" s="7">
        <f>ROUND(120,2)</f>
        <v>120</v>
      </c>
      <c r="AK244" s="6"/>
      <c r="AL244" s="7">
        <f>ROUND(8,2)</f>
        <v>8</v>
      </c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7">
        <f>ROUND(4.25,2)</f>
        <v>4.25</v>
      </c>
      <c r="AZ244" s="6"/>
      <c r="BA244" s="6"/>
      <c r="BB244" s="7">
        <f>ROUND(24,2)</f>
        <v>24</v>
      </c>
      <c r="BC244" s="6"/>
      <c r="BD244" s="7">
        <f>ROUND(1.67,2)</f>
        <v>1.67</v>
      </c>
      <c r="BE244" s="7">
        <f>ROUND(8.83,2)</f>
        <v>8.83</v>
      </c>
      <c r="BF244" s="6"/>
      <c r="BG244" s="6"/>
      <c r="BH244" s="6"/>
      <c r="BI244" s="6"/>
      <c r="BJ244" s="6"/>
      <c r="BK244" s="6"/>
      <c r="BL244" s="6"/>
      <c r="BM244" s="7">
        <f>ROUND(6.37,2)</f>
        <v>6.37</v>
      </c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7">
        <f>ROUND(2321.88,2)</f>
        <v>2321.88</v>
      </c>
      <c r="CC244" s="6"/>
      <c r="CD244" s="6"/>
      <c r="CE244" s="6"/>
      <c r="CF244" s="6"/>
      <c r="CG244" s="7">
        <f>ROUND(28410.11,2)</f>
        <v>28410.11</v>
      </c>
      <c r="CH244" s="6"/>
      <c r="CI244" s="6"/>
      <c r="CJ244" s="7">
        <f>ROUND(5920.65,2)</f>
        <v>5920.65</v>
      </c>
      <c r="CK244" s="6"/>
      <c r="CL244" s="6"/>
      <c r="CM244" s="6"/>
      <c r="CN244" s="6"/>
      <c r="CO244" s="7">
        <f>ROUND(875.63,2)</f>
        <v>875.63</v>
      </c>
      <c r="CP244" s="6"/>
      <c r="CQ244" s="7">
        <f>ROUND(272.29,2)</f>
        <v>272.29000000000002</v>
      </c>
      <c r="CR244" s="7">
        <f>ROUND(118.91,2)</f>
        <v>118.91</v>
      </c>
      <c r="CS244" s="6"/>
      <c r="CT244" s="6"/>
      <c r="CU244" s="6"/>
      <c r="CV244" s="6"/>
      <c r="CW244" s="7">
        <f>ROUND(4023.55999999999,2)</f>
        <v>4023.56</v>
      </c>
      <c r="CX244" s="7">
        <f>ROUND(776.8,2)</f>
        <v>776.8</v>
      </c>
      <c r="CY244" s="6"/>
      <c r="CZ244" s="6"/>
      <c r="DA244" s="7">
        <f>ROUND(18651.6799999999,2)</f>
        <v>18651.68</v>
      </c>
      <c r="DB244" s="7">
        <f>ROUND(2408.13,2)</f>
        <v>2408.13</v>
      </c>
      <c r="DC244" s="7">
        <f>ROUND(2264.32,2)</f>
        <v>2264.3200000000002</v>
      </c>
      <c r="DD244" s="6"/>
      <c r="DE244" s="7">
        <f>ROUND(3333.6,2)</f>
        <v>3333.6</v>
      </c>
      <c r="DF244" s="6"/>
      <c r="DG244" s="6"/>
      <c r="DH244" s="6"/>
      <c r="DI244" s="7">
        <f>ROUND(222.24,2)</f>
        <v>222.24</v>
      </c>
      <c r="DJ244" s="6"/>
      <c r="DK244" s="6"/>
      <c r="DL244" s="6"/>
      <c r="DM244" s="6"/>
      <c r="DN244" s="6"/>
      <c r="DO244" s="6"/>
      <c r="DP244" s="6"/>
      <c r="DQ244" s="6"/>
      <c r="DR244" s="7">
        <f>ROUND(500,2)</f>
        <v>500</v>
      </c>
      <c r="DS244" s="6"/>
      <c r="DT244" s="6"/>
      <c r="DU244" s="6"/>
      <c r="DV244" s="6"/>
      <c r="DW244" s="6"/>
      <c r="DX244" s="6"/>
      <c r="DY244" s="6"/>
      <c r="DZ244" s="7">
        <f>ROUND(178.05,2)</f>
        <v>178.05</v>
      </c>
      <c r="EA244" s="6"/>
      <c r="EB244" s="6"/>
      <c r="EC244" s="6"/>
      <c r="ED244" s="6"/>
      <c r="EE244" s="7">
        <f>ROUND(1225,2)</f>
        <v>1225</v>
      </c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7">
        <f>ROUND(1250,2)</f>
        <v>1250</v>
      </c>
      <c r="ER244" s="6"/>
      <c r="ES244" s="6"/>
      <c r="ET244" s="6"/>
      <c r="EU244" s="6"/>
      <c r="EV244" s="7">
        <f>ROUND(70430.9699999999,2)</f>
        <v>70430.97</v>
      </c>
    </row>
    <row r="245" spans="1:152">
      <c r="A245" s="4" t="s">
        <v>659</v>
      </c>
      <c r="B245" s="4" t="s">
        <v>1058</v>
      </c>
      <c r="C245" s="5" t="s">
        <v>152</v>
      </c>
      <c r="D245" s="5" t="s">
        <v>411</v>
      </c>
      <c r="E245" s="5" t="s">
        <v>660</v>
      </c>
      <c r="F245" s="5" t="s">
        <v>0</v>
      </c>
      <c r="G245" s="5" t="s">
        <v>155</v>
      </c>
      <c r="H245" s="10">
        <v>27.78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</row>
    <row r="246" spans="1:152">
      <c r="A246" s="4" t="s">
        <v>661</v>
      </c>
      <c r="B246" s="4" t="s">
        <v>1058</v>
      </c>
      <c r="C246" s="5" t="s">
        <v>152</v>
      </c>
      <c r="D246" s="5" t="s">
        <v>662</v>
      </c>
      <c r="E246" s="5" t="s">
        <v>0</v>
      </c>
      <c r="F246" s="5" t="s">
        <v>0</v>
      </c>
      <c r="G246" s="5" t="s">
        <v>155</v>
      </c>
      <c r="H246" s="10">
        <v>30.4</v>
      </c>
      <c r="I246" s="6"/>
      <c r="J246" s="6"/>
      <c r="K246" s="6"/>
      <c r="L246" s="6"/>
      <c r="M246" s="7">
        <f>ROUND(1545.11,2)</f>
        <v>1545.11</v>
      </c>
      <c r="N246" s="6"/>
      <c r="O246" s="6"/>
      <c r="P246" s="7">
        <f>ROUND(417.55,2)</f>
        <v>417.55</v>
      </c>
      <c r="Q246" s="6"/>
      <c r="R246" s="6"/>
      <c r="S246" s="6"/>
      <c r="T246" s="6"/>
      <c r="U246" s="6"/>
      <c r="V246" s="7">
        <f>ROUND(5.25,2)</f>
        <v>5.25</v>
      </c>
      <c r="W246" s="6"/>
      <c r="X246" s="6"/>
      <c r="Y246" s="6"/>
      <c r="Z246" s="6"/>
      <c r="AA246" s="6"/>
      <c r="AB246" s="6"/>
      <c r="AC246" s="7">
        <f>ROUND(293.72,2)</f>
        <v>293.72000000000003</v>
      </c>
      <c r="AD246" s="7">
        <f>ROUND(160.78,2)</f>
        <v>160.78</v>
      </c>
      <c r="AE246" s="6"/>
      <c r="AF246" s="6"/>
      <c r="AG246" s="7">
        <f>ROUND(7.33,2)</f>
        <v>7.33</v>
      </c>
      <c r="AH246" s="7">
        <f>ROUND(96,2)</f>
        <v>96</v>
      </c>
      <c r="AI246" s="6"/>
      <c r="AJ246" s="7">
        <f>ROUND(136,2)</f>
        <v>136</v>
      </c>
      <c r="AK246" s="6"/>
      <c r="AL246" s="7">
        <f>ROUND(10.17,2)</f>
        <v>10.17</v>
      </c>
      <c r="AM246" s="7">
        <f>ROUND(5.17,2)</f>
        <v>5.17</v>
      </c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7">
        <f>ROUND(6.17,2)</f>
        <v>6.17</v>
      </c>
      <c r="BF246" s="6"/>
      <c r="BG246" s="6"/>
      <c r="BH246" s="6"/>
      <c r="BI246" s="6"/>
      <c r="BJ246" s="6"/>
      <c r="BK246" s="6"/>
      <c r="BL246" s="6"/>
      <c r="BM246" s="7">
        <f>ROUND(10.5,2)</f>
        <v>10.5</v>
      </c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7">
        <f>ROUND(104,2)</f>
        <v>104</v>
      </c>
      <c r="CB246" s="7">
        <f>ROUND(2797.75,2)</f>
        <v>2797.75</v>
      </c>
      <c r="CC246" s="6"/>
      <c r="CD246" s="6"/>
      <c r="CE246" s="6"/>
      <c r="CF246" s="6"/>
      <c r="CG246" s="7">
        <f>ROUND(43013.0199999999,2)</f>
        <v>43013.02</v>
      </c>
      <c r="CH246" s="6"/>
      <c r="CI246" s="6"/>
      <c r="CJ246" s="7">
        <f>ROUND(17509.37,2)</f>
        <v>17509.37</v>
      </c>
      <c r="CK246" s="6"/>
      <c r="CL246" s="6"/>
      <c r="CM246" s="6"/>
      <c r="CN246" s="6"/>
      <c r="CO246" s="6"/>
      <c r="CP246" s="7">
        <f>ROUND(218.77,2)</f>
        <v>218.77</v>
      </c>
      <c r="CQ246" s="6"/>
      <c r="CR246" s="6"/>
      <c r="CS246" s="6"/>
      <c r="CT246" s="6"/>
      <c r="CU246" s="6"/>
      <c r="CV246" s="6"/>
      <c r="CW246" s="7">
        <f>ROUND(8678.31,2)</f>
        <v>8678.31</v>
      </c>
      <c r="CX246" s="7">
        <f>ROUND(7003.09999999999,2)</f>
        <v>7003.1</v>
      </c>
      <c r="CY246" s="6"/>
      <c r="CZ246" s="6"/>
      <c r="DA246" s="6"/>
      <c r="DB246" s="7">
        <f>ROUND(305.44,2)</f>
        <v>305.44</v>
      </c>
      <c r="DC246" s="7">
        <f>ROUND(2729.75999999999,2)</f>
        <v>2729.76</v>
      </c>
      <c r="DD246" s="6"/>
      <c r="DE246" s="7">
        <f>ROUND(3840.95999999999,2)</f>
        <v>3840.96</v>
      </c>
      <c r="DF246" s="6"/>
      <c r="DG246" s="7">
        <f>ROUND(500,2)</f>
        <v>500</v>
      </c>
      <c r="DH246" s="6"/>
      <c r="DI246" s="7">
        <f>ROUND(282.52,2)</f>
        <v>282.52</v>
      </c>
      <c r="DJ246" s="7">
        <f>ROUND(215.43,2)</f>
        <v>215.43</v>
      </c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7">
        <f>ROUND(1500,2)</f>
        <v>1500</v>
      </c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7">
        <f>ROUND(1250,2)</f>
        <v>1250</v>
      </c>
      <c r="ER246" s="6"/>
      <c r="ES246" s="6"/>
      <c r="ET246" s="6"/>
      <c r="EU246" s="7">
        <f>ROUND(3161.6,2)</f>
        <v>3161.6</v>
      </c>
      <c r="EV246" s="7">
        <f>ROUND(90208.28,2)</f>
        <v>90208.28</v>
      </c>
    </row>
    <row r="247" spans="1:152">
      <c r="A247" s="4" t="s">
        <v>663</v>
      </c>
      <c r="B247" s="4" t="s">
        <v>1058</v>
      </c>
      <c r="C247" s="5" t="s">
        <v>152</v>
      </c>
      <c r="D247" s="5" t="s">
        <v>270</v>
      </c>
      <c r="E247" s="5" t="s">
        <v>0</v>
      </c>
      <c r="F247" s="5" t="s">
        <v>0</v>
      </c>
      <c r="G247" s="5" t="s">
        <v>155</v>
      </c>
      <c r="H247" s="10">
        <v>28.88</v>
      </c>
      <c r="I247" s="6"/>
      <c r="J247" s="6"/>
      <c r="K247" s="6"/>
      <c r="L247" s="6"/>
      <c r="M247" s="7">
        <f>ROUND(1115.58,2)</f>
        <v>1115.58</v>
      </c>
      <c r="N247" s="6"/>
      <c r="O247" s="6"/>
      <c r="P247" s="7">
        <f>ROUND(166.06,2)</f>
        <v>166.06</v>
      </c>
      <c r="Q247" s="6"/>
      <c r="R247" s="6"/>
      <c r="S247" s="6"/>
      <c r="T247" s="6"/>
      <c r="U247" s="7">
        <f>ROUND(43.83,2)</f>
        <v>43.83</v>
      </c>
      <c r="V247" s="7">
        <f>ROUND(5.83,2)</f>
        <v>5.83</v>
      </c>
      <c r="W247" s="7">
        <f>ROUND(9.31,2)</f>
        <v>9.31</v>
      </c>
      <c r="X247" s="7">
        <f>ROUND(2.47,2)</f>
        <v>2.4700000000000002</v>
      </c>
      <c r="Y247" s="6"/>
      <c r="Z247" s="6"/>
      <c r="AA247" s="6"/>
      <c r="AB247" s="6"/>
      <c r="AC247" s="7">
        <f>ROUND(128.53,2)</f>
        <v>128.53</v>
      </c>
      <c r="AD247" s="7">
        <f>ROUND(16.27,2)</f>
        <v>16.27</v>
      </c>
      <c r="AE247" s="6"/>
      <c r="AF247" s="7">
        <f>ROUND(629.509999999999,2)</f>
        <v>629.51</v>
      </c>
      <c r="AG247" s="7">
        <f>ROUND(100.86,2)</f>
        <v>100.86</v>
      </c>
      <c r="AH247" s="7">
        <f>ROUND(80,2)</f>
        <v>80</v>
      </c>
      <c r="AI247" s="6"/>
      <c r="AJ247" s="7">
        <f>ROUND(40,2)</f>
        <v>40</v>
      </c>
      <c r="AK247" s="6"/>
      <c r="AL247" s="6"/>
      <c r="AM247" s="7">
        <f>ROUND(3.06,2)</f>
        <v>3.06</v>
      </c>
      <c r="AN247" s="6"/>
      <c r="AO247" s="6"/>
      <c r="AP247" s="6"/>
      <c r="AQ247" s="6"/>
      <c r="AR247" s="7">
        <f>ROUND(4,2)</f>
        <v>4</v>
      </c>
      <c r="AS247" s="6"/>
      <c r="AT247" s="6"/>
      <c r="AU247" s="6"/>
      <c r="AV247" s="7">
        <f>ROUND(11.33,2)</f>
        <v>11.33</v>
      </c>
      <c r="AW247" s="7">
        <f>ROUND(0.17,2)</f>
        <v>0.17</v>
      </c>
      <c r="AX247" s="6"/>
      <c r="AY247" s="6"/>
      <c r="AZ247" s="6"/>
      <c r="BA247" s="6"/>
      <c r="BB247" s="7">
        <f>ROUND(24,2)</f>
        <v>24</v>
      </c>
      <c r="BC247" s="6"/>
      <c r="BD247" s="7">
        <f>ROUND(2.38,2)</f>
        <v>2.38</v>
      </c>
      <c r="BE247" s="7">
        <f>ROUND(1.5,2)</f>
        <v>1.5</v>
      </c>
      <c r="BF247" s="6"/>
      <c r="BG247" s="6"/>
      <c r="BH247" s="7">
        <f>ROUND(8,2)</f>
        <v>8</v>
      </c>
      <c r="BI247" s="6"/>
      <c r="BJ247" s="7">
        <f>ROUND(8,2)</f>
        <v>8</v>
      </c>
      <c r="BK247" s="6"/>
      <c r="BL247" s="6"/>
      <c r="BM247" s="7">
        <f>ROUND(8,2)</f>
        <v>8</v>
      </c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7">
        <f>ROUND(2408.68999999999,2)</f>
        <v>2408.69</v>
      </c>
      <c r="CC247" s="6"/>
      <c r="CD247" s="6"/>
      <c r="CE247" s="6"/>
      <c r="CF247" s="6"/>
      <c r="CG247" s="7">
        <f>ROUND(24868.58,2)</f>
        <v>24868.58</v>
      </c>
      <c r="CH247" s="6"/>
      <c r="CI247" s="6"/>
      <c r="CJ247" s="7">
        <f>ROUND(5624.8,2)</f>
        <v>5624.8</v>
      </c>
      <c r="CK247" s="6"/>
      <c r="CL247" s="6"/>
      <c r="CM247" s="6"/>
      <c r="CN247" s="6"/>
      <c r="CO247" s="7">
        <f>ROUND(938.37,2)</f>
        <v>938.37</v>
      </c>
      <c r="CP247" s="7">
        <f>ROUND(182.45,2)</f>
        <v>182.45</v>
      </c>
      <c r="CQ247" s="7">
        <f>ROUND(194.459999999999,2)</f>
        <v>194.46</v>
      </c>
      <c r="CR247" s="7">
        <f>ROUND(77.19,2)</f>
        <v>77.19</v>
      </c>
      <c r="CS247" s="6"/>
      <c r="CT247" s="6"/>
      <c r="CU247" s="6"/>
      <c r="CV247" s="6"/>
      <c r="CW247" s="7">
        <f>ROUND(2684.47,2)</f>
        <v>2684.47</v>
      </c>
      <c r="CX247" s="7">
        <f>ROUND(510.76,2)</f>
        <v>510.76</v>
      </c>
      <c r="CY247" s="6"/>
      <c r="CZ247" s="6"/>
      <c r="DA247" s="7">
        <f>ROUND(13272.19,2)</f>
        <v>13272.19</v>
      </c>
      <c r="DB247" s="7">
        <f>ROUND(3175.98,2)</f>
        <v>3175.98</v>
      </c>
      <c r="DC247" s="7">
        <f>ROUND(1771.2,2)</f>
        <v>1771.2</v>
      </c>
      <c r="DD247" s="6"/>
      <c r="DE247" s="7">
        <f>ROUND(885.6,2)</f>
        <v>885.6</v>
      </c>
      <c r="DF247" s="6"/>
      <c r="DG247" s="6"/>
      <c r="DH247" s="6"/>
      <c r="DI247" s="6"/>
      <c r="DJ247" s="7">
        <f>ROUND(64.07,2)</f>
        <v>64.069999999999993</v>
      </c>
      <c r="DK247" s="6"/>
      <c r="DL247" s="6"/>
      <c r="DM247" s="6"/>
      <c r="DN247" s="7">
        <f>ROUND(292.66,2)</f>
        <v>292.66000000000003</v>
      </c>
      <c r="DO247" s="6"/>
      <c r="DP247" s="7">
        <f>ROUND(83.64,2)</f>
        <v>83.64</v>
      </c>
      <c r="DQ247" s="6"/>
      <c r="DR247" s="6"/>
      <c r="DS247" s="6"/>
      <c r="DT247" s="6"/>
      <c r="DU247" s="6"/>
      <c r="DV247" s="6"/>
      <c r="DW247" s="7">
        <f>ROUND(237.76,2)</f>
        <v>237.76</v>
      </c>
      <c r="DX247" s="7">
        <f>ROUND(5.35,2)</f>
        <v>5.35</v>
      </c>
      <c r="DY247" s="6"/>
      <c r="DZ247" s="6"/>
      <c r="EA247" s="6"/>
      <c r="EB247" s="6"/>
      <c r="EC247" s="6"/>
      <c r="ED247" s="6"/>
      <c r="EE247" s="7">
        <f>ROUND(1575,2)</f>
        <v>1575</v>
      </c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7">
        <f>ROUND(1500,2)</f>
        <v>1500</v>
      </c>
      <c r="ER247" s="6"/>
      <c r="ES247" s="6"/>
      <c r="ET247" s="6"/>
      <c r="EU247" s="6"/>
      <c r="EV247" s="7">
        <f>ROUND(57944.5299999999,2)</f>
        <v>57944.53</v>
      </c>
    </row>
    <row r="248" spans="1:152">
      <c r="A248" s="4" t="s">
        <v>664</v>
      </c>
      <c r="B248" s="4" t="s">
        <v>1058</v>
      </c>
      <c r="C248" s="5" t="s">
        <v>152</v>
      </c>
      <c r="D248" s="5" t="s">
        <v>363</v>
      </c>
      <c r="E248" s="5" t="s">
        <v>0</v>
      </c>
      <c r="F248" s="5" t="s">
        <v>0</v>
      </c>
      <c r="G248" s="5" t="s">
        <v>155</v>
      </c>
      <c r="H248" s="10">
        <v>30.4</v>
      </c>
      <c r="I248" s="6"/>
      <c r="J248" s="6"/>
      <c r="K248" s="6"/>
      <c r="L248" s="6"/>
      <c r="M248" s="7">
        <f>ROUND(1832.81,2)</f>
        <v>1832.81</v>
      </c>
      <c r="N248" s="6"/>
      <c r="O248" s="6"/>
      <c r="P248" s="7">
        <f>ROUND(301.639999999999,2)</f>
        <v>301.64</v>
      </c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7">
        <f>ROUND(48,2)</f>
        <v>48</v>
      </c>
      <c r="AD248" s="6"/>
      <c r="AE248" s="6"/>
      <c r="AF248" s="6"/>
      <c r="AG248" s="6"/>
      <c r="AH248" s="7">
        <f>ROUND(64,2)</f>
        <v>64</v>
      </c>
      <c r="AI248" s="6"/>
      <c r="AJ248" s="7">
        <f>ROUND(120,2)</f>
        <v>120</v>
      </c>
      <c r="AK248" s="6"/>
      <c r="AL248" s="7">
        <f>ROUND(8.5,2)</f>
        <v>8.5</v>
      </c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7">
        <f>ROUND(6.82,2)</f>
        <v>6.82</v>
      </c>
      <c r="BE248" s="7">
        <f>ROUND(16,2)</f>
        <v>16</v>
      </c>
      <c r="BF248" s="6"/>
      <c r="BG248" s="6"/>
      <c r="BH248" s="6"/>
      <c r="BI248" s="6"/>
      <c r="BJ248" s="7">
        <f>ROUND(16,2)</f>
        <v>16</v>
      </c>
      <c r="BK248" s="6"/>
      <c r="BL248" s="6"/>
      <c r="BM248" s="7">
        <f>ROUND(21.25,2)</f>
        <v>21.25</v>
      </c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7">
        <f>ROUND(2435.02,2)</f>
        <v>2435.02</v>
      </c>
      <c r="CC248" s="6"/>
      <c r="CD248" s="6"/>
      <c r="CE248" s="6"/>
      <c r="CF248" s="6"/>
      <c r="CG248" s="7">
        <f>ROUND(51806.3299999999,2)</f>
        <v>51806.33</v>
      </c>
      <c r="CH248" s="6"/>
      <c r="CI248" s="6"/>
      <c r="CJ248" s="7">
        <f>ROUND(12836.83,2)</f>
        <v>12836.83</v>
      </c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7">
        <f>ROUND(1333.44,2)</f>
        <v>1333.44</v>
      </c>
      <c r="CX248" s="6"/>
      <c r="CY248" s="6"/>
      <c r="CZ248" s="6"/>
      <c r="DA248" s="6"/>
      <c r="DB248" s="6"/>
      <c r="DC248" s="7">
        <f>ROUND(1819.84,2)</f>
        <v>1819.84</v>
      </c>
      <c r="DD248" s="6"/>
      <c r="DE248" s="7">
        <f>ROUND(3333.6,2)</f>
        <v>3333.6</v>
      </c>
      <c r="DF248" s="6"/>
      <c r="DG248" s="6"/>
      <c r="DH248" s="6"/>
      <c r="DI248" s="7">
        <f>ROUND(236.13,2)</f>
        <v>236.13</v>
      </c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7">
        <f>ROUND(825,2)</f>
        <v>825</v>
      </c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7">
        <f>ROUND(1250,2)</f>
        <v>1250</v>
      </c>
      <c r="ER248" s="6"/>
      <c r="ES248" s="6"/>
      <c r="ET248" s="6"/>
      <c r="EU248" s="6"/>
      <c r="EV248" s="7">
        <f>ROUND(73441.1699999999,2)</f>
        <v>73441.17</v>
      </c>
    </row>
    <row r="249" spans="1:152">
      <c r="A249" s="4" t="s">
        <v>665</v>
      </c>
      <c r="B249" s="4" t="s">
        <v>1058</v>
      </c>
      <c r="C249" s="5" t="s">
        <v>152</v>
      </c>
      <c r="D249" s="5" t="s">
        <v>351</v>
      </c>
      <c r="E249" s="5" t="s">
        <v>0</v>
      </c>
      <c r="F249" s="5" t="s">
        <v>0</v>
      </c>
      <c r="G249" s="5" t="s">
        <v>155</v>
      </c>
      <c r="H249" s="10">
        <v>30.4</v>
      </c>
      <c r="I249" s="6"/>
      <c r="J249" s="6"/>
      <c r="K249" s="6"/>
      <c r="L249" s="6"/>
      <c r="M249" s="7">
        <f>ROUND(1686.98,2)</f>
        <v>1686.98</v>
      </c>
      <c r="N249" s="6"/>
      <c r="O249" s="6"/>
      <c r="P249" s="7">
        <f>ROUND(429.52,2)</f>
        <v>429.52</v>
      </c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7">
        <f>ROUND(177.019999999999,2)</f>
        <v>177.02</v>
      </c>
      <c r="AD249" s="7">
        <f>ROUND(13.48,2)</f>
        <v>13.48</v>
      </c>
      <c r="AE249" s="6"/>
      <c r="AF249" s="6"/>
      <c r="AG249" s="6"/>
      <c r="AH249" s="7">
        <f>ROUND(96,2)</f>
        <v>96</v>
      </c>
      <c r="AI249" s="6"/>
      <c r="AJ249" s="7">
        <f>ROUND(112,2)</f>
        <v>112</v>
      </c>
      <c r="AK249" s="6"/>
      <c r="AL249" s="7">
        <f>ROUND(8,2)</f>
        <v>8</v>
      </c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7">
        <f>ROUND(0.43,2)</f>
        <v>0.43</v>
      </c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7">
        <f>ROUND(8,2)</f>
        <v>8</v>
      </c>
      <c r="CB249" s="7">
        <f>ROUND(2531.43,2)</f>
        <v>2531.4299999999998</v>
      </c>
      <c r="CC249" s="6"/>
      <c r="CD249" s="6"/>
      <c r="CE249" s="6"/>
      <c r="CF249" s="6"/>
      <c r="CG249" s="7">
        <f>ROUND(47624.1,2)</f>
        <v>47624.1</v>
      </c>
      <c r="CH249" s="6"/>
      <c r="CI249" s="6"/>
      <c r="CJ249" s="7">
        <f>ROUND(18283.2099999999,2)</f>
        <v>18283.21</v>
      </c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7">
        <f>ROUND(4959.88,2)</f>
        <v>4959.88</v>
      </c>
      <c r="CX249" s="7">
        <f>ROUND(588.73,2)</f>
        <v>588.73</v>
      </c>
      <c r="CY249" s="6"/>
      <c r="CZ249" s="6"/>
      <c r="DA249" s="6"/>
      <c r="DB249" s="6"/>
      <c r="DC249" s="7">
        <f>ROUND(2750.72,2)</f>
        <v>2750.72</v>
      </c>
      <c r="DD249" s="6"/>
      <c r="DE249" s="7">
        <f>ROUND(3111.35999999999,2)</f>
        <v>3111.36</v>
      </c>
      <c r="DF249" s="6"/>
      <c r="DG249" s="6"/>
      <c r="DH249" s="6"/>
      <c r="DI249" s="7">
        <f>ROUND(222.24,2)</f>
        <v>222.24</v>
      </c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7">
        <f>ROUND(2000,2)</f>
        <v>2000</v>
      </c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7">
        <f>ROUND(1250,2)</f>
        <v>1250</v>
      </c>
      <c r="ER249" s="6"/>
      <c r="ES249" s="6"/>
      <c r="ET249" s="6"/>
      <c r="EU249" s="7">
        <f>ROUND(243.2,2)</f>
        <v>243.2</v>
      </c>
      <c r="EV249" s="7">
        <f>ROUND(81033.4399999999,2)</f>
        <v>81033.440000000002</v>
      </c>
    </row>
    <row r="250" spans="1:152">
      <c r="A250" s="4" t="s">
        <v>666</v>
      </c>
      <c r="B250" s="4" t="s">
        <v>1058</v>
      </c>
      <c r="C250" s="5" t="s">
        <v>152</v>
      </c>
      <c r="D250" s="5" t="s">
        <v>331</v>
      </c>
      <c r="E250" s="5" t="s">
        <v>0</v>
      </c>
      <c r="F250" s="5" t="s">
        <v>0</v>
      </c>
      <c r="G250" s="5" t="s">
        <v>155</v>
      </c>
      <c r="H250" s="10">
        <v>30.4</v>
      </c>
      <c r="I250" s="6"/>
      <c r="J250" s="6"/>
      <c r="K250" s="6"/>
      <c r="L250" s="6"/>
      <c r="M250" s="7">
        <f>ROUND(1689.56999999999,2)</f>
        <v>1689.57</v>
      </c>
      <c r="N250" s="6"/>
      <c r="O250" s="6"/>
      <c r="P250" s="7">
        <f>ROUND(328.74,2)</f>
        <v>328.74</v>
      </c>
      <c r="Q250" s="6"/>
      <c r="R250" s="6"/>
      <c r="S250" s="6"/>
      <c r="T250" s="6"/>
      <c r="U250" s="6"/>
      <c r="V250" s="6"/>
      <c r="W250" s="7">
        <f>ROUND(3.2,2)</f>
        <v>3.2</v>
      </c>
      <c r="X250" s="7">
        <f>ROUND(1.5,2)</f>
        <v>1.5</v>
      </c>
      <c r="Y250" s="6"/>
      <c r="Z250" s="6"/>
      <c r="AA250" s="6"/>
      <c r="AB250" s="6"/>
      <c r="AC250" s="7">
        <f>ROUND(54,2)</f>
        <v>54</v>
      </c>
      <c r="AD250" s="6"/>
      <c r="AE250" s="6"/>
      <c r="AF250" s="7">
        <f>ROUND(181.219999999999,2)</f>
        <v>181.22</v>
      </c>
      <c r="AG250" s="7">
        <f>ROUND(7.58,2)</f>
        <v>7.58</v>
      </c>
      <c r="AH250" s="7">
        <f>ROUND(88,2)</f>
        <v>88</v>
      </c>
      <c r="AI250" s="6"/>
      <c r="AJ250" s="7">
        <f>ROUND(56,2)</f>
        <v>56</v>
      </c>
      <c r="AK250" s="6"/>
      <c r="AL250" s="7">
        <f>ROUND(8,2)</f>
        <v>8</v>
      </c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7">
        <f>ROUND(64,2)</f>
        <v>64</v>
      </c>
      <c r="CB250" s="7">
        <f>ROUND(2481.81,2)</f>
        <v>2481.81</v>
      </c>
      <c r="CC250" s="6"/>
      <c r="CD250" s="6"/>
      <c r="CE250" s="6"/>
      <c r="CF250" s="6"/>
      <c r="CG250" s="7">
        <f>ROUND(47737.0699999999,2)</f>
        <v>47737.07</v>
      </c>
      <c r="CH250" s="6"/>
      <c r="CI250" s="6"/>
      <c r="CJ250" s="7">
        <f>ROUND(13971.51,2)</f>
        <v>13971.51</v>
      </c>
      <c r="CK250" s="6"/>
      <c r="CL250" s="6"/>
      <c r="CM250" s="6"/>
      <c r="CN250" s="6"/>
      <c r="CO250" s="6"/>
      <c r="CP250" s="6"/>
      <c r="CQ250" s="7">
        <f>ROUND(89,2)</f>
        <v>89</v>
      </c>
      <c r="CR250" s="7">
        <f>ROUND(62.5,2)</f>
        <v>62.5</v>
      </c>
      <c r="CS250" s="6"/>
      <c r="CT250" s="6"/>
      <c r="CU250" s="6"/>
      <c r="CV250" s="6"/>
      <c r="CW250" s="7">
        <f>ROUND(1502.2,2)</f>
        <v>1502.2</v>
      </c>
      <c r="CX250" s="6"/>
      <c r="CY250" s="6"/>
      <c r="CZ250" s="6"/>
      <c r="DA250" s="7">
        <f>ROUND(5055.38,2)</f>
        <v>5055.38</v>
      </c>
      <c r="DB250" s="7">
        <f>ROUND(317.57,2)</f>
        <v>317.57</v>
      </c>
      <c r="DC250" s="7">
        <f>ROUND(2486.56,2)</f>
        <v>2486.56</v>
      </c>
      <c r="DD250" s="6"/>
      <c r="DE250" s="7">
        <f>ROUND(1555.68,2)</f>
        <v>1555.68</v>
      </c>
      <c r="DF250" s="6"/>
      <c r="DG250" s="6"/>
      <c r="DH250" s="6"/>
      <c r="DI250" s="7">
        <f>ROUND(222.24,2)</f>
        <v>222.24</v>
      </c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7">
        <f>ROUND(2000,2)</f>
        <v>2000</v>
      </c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7">
        <f>ROUND(1250,2)</f>
        <v>1250</v>
      </c>
      <c r="ER250" s="6"/>
      <c r="ES250" s="6"/>
      <c r="ET250" s="6"/>
      <c r="EU250" s="7">
        <f>ROUND(1945.6,2)</f>
        <v>1945.6</v>
      </c>
      <c r="EV250" s="7">
        <f>ROUND(78195.31,2)</f>
        <v>78195.31</v>
      </c>
    </row>
    <row r="251" spans="1:152">
      <c r="A251" s="4" t="s">
        <v>667</v>
      </c>
      <c r="B251" s="4" t="s">
        <v>1058</v>
      </c>
      <c r="C251" s="5" t="s">
        <v>152</v>
      </c>
      <c r="D251" s="5" t="s">
        <v>668</v>
      </c>
      <c r="E251" s="5" t="s">
        <v>0</v>
      </c>
      <c r="F251" s="5" t="s">
        <v>0</v>
      </c>
      <c r="G251" s="5" t="s">
        <v>155</v>
      </c>
      <c r="H251" s="10">
        <v>30.4</v>
      </c>
      <c r="I251" s="6"/>
      <c r="J251" s="6"/>
      <c r="K251" s="6"/>
      <c r="L251" s="6"/>
      <c r="M251" s="7">
        <f>ROUND(1218.23,2)</f>
        <v>1218.23</v>
      </c>
      <c r="N251" s="6"/>
      <c r="O251" s="6"/>
      <c r="P251" s="7">
        <f>ROUND(221.72,2)</f>
        <v>221.72</v>
      </c>
      <c r="Q251" s="6"/>
      <c r="R251" s="6"/>
      <c r="S251" s="6"/>
      <c r="T251" s="6"/>
      <c r="U251" s="6"/>
      <c r="V251" s="6"/>
      <c r="W251" s="7">
        <f>ROUND(0.929999999999999,2)</f>
        <v>0.93</v>
      </c>
      <c r="X251" s="6"/>
      <c r="Y251" s="6"/>
      <c r="Z251" s="6"/>
      <c r="AA251" s="6"/>
      <c r="AB251" s="6"/>
      <c r="AC251" s="7">
        <f>ROUND(30.18,2)</f>
        <v>30.18</v>
      </c>
      <c r="AD251" s="7">
        <f>ROUND(12.02,2)</f>
        <v>12.02</v>
      </c>
      <c r="AE251" s="6"/>
      <c r="AF251" s="7">
        <f>ROUND(75.27,2)</f>
        <v>75.27</v>
      </c>
      <c r="AG251" s="7">
        <f>ROUND(2.5,2)</f>
        <v>2.5</v>
      </c>
      <c r="AH251" s="7">
        <f>ROUND(80,2)</f>
        <v>80</v>
      </c>
      <c r="AI251" s="6"/>
      <c r="AJ251" s="7">
        <f>ROUND(56,2)</f>
        <v>56</v>
      </c>
      <c r="AK251" s="6"/>
      <c r="AL251" s="7">
        <f>ROUND(11.78,2)</f>
        <v>11.78</v>
      </c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7">
        <f>ROUND(16,2)</f>
        <v>16</v>
      </c>
      <c r="BC251" s="7">
        <f>ROUND(152,2)</f>
        <v>152</v>
      </c>
      <c r="BD251" s="6"/>
      <c r="BE251" s="7">
        <f>ROUND(8,2)</f>
        <v>8</v>
      </c>
      <c r="BF251" s="6"/>
      <c r="BG251" s="6"/>
      <c r="BH251" s="7">
        <f>ROUND(16,2)</f>
        <v>16</v>
      </c>
      <c r="BI251" s="6"/>
      <c r="BJ251" s="6"/>
      <c r="BK251" s="6"/>
      <c r="BL251" s="6"/>
      <c r="BM251" s="7">
        <f>ROUND(24,2)</f>
        <v>24</v>
      </c>
      <c r="BN251" s="6"/>
      <c r="BO251" s="6"/>
      <c r="BP251" s="7">
        <f>ROUND(264,2)</f>
        <v>264</v>
      </c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7">
        <f>ROUND(64,2)</f>
        <v>64</v>
      </c>
      <c r="CB251" s="7">
        <f>ROUND(2252.62999999999,2)</f>
        <v>2252.63</v>
      </c>
      <c r="CC251" s="6"/>
      <c r="CD251" s="6"/>
      <c r="CE251" s="6"/>
      <c r="CF251" s="6"/>
      <c r="CG251" s="7">
        <f>ROUND(34423.46,2)</f>
        <v>34423.46</v>
      </c>
      <c r="CH251" s="6"/>
      <c r="CI251" s="6"/>
      <c r="CJ251" s="7">
        <f>ROUND(9373.42999999999,2)</f>
        <v>9373.43</v>
      </c>
      <c r="CK251" s="6"/>
      <c r="CL251" s="6"/>
      <c r="CM251" s="6"/>
      <c r="CN251" s="6"/>
      <c r="CO251" s="6"/>
      <c r="CP251" s="6"/>
      <c r="CQ251" s="7">
        <f>ROUND(25.89,2)</f>
        <v>25.89</v>
      </c>
      <c r="CR251" s="6"/>
      <c r="CS251" s="6"/>
      <c r="CT251" s="6"/>
      <c r="CU251" s="6"/>
      <c r="CV251" s="6"/>
      <c r="CW251" s="7">
        <f>ROUND(839.829999999999,2)</f>
        <v>839.83</v>
      </c>
      <c r="CX251" s="7">
        <f>ROUND(500.88,2)</f>
        <v>500.88</v>
      </c>
      <c r="CY251" s="6"/>
      <c r="CZ251" s="6"/>
      <c r="DA251" s="7">
        <f>ROUND(2100.83,2)</f>
        <v>2100.83</v>
      </c>
      <c r="DB251" s="7">
        <f>ROUND(104.18,2)</f>
        <v>104.18</v>
      </c>
      <c r="DC251" s="7">
        <f>ROUND(2348.16,2)</f>
        <v>2348.16</v>
      </c>
      <c r="DD251" s="6"/>
      <c r="DE251" s="7">
        <f>ROUND(1576.64,2)</f>
        <v>1576.64</v>
      </c>
      <c r="DF251" s="6"/>
      <c r="DG251" s="6"/>
      <c r="DH251" s="6"/>
      <c r="DI251" s="7">
        <f>ROUND(327.25,2)</f>
        <v>327.25</v>
      </c>
      <c r="DJ251" s="6"/>
      <c r="DK251" s="6"/>
      <c r="DL251" s="6"/>
      <c r="DM251" s="6"/>
      <c r="DN251" s="6"/>
      <c r="DO251" s="6"/>
      <c r="DP251" s="6"/>
      <c r="DQ251" s="6"/>
      <c r="DR251" s="7">
        <f>ROUND(500,2)</f>
        <v>500</v>
      </c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7">
        <f>ROUND(550,2)</f>
        <v>550</v>
      </c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7">
        <f>ROUND(865.92,2)</f>
        <v>865.92</v>
      </c>
      <c r="ER251" s="6"/>
      <c r="ES251" s="6"/>
      <c r="ET251" s="6"/>
      <c r="EU251" s="7">
        <f>ROUND(1945.6,2)</f>
        <v>1945.6</v>
      </c>
      <c r="EV251" s="7">
        <f>ROUND(55482.0699999999,2)</f>
        <v>55482.07</v>
      </c>
    </row>
    <row r="252" spans="1:152">
      <c r="A252" s="4" t="s">
        <v>669</v>
      </c>
      <c r="B252" s="4" t="s">
        <v>1058</v>
      </c>
      <c r="C252" s="5" t="s">
        <v>152</v>
      </c>
      <c r="D252" s="5" t="s">
        <v>519</v>
      </c>
      <c r="E252" s="5" t="s">
        <v>0</v>
      </c>
      <c r="F252" s="5" t="s">
        <v>0</v>
      </c>
      <c r="G252" s="5" t="s">
        <v>155</v>
      </c>
      <c r="H252" s="10">
        <v>30.4</v>
      </c>
      <c r="I252" s="6"/>
      <c r="J252" s="6"/>
      <c r="K252" s="6"/>
      <c r="L252" s="6"/>
      <c r="M252" s="7">
        <f>ROUND(1410.49999999999,2)</f>
        <v>1410.5</v>
      </c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7">
        <f>ROUND(35,2)</f>
        <v>35</v>
      </c>
      <c r="AI252" s="6"/>
      <c r="AJ252" s="7">
        <f>ROUND(45,2)</f>
        <v>45</v>
      </c>
      <c r="AK252" s="6"/>
      <c r="AL252" s="7">
        <f>ROUND(8,2)</f>
        <v>8</v>
      </c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7">
        <f>ROUND(27.13,2)</f>
        <v>27.13</v>
      </c>
      <c r="BA252" s="6"/>
      <c r="BB252" s="7">
        <f>ROUND(5,2)</f>
        <v>5</v>
      </c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7">
        <f>ROUND(30,2)</f>
        <v>30</v>
      </c>
      <c r="CB252" s="7">
        <f>ROUND(1560.62999999999,2)</f>
        <v>1560.63</v>
      </c>
      <c r="CC252" s="6"/>
      <c r="CD252" s="6"/>
      <c r="CE252" s="6"/>
      <c r="CF252" s="6"/>
      <c r="CG252" s="7">
        <f>ROUND(39598.53,2)</f>
        <v>39598.53</v>
      </c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7">
        <f>ROUND(998.5,2)</f>
        <v>998.5</v>
      </c>
      <c r="DD252" s="6"/>
      <c r="DE252" s="7">
        <f>ROUND(1250.1,2)</f>
        <v>1250.0999999999999</v>
      </c>
      <c r="DF252" s="6"/>
      <c r="DG252" s="6"/>
      <c r="DH252" s="6"/>
      <c r="DI252" s="7">
        <f>ROUND(222.24,2)</f>
        <v>222.24</v>
      </c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7">
        <f>ROUND(824.75,2)</f>
        <v>824.75</v>
      </c>
      <c r="EB252" s="6"/>
      <c r="EC252" s="6"/>
      <c r="ED252" s="6"/>
      <c r="EE252" s="7">
        <f>ROUND(825,2)</f>
        <v>825</v>
      </c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7">
        <f>ROUND(625,2)</f>
        <v>625</v>
      </c>
      <c r="ER252" s="6"/>
      <c r="ES252" s="6"/>
      <c r="ET252" s="6"/>
      <c r="EU252" s="7">
        <f>ROUND(912,2)</f>
        <v>912</v>
      </c>
      <c r="EV252" s="7">
        <f>ROUND(45256.1199999999,2)</f>
        <v>45256.12</v>
      </c>
    </row>
    <row r="253" spans="1:152">
      <c r="A253" s="4" t="s">
        <v>670</v>
      </c>
      <c r="B253" s="4" t="s">
        <v>1058</v>
      </c>
      <c r="C253" s="5" t="s">
        <v>152</v>
      </c>
      <c r="D253" s="5" t="s">
        <v>160</v>
      </c>
      <c r="E253" s="5" t="s">
        <v>0</v>
      </c>
      <c r="F253" s="5" t="s">
        <v>0</v>
      </c>
      <c r="G253" s="5" t="s">
        <v>155</v>
      </c>
      <c r="H253" s="10">
        <v>25.84</v>
      </c>
      <c r="I253" s="6"/>
      <c r="J253" s="6"/>
      <c r="K253" s="6"/>
      <c r="L253" s="6"/>
      <c r="M253" s="7">
        <f>ROUND(513.31,2)</f>
        <v>513.30999999999995</v>
      </c>
      <c r="N253" s="6"/>
      <c r="O253" s="6"/>
      <c r="P253" s="7">
        <f>ROUND(65.74,2)</f>
        <v>65.739999999999995</v>
      </c>
      <c r="Q253" s="6"/>
      <c r="R253" s="6"/>
      <c r="S253" s="6"/>
      <c r="T253" s="6"/>
      <c r="U253" s="7">
        <f>ROUND(9.6,2)</f>
        <v>9.6</v>
      </c>
      <c r="V253" s="7">
        <f>ROUND(0.82,2)</f>
        <v>0.82</v>
      </c>
      <c r="W253" s="7">
        <f>ROUND(3.71,2)</f>
        <v>3.71</v>
      </c>
      <c r="X253" s="7">
        <f>ROUND(0.5,2)</f>
        <v>0.5</v>
      </c>
      <c r="Y253" s="6"/>
      <c r="Z253" s="6"/>
      <c r="AA253" s="6"/>
      <c r="AB253" s="6"/>
      <c r="AC253" s="7">
        <f>ROUND(43.13,2)</f>
        <v>43.13</v>
      </c>
      <c r="AD253" s="7">
        <f>ROUND(12.58,2)</f>
        <v>12.58</v>
      </c>
      <c r="AE253" s="6"/>
      <c r="AF253" s="7">
        <f>ROUND(201.499999999999,2)</f>
        <v>201.5</v>
      </c>
      <c r="AG253" s="7">
        <f>ROUND(31.5199999999999,2)</f>
        <v>31.52</v>
      </c>
      <c r="AH253" s="7">
        <f>ROUND(42,2)</f>
        <v>42</v>
      </c>
      <c r="AI253" s="6"/>
      <c r="AJ253" s="6"/>
      <c r="AK253" s="6"/>
      <c r="AL253" s="7">
        <f>ROUND(337.05,2)</f>
        <v>337.05</v>
      </c>
      <c r="AM253" s="6"/>
      <c r="AN253" s="7">
        <f>ROUND(8.55,2)</f>
        <v>8.5500000000000007</v>
      </c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7">
        <f>ROUND(0.22,2)</f>
        <v>0.22</v>
      </c>
      <c r="BE253" s="6"/>
      <c r="BF253" s="6"/>
      <c r="BG253" s="6"/>
      <c r="BH253" s="6"/>
      <c r="BI253" s="6"/>
      <c r="BJ253" s="6"/>
      <c r="BK253" s="6"/>
      <c r="BL253" s="6"/>
      <c r="BM253" s="7">
        <f>ROUND(13,2)</f>
        <v>13</v>
      </c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7">
        <f>ROUND(24,2)</f>
        <v>24</v>
      </c>
      <c r="CB253" s="7">
        <f>ROUND(1307.23,2)</f>
        <v>1307.23</v>
      </c>
      <c r="CC253" s="6"/>
      <c r="CD253" s="6"/>
      <c r="CE253" s="6"/>
      <c r="CF253" s="6"/>
      <c r="CG253" s="7">
        <f>ROUND(11410.24,2)</f>
        <v>11410.24</v>
      </c>
      <c r="CH253" s="6"/>
      <c r="CI253" s="6"/>
      <c r="CJ253" s="7">
        <f>ROUND(2302.02,2)</f>
        <v>2302.02</v>
      </c>
      <c r="CK253" s="6"/>
      <c r="CL253" s="6"/>
      <c r="CM253" s="6"/>
      <c r="CN253" s="6"/>
      <c r="CO253" s="7">
        <f>ROUND(225.63,2)</f>
        <v>225.63</v>
      </c>
      <c r="CP253" s="7">
        <f>ROUND(25.81,2)</f>
        <v>25.81</v>
      </c>
      <c r="CQ253" s="7">
        <f>ROUND(90.19,2)</f>
        <v>90.19</v>
      </c>
      <c r="CR253" s="7">
        <f>ROUND(19.38,2)</f>
        <v>19.38</v>
      </c>
      <c r="CS253" s="6"/>
      <c r="CT253" s="6"/>
      <c r="CU253" s="6"/>
      <c r="CV253" s="6"/>
      <c r="CW253" s="7">
        <f>ROUND(1020.39,2)</f>
        <v>1020.39</v>
      </c>
      <c r="CX253" s="7">
        <f>ROUND(393.15,2)</f>
        <v>393.15</v>
      </c>
      <c r="CY253" s="6"/>
      <c r="CZ253" s="6"/>
      <c r="DA253" s="7">
        <f>ROUND(4514.2,2)</f>
        <v>4514.2</v>
      </c>
      <c r="DB253" s="7">
        <f>ROUND(1112.33,2)</f>
        <v>1112.33</v>
      </c>
      <c r="DC253" s="7">
        <f>ROUND(949.68,2)</f>
        <v>949.68</v>
      </c>
      <c r="DD253" s="6"/>
      <c r="DE253" s="6"/>
      <c r="DF253" s="6"/>
      <c r="DG253" s="6"/>
      <c r="DH253" s="6"/>
      <c r="DI253" s="7">
        <f>ROUND(5905.04999999999,2)</f>
        <v>5905.05</v>
      </c>
      <c r="DJ253" s="6"/>
      <c r="DK253" s="7">
        <f>ROUND(224.42,2)</f>
        <v>224.42</v>
      </c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7">
        <f>ROUND(325,2)</f>
        <v>325</v>
      </c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7">
        <f>ROUND(1651.28,2)</f>
        <v>1651.28</v>
      </c>
      <c r="ER253" s="6"/>
      <c r="ES253" s="6"/>
      <c r="ET253" s="6"/>
      <c r="EU253" s="7">
        <f>ROUND(620.16,2)</f>
        <v>620.16</v>
      </c>
      <c r="EV253" s="7">
        <f>ROUND(30788.9299999999,2)</f>
        <v>30788.93</v>
      </c>
    </row>
    <row r="254" spans="1:152">
      <c r="A254" s="4" t="s">
        <v>671</v>
      </c>
      <c r="B254" s="4" t="s">
        <v>1058</v>
      </c>
      <c r="C254" s="5" t="s">
        <v>211</v>
      </c>
      <c r="D254" s="5" t="s">
        <v>672</v>
      </c>
      <c r="E254" s="5" t="s">
        <v>0</v>
      </c>
      <c r="F254" s="5" t="s">
        <v>0</v>
      </c>
      <c r="G254" s="5" t="s">
        <v>213</v>
      </c>
      <c r="H254" s="10">
        <v>25.2</v>
      </c>
      <c r="I254" s="6"/>
      <c r="J254" s="6"/>
      <c r="K254" s="6"/>
      <c r="L254" s="6"/>
      <c r="M254" s="6"/>
      <c r="N254" s="6"/>
      <c r="O254" s="6"/>
      <c r="P254" s="6"/>
      <c r="Q254" s="7">
        <f>ROUND(1932.38,2)</f>
        <v>1932.38</v>
      </c>
      <c r="R254" s="7">
        <f>ROUND(163.829999999999,2)</f>
        <v>163.83000000000001</v>
      </c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7">
        <f>ROUND(80,2)</f>
        <v>80</v>
      </c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7">
        <f>ROUND(16,2)</f>
        <v>16</v>
      </c>
      <c r="BC254" s="7">
        <f>ROUND(40,2)</f>
        <v>40</v>
      </c>
      <c r="BD254" s="7">
        <f>ROUND(3,2)</f>
        <v>3</v>
      </c>
      <c r="BE254" s="7">
        <f>ROUND(8.62,2)</f>
        <v>8.6199999999999992</v>
      </c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7">
        <f>ROUND(2243.83,2)</f>
        <v>2243.83</v>
      </c>
      <c r="CC254" s="6"/>
      <c r="CD254" s="6"/>
      <c r="CE254" s="6"/>
      <c r="CF254" s="6"/>
      <c r="CG254" s="6"/>
      <c r="CH254" s="6"/>
      <c r="CI254" s="6"/>
      <c r="CJ254" s="6"/>
      <c r="CK254" s="7">
        <f>ROUND(39832.44,2)</f>
        <v>39832.44</v>
      </c>
      <c r="CL254" s="7">
        <f>ROUND(4673.05999999999,2)</f>
        <v>4673.0600000000004</v>
      </c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7">
        <f>ROUND(1791.71999999999,2)</f>
        <v>1791.72</v>
      </c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7">
        <f>ROUND(1150,2)</f>
        <v>1150</v>
      </c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7">
        <f>ROUND(2500,2)</f>
        <v>2500</v>
      </c>
      <c r="ER254" s="6"/>
      <c r="ES254" s="6"/>
      <c r="ET254" s="6"/>
      <c r="EU254" s="6"/>
      <c r="EV254" s="7">
        <f>ROUND(49947.22,2)</f>
        <v>49947.22</v>
      </c>
    </row>
    <row r="255" spans="1:152">
      <c r="A255" s="4" t="s">
        <v>673</v>
      </c>
      <c r="B255" s="4" t="s">
        <v>1058</v>
      </c>
      <c r="C255" s="5" t="s">
        <v>152</v>
      </c>
      <c r="D255" s="5" t="s">
        <v>188</v>
      </c>
      <c r="E255" s="5" t="s">
        <v>0</v>
      </c>
      <c r="F255" s="5" t="s">
        <v>0</v>
      </c>
      <c r="G255" s="5" t="s">
        <v>155</v>
      </c>
      <c r="H255" s="10">
        <v>30.4</v>
      </c>
      <c r="I255" s="6"/>
      <c r="J255" s="6"/>
      <c r="K255" s="6"/>
      <c r="L255" s="6"/>
      <c r="M255" s="7">
        <f>ROUND(1095.37999999999,2)</f>
        <v>1095.3800000000001</v>
      </c>
      <c r="N255" s="6"/>
      <c r="O255" s="6"/>
      <c r="P255" s="7">
        <f>ROUND(89.06,2)</f>
        <v>89.06</v>
      </c>
      <c r="Q255" s="6"/>
      <c r="R255" s="6"/>
      <c r="S255" s="6"/>
      <c r="T255" s="6"/>
      <c r="U255" s="7">
        <f>ROUND(8.42,2)</f>
        <v>8.42</v>
      </c>
      <c r="V255" s="6"/>
      <c r="W255" s="7">
        <f>ROUND(2.78,2)</f>
        <v>2.78</v>
      </c>
      <c r="X255" s="6"/>
      <c r="Y255" s="6"/>
      <c r="Z255" s="6"/>
      <c r="AA255" s="6"/>
      <c r="AB255" s="6"/>
      <c r="AC255" s="7">
        <f>ROUND(310.99,2)</f>
        <v>310.99</v>
      </c>
      <c r="AD255" s="6"/>
      <c r="AE255" s="6"/>
      <c r="AF255" s="7">
        <f>ROUND(259.63,2)</f>
        <v>259.63</v>
      </c>
      <c r="AG255" s="7">
        <f>ROUND(2,2)</f>
        <v>2</v>
      </c>
      <c r="AH255" s="7">
        <f>ROUND(74,2)</f>
        <v>74</v>
      </c>
      <c r="AI255" s="6"/>
      <c r="AJ255" s="7">
        <f>ROUND(112,2)</f>
        <v>112</v>
      </c>
      <c r="AK255" s="6"/>
      <c r="AL255" s="7">
        <f>ROUND(8.5,2)</f>
        <v>8.5</v>
      </c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7">
        <f>ROUND(5,2)</f>
        <v>5</v>
      </c>
      <c r="AY255" s="6"/>
      <c r="AZ255" s="6"/>
      <c r="BA255" s="6"/>
      <c r="BB255" s="7">
        <f>ROUND(24,2)</f>
        <v>24</v>
      </c>
      <c r="BC255" s="7">
        <f>ROUND(8,2)</f>
        <v>8</v>
      </c>
      <c r="BD255" s="7">
        <f>ROUND(0.22,2)</f>
        <v>0.22</v>
      </c>
      <c r="BE255" s="7">
        <f>ROUND(24,2)</f>
        <v>24</v>
      </c>
      <c r="BF255" s="7">
        <f>ROUND(39.11,2)</f>
        <v>39.11</v>
      </c>
      <c r="BG255" s="7">
        <f>ROUND(148.019999999999,2)</f>
        <v>148.02000000000001</v>
      </c>
      <c r="BH255" s="7">
        <f>ROUND(8,2)</f>
        <v>8</v>
      </c>
      <c r="BI255" s="6"/>
      <c r="BJ255" s="7">
        <f>ROUND(8,2)</f>
        <v>8</v>
      </c>
      <c r="BK255" s="6"/>
      <c r="BL255" s="6"/>
      <c r="BM255" s="7">
        <f>ROUND(21.42,2)</f>
        <v>21.42</v>
      </c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7">
        <f>ROUND(2248.52999999999,2)</f>
        <v>2248.5300000000002</v>
      </c>
      <c r="CC255" s="6"/>
      <c r="CD255" s="6"/>
      <c r="CE255" s="6"/>
      <c r="CF255" s="6"/>
      <c r="CG255" s="7">
        <f>ROUND(30586.34,2)</f>
        <v>30586.34</v>
      </c>
      <c r="CH255" s="6"/>
      <c r="CI255" s="6"/>
      <c r="CJ255" s="7">
        <f>ROUND(3729.73,2)</f>
        <v>3729.73</v>
      </c>
      <c r="CK255" s="6"/>
      <c r="CL255" s="6"/>
      <c r="CM255" s="6"/>
      <c r="CN255" s="6"/>
      <c r="CO255" s="7">
        <f>ROUND(235.17,2)</f>
        <v>235.17</v>
      </c>
      <c r="CP255" s="6"/>
      <c r="CQ255" s="7">
        <f>ROUND(79.9799999999999,2)</f>
        <v>79.98</v>
      </c>
      <c r="CR255" s="6"/>
      <c r="CS255" s="6"/>
      <c r="CT255" s="6"/>
      <c r="CU255" s="6"/>
      <c r="CV255" s="6"/>
      <c r="CW255" s="7">
        <f>ROUND(9218.39,2)</f>
        <v>9218.39</v>
      </c>
      <c r="CX255" s="6"/>
      <c r="CY255" s="6"/>
      <c r="CZ255" s="6"/>
      <c r="DA255" s="7">
        <f>ROUND(7256.23,2)</f>
        <v>7256.23</v>
      </c>
      <c r="DB255" s="7">
        <f>ROUND(83.61,2)</f>
        <v>83.61</v>
      </c>
      <c r="DC255" s="7">
        <f>ROUND(2076.68,2)</f>
        <v>2076.6799999999998</v>
      </c>
      <c r="DD255" s="6"/>
      <c r="DE255" s="7">
        <f>ROUND(3111.36,2)</f>
        <v>3111.36</v>
      </c>
      <c r="DF255" s="6"/>
      <c r="DG255" s="6"/>
      <c r="DH255" s="6"/>
      <c r="DI255" s="7">
        <f>ROUND(236.13,2)</f>
        <v>236.13</v>
      </c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7">
        <f>ROUND(152,2)</f>
        <v>152</v>
      </c>
      <c r="DZ255" s="6"/>
      <c r="EA255" s="6"/>
      <c r="EB255" s="6"/>
      <c r="EC255" s="7">
        <f>ROUND(444.48,2)</f>
        <v>444.48</v>
      </c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7">
        <f>ROUND(1121.76,2)</f>
        <v>1121.76</v>
      </c>
      <c r="ER255" s="6"/>
      <c r="ES255" s="6"/>
      <c r="ET255" s="6"/>
      <c r="EU255" s="6"/>
      <c r="EV255" s="7">
        <f>ROUND(58331.8599999999,2)</f>
        <v>58331.86</v>
      </c>
    </row>
    <row r="256" spans="1:152">
      <c r="A256" s="4" t="s">
        <v>674</v>
      </c>
      <c r="B256" s="4" t="s">
        <v>1058</v>
      </c>
      <c r="C256" s="5" t="s">
        <v>152</v>
      </c>
      <c r="D256" s="5" t="s">
        <v>197</v>
      </c>
      <c r="E256" s="5" t="s">
        <v>0</v>
      </c>
      <c r="F256" s="5" t="s">
        <v>0</v>
      </c>
      <c r="G256" s="5" t="s">
        <v>155</v>
      </c>
      <c r="H256" s="10">
        <v>30.4</v>
      </c>
      <c r="I256" s="6"/>
      <c r="J256" s="6"/>
      <c r="K256" s="6"/>
      <c r="L256" s="6"/>
      <c r="M256" s="7">
        <f>ROUND(152.63,2)</f>
        <v>152.63</v>
      </c>
      <c r="N256" s="6"/>
      <c r="O256" s="6"/>
      <c r="P256" s="7">
        <f>ROUND(24.24,2)</f>
        <v>24.24</v>
      </c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7">
        <f>ROUND(35.38,2)</f>
        <v>35.380000000000003</v>
      </c>
      <c r="AD256" s="7">
        <f>ROUND(4.62,2)</f>
        <v>4.62</v>
      </c>
      <c r="AE256" s="6"/>
      <c r="AF256" s="6"/>
      <c r="AG256" s="6"/>
      <c r="AH256" s="7">
        <f>ROUND(24,2)</f>
        <v>24</v>
      </c>
      <c r="AI256" s="6"/>
      <c r="AJ256" s="7">
        <f>ROUND(8,2)</f>
        <v>8</v>
      </c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7">
        <f>ROUND(1848,2)</f>
        <v>1848</v>
      </c>
      <c r="BD256" s="6"/>
      <c r="BE256" s="7">
        <f>ROUND(16,2)</f>
        <v>16</v>
      </c>
      <c r="BF256" s="6"/>
      <c r="BG256" s="6"/>
      <c r="BH256" s="7">
        <f>ROUND(40,2)</f>
        <v>40</v>
      </c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7">
        <f>ROUND(112,2)</f>
        <v>112</v>
      </c>
      <c r="CB256" s="7">
        <f>ROUND(2264.87,2)</f>
        <v>2264.87</v>
      </c>
      <c r="CC256" s="6"/>
      <c r="CD256" s="6"/>
      <c r="CE256" s="6"/>
      <c r="CF256" s="6"/>
      <c r="CG256" s="7">
        <f>ROUND(4240.05,2)</f>
        <v>4240.05</v>
      </c>
      <c r="CH256" s="6"/>
      <c r="CI256" s="6"/>
      <c r="CJ256" s="7">
        <f>ROUND(1015.53,2)</f>
        <v>1015.53</v>
      </c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7">
        <f>ROUND(982.87,2)</f>
        <v>982.87</v>
      </c>
      <c r="CX256" s="7">
        <f>ROUND(192.51,2)</f>
        <v>192.51</v>
      </c>
      <c r="CY256" s="6"/>
      <c r="CZ256" s="6"/>
      <c r="DA256" s="6"/>
      <c r="DB256" s="6"/>
      <c r="DC256" s="7">
        <f>ROUND(666.72,2)</f>
        <v>666.72</v>
      </c>
      <c r="DD256" s="6"/>
      <c r="DE256" s="7">
        <f>ROUND(222.24,2)</f>
        <v>222.24</v>
      </c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7">
        <f>ROUND(3404.8,2)</f>
        <v>3404.8</v>
      </c>
      <c r="EV256" s="7">
        <f>ROUND(10724.72,2)</f>
        <v>10724.72</v>
      </c>
    </row>
    <row r="257" spans="1:152">
      <c r="A257" s="4" t="s">
        <v>675</v>
      </c>
      <c r="B257" s="4" t="s">
        <v>1058</v>
      </c>
      <c r="C257" s="5" t="s">
        <v>152</v>
      </c>
      <c r="D257" s="5" t="s">
        <v>656</v>
      </c>
      <c r="E257" s="5" t="s">
        <v>0</v>
      </c>
      <c r="F257" s="5" t="s">
        <v>0</v>
      </c>
      <c r="G257" s="5" t="s">
        <v>155</v>
      </c>
      <c r="H257" s="10">
        <v>30.4</v>
      </c>
      <c r="I257" s="6"/>
      <c r="J257" s="6"/>
      <c r="K257" s="6"/>
      <c r="L257" s="6"/>
      <c r="M257" s="7">
        <f>ROUND(1341.65999999999,2)</f>
        <v>1341.66</v>
      </c>
      <c r="N257" s="6"/>
      <c r="O257" s="6"/>
      <c r="P257" s="7">
        <f>ROUND(161.08,2)</f>
        <v>161.08000000000001</v>
      </c>
      <c r="Q257" s="6"/>
      <c r="R257" s="6"/>
      <c r="S257" s="6"/>
      <c r="T257" s="6"/>
      <c r="U257" s="7">
        <f>ROUND(66.9,2)</f>
        <v>66.900000000000006</v>
      </c>
      <c r="V257" s="7">
        <f>ROUND(12.27,2)</f>
        <v>12.27</v>
      </c>
      <c r="W257" s="7">
        <f>ROUND(7.2,2)</f>
        <v>7.2</v>
      </c>
      <c r="X257" s="7">
        <f>ROUND(1.25,2)</f>
        <v>1.25</v>
      </c>
      <c r="Y257" s="6"/>
      <c r="Z257" s="6"/>
      <c r="AA257" s="6"/>
      <c r="AB257" s="6"/>
      <c r="AC257" s="7">
        <f>ROUND(65.92,2)</f>
        <v>65.92</v>
      </c>
      <c r="AD257" s="6"/>
      <c r="AE257" s="6"/>
      <c r="AF257" s="7">
        <f>ROUND(368.13,2)</f>
        <v>368.13</v>
      </c>
      <c r="AG257" s="7">
        <f>ROUND(27.53,2)</f>
        <v>27.53</v>
      </c>
      <c r="AH257" s="7">
        <f>ROUND(80,2)</f>
        <v>80</v>
      </c>
      <c r="AI257" s="6"/>
      <c r="AJ257" s="7">
        <f>ROUND(80,2)</f>
        <v>80</v>
      </c>
      <c r="AK257" s="6"/>
      <c r="AL257" s="7">
        <f>ROUND(16,2)</f>
        <v>16</v>
      </c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7">
        <f>ROUND(24,2)</f>
        <v>24</v>
      </c>
      <c r="BC257" s="7">
        <f>ROUND(32,2)</f>
        <v>32</v>
      </c>
      <c r="BD257" s="6"/>
      <c r="BE257" s="6"/>
      <c r="BF257" s="6"/>
      <c r="BG257" s="6"/>
      <c r="BH257" s="6"/>
      <c r="BI257" s="6"/>
      <c r="BJ257" s="6"/>
      <c r="BK257" s="6"/>
      <c r="BL257" s="6"/>
      <c r="BM257" s="7">
        <f>ROUND(32,2)</f>
        <v>32</v>
      </c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7">
        <f>ROUND(2315.93999999999,2)</f>
        <v>2315.94</v>
      </c>
      <c r="CC257" s="6"/>
      <c r="CD257" s="6"/>
      <c r="CE257" s="6"/>
      <c r="CF257" s="6"/>
      <c r="CG257" s="7">
        <f>ROUND(34629.67,2)</f>
        <v>34629.67</v>
      </c>
      <c r="CH257" s="6"/>
      <c r="CI257" s="6"/>
      <c r="CJ257" s="7">
        <f>ROUND(6114.52,2)</f>
        <v>6114.52</v>
      </c>
      <c r="CK257" s="6"/>
      <c r="CL257" s="6"/>
      <c r="CM257" s="6"/>
      <c r="CN257" s="6"/>
      <c r="CO257" s="7">
        <f>ROUND(1675.29,2)</f>
        <v>1675.29</v>
      </c>
      <c r="CP257" s="7">
        <f>ROUND(462.91,2)</f>
        <v>462.91</v>
      </c>
      <c r="CQ257" s="7">
        <f>ROUND(180.33,2)</f>
        <v>180.33</v>
      </c>
      <c r="CR257" s="7">
        <f>ROUND(46.8799999999999,2)</f>
        <v>46.88</v>
      </c>
      <c r="CS257" s="6"/>
      <c r="CT257" s="6"/>
      <c r="CU257" s="6"/>
      <c r="CV257" s="6"/>
      <c r="CW257" s="7">
        <f>ROUND(1651.15999999999,2)</f>
        <v>1651.16</v>
      </c>
      <c r="CX257" s="6"/>
      <c r="CY257" s="6"/>
      <c r="CZ257" s="6"/>
      <c r="DA257" s="7">
        <f>ROUND(9282.72,2)</f>
        <v>9282.7199999999993</v>
      </c>
      <c r="DB257" s="7">
        <f>ROUND(1035.68,2)</f>
        <v>1035.68</v>
      </c>
      <c r="DC257" s="7">
        <f>ROUND(2129.66999999999,2)</f>
        <v>2129.67</v>
      </c>
      <c r="DD257" s="6"/>
      <c r="DE257" s="7">
        <f>ROUND(2000.08,2)</f>
        <v>2000.08</v>
      </c>
      <c r="DF257" s="6"/>
      <c r="DG257" s="6"/>
      <c r="DH257" s="6"/>
      <c r="DI257" s="7">
        <f>ROUND(443.21,2)</f>
        <v>443.21</v>
      </c>
      <c r="DJ257" s="6"/>
      <c r="DK257" s="6"/>
      <c r="DL257" s="6"/>
      <c r="DM257" s="6"/>
      <c r="DN257" s="6"/>
      <c r="DO257" s="6"/>
      <c r="DP257" s="6"/>
      <c r="DQ257" s="6"/>
      <c r="DR257" s="7">
        <f>ROUND(500,2)</f>
        <v>500</v>
      </c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7">
        <f>ROUND(1175,2)</f>
        <v>1175</v>
      </c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7">
        <f>ROUND(1250,2)</f>
        <v>1250</v>
      </c>
      <c r="ER257" s="6"/>
      <c r="ES257" s="6"/>
      <c r="ET257" s="6"/>
      <c r="EU257" s="6"/>
      <c r="EV257" s="7">
        <f>ROUND(62577.1199999999,2)</f>
        <v>62577.120000000003</v>
      </c>
    </row>
    <row r="258" spans="1:152">
      <c r="A258" s="4" t="s">
        <v>676</v>
      </c>
      <c r="B258" s="4" t="s">
        <v>1058</v>
      </c>
      <c r="C258" s="5" t="s">
        <v>152</v>
      </c>
      <c r="D258" s="5" t="s">
        <v>677</v>
      </c>
      <c r="E258" s="5" t="s">
        <v>0</v>
      </c>
      <c r="F258" s="5" t="s">
        <v>0</v>
      </c>
      <c r="G258" s="5" t="s">
        <v>155</v>
      </c>
      <c r="H258" s="10">
        <v>30.4</v>
      </c>
      <c r="I258" s="6"/>
      <c r="J258" s="6"/>
      <c r="K258" s="6"/>
      <c r="L258" s="6"/>
      <c r="M258" s="7">
        <f>ROUND(1552.2,2)</f>
        <v>1552.2</v>
      </c>
      <c r="N258" s="6"/>
      <c r="O258" s="6"/>
      <c r="P258" s="7">
        <f>ROUND(294.71,2)</f>
        <v>294.70999999999998</v>
      </c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7">
        <f>ROUND(301.48,2)</f>
        <v>301.48</v>
      </c>
      <c r="AD258" s="7">
        <f>ROUND(11.02,2)</f>
        <v>11.02</v>
      </c>
      <c r="AE258" s="6"/>
      <c r="AF258" s="6"/>
      <c r="AG258" s="6"/>
      <c r="AH258" s="7">
        <f>ROUND(88,2)</f>
        <v>88</v>
      </c>
      <c r="AI258" s="6"/>
      <c r="AJ258" s="7">
        <f>ROUND(112,2)</f>
        <v>112</v>
      </c>
      <c r="AK258" s="6"/>
      <c r="AL258" s="7">
        <f>ROUND(8,2)</f>
        <v>8</v>
      </c>
      <c r="AM258" s="7">
        <f>ROUND(5.76,2)</f>
        <v>5.76</v>
      </c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7">
        <f>ROUND(8,2)</f>
        <v>8</v>
      </c>
      <c r="BD258" s="7">
        <f>ROUND(6.5,2)</f>
        <v>6.5</v>
      </c>
      <c r="BE258" s="7">
        <f>ROUND(18.93,2)</f>
        <v>18.93</v>
      </c>
      <c r="BF258" s="6"/>
      <c r="BG258" s="6"/>
      <c r="BH258" s="6"/>
      <c r="BI258" s="6"/>
      <c r="BJ258" s="6"/>
      <c r="BK258" s="6"/>
      <c r="BL258" s="6"/>
      <c r="BM258" s="7">
        <f>ROUND(21.92,2)</f>
        <v>21.92</v>
      </c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7">
        <f>ROUND(8,2)</f>
        <v>8</v>
      </c>
      <c r="CB258" s="7">
        <f>ROUND(2436.52,2)</f>
        <v>2436.52</v>
      </c>
      <c r="CC258" s="6"/>
      <c r="CD258" s="6"/>
      <c r="CE258" s="6"/>
      <c r="CF258" s="6"/>
      <c r="CG258" s="7">
        <f>ROUND(43753.76,2)</f>
        <v>43753.760000000002</v>
      </c>
      <c r="CH258" s="6"/>
      <c r="CI258" s="6"/>
      <c r="CJ258" s="7">
        <f>ROUND(12481.37,2)</f>
        <v>12481.37</v>
      </c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7">
        <f>ROUND(8413.57,2)</f>
        <v>8413.57</v>
      </c>
      <c r="CX258" s="7">
        <f>ROUND(461.05,2)</f>
        <v>461.05</v>
      </c>
      <c r="CY258" s="6"/>
      <c r="CZ258" s="6"/>
      <c r="DA258" s="6"/>
      <c r="DB258" s="6"/>
      <c r="DC258" s="7">
        <f>ROUND(2486.56,2)</f>
        <v>2486.56</v>
      </c>
      <c r="DD258" s="6"/>
      <c r="DE258" s="7">
        <f>ROUND(3195.2,2)</f>
        <v>3195.2</v>
      </c>
      <c r="DF258" s="6"/>
      <c r="DG258" s="6"/>
      <c r="DH258" s="6"/>
      <c r="DI258" s="7">
        <f>ROUND(222.24,2)</f>
        <v>222.24</v>
      </c>
      <c r="DJ258" s="7">
        <f>ROUND(220.37,2)</f>
        <v>220.37</v>
      </c>
      <c r="DK258" s="6"/>
      <c r="DL258" s="6"/>
      <c r="DM258" s="6"/>
      <c r="DN258" s="6"/>
      <c r="DO258" s="6"/>
      <c r="DP258" s="6"/>
      <c r="DQ258" s="6"/>
      <c r="DR258" s="7">
        <f>ROUND(500,2)</f>
        <v>500</v>
      </c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7">
        <f>ROUND(1125,2)</f>
        <v>1125</v>
      </c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7">
        <f>ROUND(1250,2)</f>
        <v>1250</v>
      </c>
      <c r="ER258" s="6"/>
      <c r="ES258" s="6"/>
      <c r="ET258" s="6"/>
      <c r="EU258" s="7">
        <f>ROUND(243.2,2)</f>
        <v>243.2</v>
      </c>
      <c r="EV258" s="7">
        <f>ROUND(74352.32,2)</f>
        <v>74352.320000000007</v>
      </c>
    </row>
    <row r="259" spans="1:152">
      <c r="A259" s="4" t="s">
        <v>678</v>
      </c>
      <c r="B259" s="4" t="s">
        <v>1058</v>
      </c>
      <c r="C259" s="5" t="s">
        <v>152</v>
      </c>
      <c r="D259" s="5" t="s">
        <v>413</v>
      </c>
      <c r="E259" s="5" t="s">
        <v>0</v>
      </c>
      <c r="F259" s="5" t="s">
        <v>0</v>
      </c>
      <c r="G259" s="5" t="s">
        <v>155</v>
      </c>
      <c r="H259" s="10">
        <v>30.4</v>
      </c>
      <c r="I259" s="6"/>
      <c r="J259" s="6"/>
      <c r="K259" s="6"/>
      <c r="L259" s="6"/>
      <c r="M259" s="7">
        <f>ROUND(1789.74,2)</f>
        <v>1789.74</v>
      </c>
      <c r="N259" s="6"/>
      <c r="O259" s="6"/>
      <c r="P259" s="7">
        <f>ROUND(252.54,2)</f>
        <v>252.54</v>
      </c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7">
        <f>ROUND(90,2)</f>
        <v>90</v>
      </c>
      <c r="AI259" s="6"/>
      <c r="AJ259" s="7">
        <f>ROUND(112,2)</f>
        <v>112</v>
      </c>
      <c r="AK259" s="6"/>
      <c r="AL259" s="7">
        <f>ROUND(8,2)</f>
        <v>8</v>
      </c>
      <c r="AM259" s="6"/>
      <c r="AN259" s="6"/>
      <c r="AO259" s="6"/>
      <c r="AP259" s="6"/>
      <c r="AQ259" s="6"/>
      <c r="AR259" s="6"/>
      <c r="AS259" s="6"/>
      <c r="AT259" s="7">
        <f>ROUND(75.0399999999999,2)</f>
        <v>75.040000000000006</v>
      </c>
      <c r="AU259" s="6"/>
      <c r="AV259" s="6"/>
      <c r="AW259" s="6"/>
      <c r="AX259" s="6"/>
      <c r="AY259" s="6"/>
      <c r="AZ259" s="6"/>
      <c r="BA259" s="6"/>
      <c r="BB259" s="7">
        <f>ROUND(16,2)</f>
        <v>16</v>
      </c>
      <c r="BC259" s="6"/>
      <c r="BD259" s="6"/>
      <c r="BE259" s="7">
        <f>ROUND(14.19,2)</f>
        <v>14.19</v>
      </c>
      <c r="BF259" s="6"/>
      <c r="BG259" s="6"/>
      <c r="BH259" s="6"/>
      <c r="BI259" s="6"/>
      <c r="BJ259" s="6"/>
      <c r="BK259" s="6"/>
      <c r="BL259" s="6"/>
      <c r="BM259" s="7">
        <f>ROUND(16,2)</f>
        <v>16</v>
      </c>
      <c r="BN259" s="7">
        <f>ROUND(18.69,2)</f>
        <v>18.690000000000001</v>
      </c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7">
        <f>ROUND(8,2)</f>
        <v>8</v>
      </c>
      <c r="CB259" s="7">
        <f>ROUND(2400.2,2)</f>
        <v>2400.1999999999998</v>
      </c>
      <c r="CC259" s="6"/>
      <c r="CD259" s="6"/>
      <c r="CE259" s="6"/>
      <c r="CF259" s="6"/>
      <c r="CG259" s="7">
        <f>ROUND(50547.1199999999,2)</f>
        <v>50547.12</v>
      </c>
      <c r="CH259" s="6"/>
      <c r="CI259" s="6"/>
      <c r="CJ259" s="7">
        <f>ROUND(10762.64,2)</f>
        <v>10762.64</v>
      </c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7">
        <f>ROUND(2542.12,2)</f>
        <v>2542.12</v>
      </c>
      <c r="DD259" s="6"/>
      <c r="DE259" s="7">
        <f>ROUND(3153.28,2)</f>
        <v>3153.28</v>
      </c>
      <c r="DF259" s="6"/>
      <c r="DG259" s="6"/>
      <c r="DH259" s="6"/>
      <c r="DI259" s="7">
        <f>ROUND(222.24,2)</f>
        <v>222.24</v>
      </c>
      <c r="DJ259" s="6"/>
      <c r="DK259" s="6"/>
      <c r="DL259" s="6"/>
      <c r="DM259" s="6"/>
      <c r="DN259" s="6"/>
      <c r="DO259" s="6"/>
      <c r="DP259" s="6"/>
      <c r="DQ259" s="6"/>
      <c r="DR259" s="7">
        <f>ROUND(500,2)</f>
        <v>500</v>
      </c>
      <c r="DS259" s="6"/>
      <c r="DT259" s="6"/>
      <c r="DU259" s="7">
        <f>ROUND(2114.79999999999,2)</f>
        <v>2114.8000000000002</v>
      </c>
      <c r="DV259" s="6"/>
      <c r="DW259" s="6"/>
      <c r="DX259" s="6"/>
      <c r="DY259" s="6"/>
      <c r="DZ259" s="6"/>
      <c r="EA259" s="6"/>
      <c r="EB259" s="6"/>
      <c r="EC259" s="6"/>
      <c r="ED259" s="6"/>
      <c r="EE259" s="7">
        <f>ROUND(1125,2)</f>
        <v>1125</v>
      </c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7">
        <f>ROUND(1250,2)</f>
        <v>1250</v>
      </c>
      <c r="ER259" s="6"/>
      <c r="ES259" s="6"/>
      <c r="ET259" s="6"/>
      <c r="EU259" s="7">
        <f>ROUND(243.2,2)</f>
        <v>243.2</v>
      </c>
      <c r="EV259" s="7">
        <f>ROUND(72460.4,2)</f>
        <v>72460.399999999994</v>
      </c>
    </row>
    <row r="260" spans="1:152">
      <c r="A260" s="4" t="s">
        <v>679</v>
      </c>
      <c r="B260" s="4" t="s">
        <v>1058</v>
      </c>
      <c r="C260" s="5" t="s">
        <v>152</v>
      </c>
      <c r="D260" s="5" t="s">
        <v>173</v>
      </c>
      <c r="E260" s="5" t="s">
        <v>680</v>
      </c>
      <c r="F260" s="5" t="s">
        <v>0</v>
      </c>
      <c r="G260" s="5" t="s">
        <v>155</v>
      </c>
      <c r="H260" s="10">
        <v>17.5</v>
      </c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7">
        <f>ROUND(248,2)</f>
        <v>248</v>
      </c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7">
        <f>ROUND(248,2)</f>
        <v>248</v>
      </c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7">
        <f>ROUND(4340,2)</f>
        <v>4340</v>
      </c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7">
        <f>ROUND(4340,2)</f>
        <v>4340</v>
      </c>
    </row>
    <row r="261" spans="1:152">
      <c r="A261" s="4" t="s">
        <v>681</v>
      </c>
      <c r="B261" s="4" t="s">
        <v>1058</v>
      </c>
      <c r="C261" s="5" t="s">
        <v>152</v>
      </c>
      <c r="D261" s="5" t="s">
        <v>268</v>
      </c>
      <c r="E261" s="5" t="s">
        <v>0</v>
      </c>
      <c r="F261" s="5" t="s">
        <v>0</v>
      </c>
      <c r="G261" s="5" t="s">
        <v>155</v>
      </c>
      <c r="H261" s="10">
        <v>30.4</v>
      </c>
      <c r="I261" s="6"/>
      <c r="J261" s="6"/>
      <c r="K261" s="6"/>
      <c r="L261" s="6"/>
      <c r="M261" s="7">
        <f>ROUND(1098.75,2)</f>
        <v>1098.75</v>
      </c>
      <c r="N261" s="6"/>
      <c r="O261" s="6"/>
      <c r="P261" s="7">
        <f>ROUND(142.61,2)</f>
        <v>142.61000000000001</v>
      </c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7">
        <f>ROUND(760,2)</f>
        <v>760</v>
      </c>
      <c r="AD261" s="7">
        <f>ROUND(103.82,2)</f>
        <v>103.82</v>
      </c>
      <c r="AE261" s="6"/>
      <c r="AF261" s="6"/>
      <c r="AG261" s="6"/>
      <c r="AH261" s="7">
        <f>ROUND(80,2)</f>
        <v>80</v>
      </c>
      <c r="AI261" s="6"/>
      <c r="AJ261" s="7">
        <f>ROUND(112,2)</f>
        <v>112</v>
      </c>
      <c r="AK261" s="6"/>
      <c r="AL261" s="7">
        <f>ROUND(8,2)</f>
        <v>8</v>
      </c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7">
        <f>ROUND(24,2)</f>
        <v>24</v>
      </c>
      <c r="BC261" s="6"/>
      <c r="BD261" s="6"/>
      <c r="BE261" s="6"/>
      <c r="BF261" s="6"/>
      <c r="BG261" s="6"/>
      <c r="BH261" s="7">
        <f>ROUND(8,2)</f>
        <v>8</v>
      </c>
      <c r="BI261" s="6"/>
      <c r="BJ261" s="6"/>
      <c r="BK261" s="6"/>
      <c r="BL261" s="6"/>
      <c r="BM261" s="7">
        <f>ROUND(8,2)</f>
        <v>8</v>
      </c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7">
        <f>ROUND(8,2)</f>
        <v>8</v>
      </c>
      <c r="CB261" s="7">
        <f>ROUND(2353.18,2)</f>
        <v>2353.1799999999998</v>
      </c>
      <c r="CC261" s="6"/>
      <c r="CD261" s="6"/>
      <c r="CE261" s="6"/>
      <c r="CF261" s="6"/>
      <c r="CG261" s="7">
        <f>ROUND(30910.78,2)</f>
        <v>30910.78</v>
      </c>
      <c r="CH261" s="6"/>
      <c r="CI261" s="6"/>
      <c r="CJ261" s="7">
        <f>ROUND(5984.65999999999,2)</f>
        <v>5984.66</v>
      </c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7">
        <f>ROUND(22056.8799999999,2)</f>
        <v>22056.880000000001</v>
      </c>
      <c r="CX261" s="7">
        <f>ROUND(4439.52,2)</f>
        <v>4439.5200000000004</v>
      </c>
      <c r="CY261" s="6"/>
      <c r="CZ261" s="6"/>
      <c r="DA261" s="6"/>
      <c r="DB261" s="6"/>
      <c r="DC261" s="7">
        <f>ROUND(2285.28,2)</f>
        <v>2285.2800000000002</v>
      </c>
      <c r="DD261" s="6"/>
      <c r="DE261" s="7">
        <f>ROUND(3111.36,2)</f>
        <v>3111.36</v>
      </c>
      <c r="DF261" s="6"/>
      <c r="DG261" s="6"/>
      <c r="DH261" s="6"/>
      <c r="DI261" s="7">
        <f>ROUND(222.24,2)</f>
        <v>222.24</v>
      </c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7">
        <f>ROUND(1275,2)</f>
        <v>1275</v>
      </c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7">
        <f>ROUND(1250,2)</f>
        <v>1250</v>
      </c>
      <c r="ER261" s="6"/>
      <c r="ES261" s="6"/>
      <c r="ET261" s="6"/>
      <c r="EU261" s="7">
        <f>ROUND(243.2,2)</f>
        <v>243.2</v>
      </c>
      <c r="EV261" s="7">
        <f>ROUND(71778.92,2)</f>
        <v>71778.92</v>
      </c>
    </row>
    <row r="262" spans="1:152">
      <c r="A262" s="4" t="s">
        <v>682</v>
      </c>
      <c r="B262" s="4" t="s">
        <v>1058</v>
      </c>
      <c r="C262" s="5" t="s">
        <v>152</v>
      </c>
      <c r="D262" s="5" t="s">
        <v>171</v>
      </c>
      <c r="E262" s="5" t="s">
        <v>0</v>
      </c>
      <c r="F262" s="5" t="s">
        <v>0</v>
      </c>
      <c r="G262" s="5" t="s">
        <v>155</v>
      </c>
      <c r="H262" s="10">
        <v>27.36</v>
      </c>
      <c r="I262" s="6"/>
      <c r="J262" s="6"/>
      <c r="K262" s="6"/>
      <c r="L262" s="6"/>
      <c r="M262" s="7">
        <f>ROUND(1248.73,2)</f>
        <v>1248.73</v>
      </c>
      <c r="N262" s="6"/>
      <c r="O262" s="6"/>
      <c r="P262" s="7">
        <f>ROUND(97.35,2)</f>
        <v>97.35</v>
      </c>
      <c r="Q262" s="6"/>
      <c r="R262" s="6"/>
      <c r="S262" s="6"/>
      <c r="T262" s="6"/>
      <c r="U262" s="7">
        <f>ROUND(43.15,2)</f>
        <v>43.15</v>
      </c>
      <c r="V262" s="7">
        <f>ROUND(11.75,2)</f>
        <v>11.75</v>
      </c>
      <c r="W262" s="7">
        <f>ROUND(4.01,2)</f>
        <v>4.01</v>
      </c>
      <c r="X262" s="7">
        <f>ROUND(0.75,2)</f>
        <v>0.75</v>
      </c>
      <c r="Y262" s="6"/>
      <c r="Z262" s="6"/>
      <c r="AA262" s="6"/>
      <c r="AB262" s="6"/>
      <c r="AC262" s="7">
        <f>ROUND(56.34,2)</f>
        <v>56.34</v>
      </c>
      <c r="AD262" s="7">
        <f>ROUND(4.83,2)</f>
        <v>4.83</v>
      </c>
      <c r="AE262" s="6"/>
      <c r="AF262" s="7">
        <f>ROUND(310.039999999999,2)</f>
        <v>310.04000000000002</v>
      </c>
      <c r="AG262" s="7">
        <f>ROUND(15.74,2)</f>
        <v>15.74</v>
      </c>
      <c r="AH262" s="7">
        <f>ROUND(57,2)</f>
        <v>57</v>
      </c>
      <c r="AI262" s="6"/>
      <c r="AJ262" s="7">
        <f>ROUND(8,2)</f>
        <v>8</v>
      </c>
      <c r="AK262" s="6"/>
      <c r="AL262" s="7">
        <f>ROUND(8,2)</f>
        <v>8</v>
      </c>
      <c r="AM262" s="7">
        <f>ROUND(1.92,2)</f>
        <v>1.92</v>
      </c>
      <c r="AN262" s="6"/>
      <c r="AO262" s="6"/>
      <c r="AP262" s="6"/>
      <c r="AQ262" s="6"/>
      <c r="AR262" s="7">
        <f>ROUND(2,2)</f>
        <v>2</v>
      </c>
      <c r="AS262" s="6"/>
      <c r="AT262" s="6"/>
      <c r="AU262" s="6"/>
      <c r="AV262" s="6"/>
      <c r="AW262" s="6"/>
      <c r="AX262" s="7">
        <f>ROUND(0.82,2)</f>
        <v>0.82</v>
      </c>
      <c r="AY262" s="7">
        <f>ROUND(9.02,2)</f>
        <v>9.02</v>
      </c>
      <c r="AZ262" s="6"/>
      <c r="BA262" s="6"/>
      <c r="BB262" s="6"/>
      <c r="BC262" s="7">
        <f>ROUND(3.72,2)</f>
        <v>3.72</v>
      </c>
      <c r="BD262" s="6"/>
      <c r="BE262" s="6"/>
      <c r="BF262" s="6"/>
      <c r="BG262" s="6"/>
      <c r="BH262" s="6"/>
      <c r="BI262" s="6"/>
      <c r="BJ262" s="7">
        <f>ROUND(8,2)</f>
        <v>8</v>
      </c>
      <c r="BK262" s="6"/>
      <c r="BL262" s="7">
        <f>ROUND(50,2)</f>
        <v>50</v>
      </c>
      <c r="BM262" s="7">
        <f>ROUND(24,2)</f>
        <v>24</v>
      </c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7">
        <f>ROUND(32,2)</f>
        <v>32</v>
      </c>
      <c r="CB262" s="7">
        <f>ROUND(1997.17,2)</f>
        <v>1997.17</v>
      </c>
      <c r="CC262" s="6"/>
      <c r="CD262" s="6"/>
      <c r="CE262" s="6"/>
      <c r="CF262" s="6"/>
      <c r="CG262" s="7">
        <f>ROUND(27096.7299999999,2)</f>
        <v>27096.73</v>
      </c>
      <c r="CH262" s="6"/>
      <c r="CI262" s="6"/>
      <c r="CJ262" s="7">
        <f>ROUND(3377.75999999999,2)</f>
        <v>3377.76</v>
      </c>
      <c r="CK262" s="6"/>
      <c r="CL262" s="6"/>
      <c r="CM262" s="6"/>
      <c r="CN262" s="6"/>
      <c r="CO262" s="7">
        <f>ROUND(1004.71,2)</f>
        <v>1004.71</v>
      </c>
      <c r="CP262" s="7">
        <f>ROUND(369.86,2)</f>
        <v>369.86</v>
      </c>
      <c r="CQ262" s="7">
        <f>ROUND(94.88,2)</f>
        <v>94.88</v>
      </c>
      <c r="CR262" s="7">
        <f>ROUND(23.44,2)</f>
        <v>23.44</v>
      </c>
      <c r="CS262" s="6"/>
      <c r="CT262" s="6"/>
      <c r="CU262" s="6"/>
      <c r="CV262" s="6"/>
      <c r="CW262" s="7">
        <f>ROUND(1210.76,2)</f>
        <v>1210.76</v>
      </c>
      <c r="CX262" s="7">
        <f>ROUND(180.31,2)</f>
        <v>180.31</v>
      </c>
      <c r="CY262" s="6"/>
      <c r="CZ262" s="6"/>
      <c r="DA262" s="7">
        <f>ROUND(6960.79,2)</f>
        <v>6960.79</v>
      </c>
      <c r="DB262" s="7">
        <f>ROUND(540.28,2)</f>
        <v>540.28</v>
      </c>
      <c r="DC262" s="7">
        <f>ROUND(1292.02,2)</f>
        <v>1292.02</v>
      </c>
      <c r="DD262" s="6"/>
      <c r="DE262" s="7">
        <f>ROUND(218.88,2)</f>
        <v>218.88</v>
      </c>
      <c r="DF262" s="6"/>
      <c r="DG262" s="6"/>
      <c r="DH262" s="6"/>
      <c r="DI262" s="7">
        <f>ROUND(166.68,2)</f>
        <v>166.68</v>
      </c>
      <c r="DJ262" s="7">
        <f>ROUND(40,2)</f>
        <v>40</v>
      </c>
      <c r="DK262" s="6"/>
      <c r="DL262" s="6"/>
      <c r="DM262" s="6"/>
      <c r="DN262" s="6"/>
      <c r="DO262" s="6"/>
      <c r="DP262" s="7">
        <f>ROUND(41.67,2)</f>
        <v>41.67</v>
      </c>
      <c r="DQ262" s="6"/>
      <c r="DR262" s="6"/>
      <c r="DS262" s="6"/>
      <c r="DT262" s="6"/>
      <c r="DU262" s="6"/>
      <c r="DV262" s="6"/>
      <c r="DW262" s="6"/>
      <c r="DX262" s="6"/>
      <c r="DY262" s="7">
        <f>ROUND(17.08,2)</f>
        <v>17.079999999999998</v>
      </c>
      <c r="DZ262" s="7">
        <f>ROUND(281.9,2)</f>
        <v>281.89999999999998</v>
      </c>
      <c r="EA262" s="6"/>
      <c r="EB262" s="6"/>
      <c r="EC262" s="6"/>
      <c r="ED262" s="6"/>
      <c r="EE262" s="7">
        <f>ROUND(1700,2)</f>
        <v>1700</v>
      </c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7">
        <f>ROUND(1500,2)</f>
        <v>1500</v>
      </c>
      <c r="ER262" s="6"/>
      <c r="ES262" s="6"/>
      <c r="ET262" s="6"/>
      <c r="EU262" s="7">
        <f>ROUND(875.52,2)</f>
        <v>875.52</v>
      </c>
      <c r="EV262" s="7">
        <f>ROUND(46993.27,2)</f>
        <v>46993.27</v>
      </c>
    </row>
    <row r="263" spans="1:152">
      <c r="A263" s="4" t="s">
        <v>683</v>
      </c>
      <c r="B263" s="4"/>
      <c r="C263" s="5" t="s">
        <v>330</v>
      </c>
      <c r="D263" s="5" t="s">
        <v>424</v>
      </c>
      <c r="E263" s="5" t="s">
        <v>0</v>
      </c>
      <c r="F263" s="5" t="s">
        <v>0</v>
      </c>
      <c r="G263" s="5" t="s">
        <v>684</v>
      </c>
      <c r="H263" s="10">
        <v>32.53</v>
      </c>
      <c r="I263" s="7">
        <f>ROUND(191,2)</f>
        <v>191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7">
        <f>ROUND(24,2)</f>
        <v>24</v>
      </c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7">
        <f>ROUND(29,2)</f>
        <v>29</v>
      </c>
      <c r="BU263" s="7">
        <f>ROUND(12,2)</f>
        <v>12</v>
      </c>
      <c r="BV263" s="6"/>
      <c r="BW263" s="6"/>
      <c r="BX263" s="6"/>
      <c r="BY263" s="7">
        <f>ROUND(80,2)</f>
        <v>80</v>
      </c>
      <c r="BZ263" s="6"/>
      <c r="CA263" s="6"/>
      <c r="CB263" s="7">
        <f>ROUND(336,2)</f>
        <v>336</v>
      </c>
      <c r="CC263" s="7">
        <f>ROUND(59155.61,2)</f>
        <v>59155.61</v>
      </c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7">
        <f>ROUND(500,2)</f>
        <v>500</v>
      </c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7">
        <f>ROUND(3122.88,2)</f>
        <v>3122.88</v>
      </c>
      <c r="EF263" s="6"/>
      <c r="EG263" s="7">
        <f>ROUND(162.65,2)</f>
        <v>162.65</v>
      </c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7">
        <f>ROUND(62941.14,2)</f>
        <v>62941.14</v>
      </c>
    </row>
    <row r="264" spans="1:152">
      <c r="A264" s="4" t="s">
        <v>685</v>
      </c>
      <c r="B264" s="4" t="s">
        <v>1058</v>
      </c>
      <c r="C264" s="5" t="s">
        <v>152</v>
      </c>
      <c r="D264" s="5" t="s">
        <v>686</v>
      </c>
      <c r="E264" s="5" t="s">
        <v>687</v>
      </c>
      <c r="F264" s="5" t="s">
        <v>0</v>
      </c>
      <c r="G264" s="5" t="s">
        <v>155</v>
      </c>
      <c r="H264" s="10">
        <v>27.78</v>
      </c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7">
        <f>ROUND(12,2)</f>
        <v>12</v>
      </c>
      <c r="AI264" s="6"/>
      <c r="AJ264" s="7">
        <f>ROUND(280,2)</f>
        <v>280</v>
      </c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7">
        <f>ROUND(292,2)</f>
        <v>292</v>
      </c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7">
        <f>ROUND(333.36,2)</f>
        <v>333.36</v>
      </c>
      <c r="DD264" s="6"/>
      <c r="DE264" s="7">
        <f>ROUND(9334.08,2)</f>
        <v>9334.08</v>
      </c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7">
        <f>ROUND(666.72,2)</f>
        <v>666.72</v>
      </c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7">
        <f>ROUND(10334.16,2)</f>
        <v>10334.16</v>
      </c>
    </row>
    <row r="265" spans="1:152">
      <c r="A265" s="4" t="s">
        <v>688</v>
      </c>
      <c r="B265" s="4" t="s">
        <v>1058</v>
      </c>
      <c r="C265" s="5" t="s">
        <v>152</v>
      </c>
      <c r="D265" s="5" t="s">
        <v>689</v>
      </c>
      <c r="E265" s="5" t="s">
        <v>0</v>
      </c>
      <c r="F265" s="5" t="s">
        <v>0</v>
      </c>
      <c r="G265" s="5" t="s">
        <v>155</v>
      </c>
      <c r="H265" s="10">
        <v>30.4</v>
      </c>
      <c r="I265" s="6"/>
      <c r="J265" s="6"/>
      <c r="K265" s="6"/>
      <c r="L265" s="6"/>
      <c r="M265" s="7">
        <f>ROUND(1777.32,2)</f>
        <v>1777.32</v>
      </c>
      <c r="N265" s="6"/>
      <c r="O265" s="6"/>
      <c r="P265" s="7">
        <f>ROUND(299.52,2)</f>
        <v>299.52</v>
      </c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7">
        <f>ROUND(90,2)</f>
        <v>90</v>
      </c>
      <c r="AI265" s="6"/>
      <c r="AJ265" s="7">
        <f>ROUND(200,2)</f>
        <v>200</v>
      </c>
      <c r="AK265" s="6"/>
      <c r="AL265" s="7">
        <f>ROUND(8,2)</f>
        <v>8</v>
      </c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7">
        <f>ROUND(24,2)</f>
        <v>24</v>
      </c>
      <c r="BC265" s="7">
        <f>ROUND(8,2)</f>
        <v>8</v>
      </c>
      <c r="BD265" s="6"/>
      <c r="BE265" s="6"/>
      <c r="BF265" s="6"/>
      <c r="BG265" s="6"/>
      <c r="BH265" s="6"/>
      <c r="BI265" s="6"/>
      <c r="BJ265" s="6"/>
      <c r="BK265" s="6"/>
      <c r="BL265" s="6"/>
      <c r="BM265" s="7">
        <f>ROUND(8,2)</f>
        <v>8</v>
      </c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7">
        <f>ROUND(2414.84,2)</f>
        <v>2414.84</v>
      </c>
      <c r="CC265" s="6"/>
      <c r="CD265" s="6"/>
      <c r="CE265" s="6"/>
      <c r="CF265" s="6"/>
      <c r="CG265" s="7">
        <f>ROUND(50047.9599999999,2)</f>
        <v>50047.96</v>
      </c>
      <c r="CH265" s="6"/>
      <c r="CI265" s="6"/>
      <c r="CJ265" s="7">
        <f>ROUND(12621.67,2)</f>
        <v>12621.67</v>
      </c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7">
        <f>ROUND(2542.12,2)</f>
        <v>2542.12</v>
      </c>
      <c r="DD265" s="6"/>
      <c r="DE265" s="7">
        <f>ROUND(5555.99999999999,2)</f>
        <v>5556</v>
      </c>
      <c r="DF265" s="6"/>
      <c r="DG265" s="6"/>
      <c r="DH265" s="6"/>
      <c r="DI265" s="7">
        <f>ROUND(222.24,2)</f>
        <v>222.24</v>
      </c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7">
        <f>ROUND(1075,2)</f>
        <v>1075</v>
      </c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7">
        <f>ROUND(1250,2)</f>
        <v>1250</v>
      </c>
      <c r="ER265" s="6"/>
      <c r="ES265" s="6"/>
      <c r="ET265" s="6"/>
      <c r="EU265" s="6"/>
      <c r="EV265" s="7">
        <f>ROUND(73314.99,2)</f>
        <v>73314.990000000005</v>
      </c>
    </row>
    <row r="266" spans="1:152" ht="24">
      <c r="A266" s="4" t="s">
        <v>690</v>
      </c>
      <c r="B266" s="4"/>
      <c r="C266" s="5" t="s">
        <v>178</v>
      </c>
      <c r="D266" s="5" t="s">
        <v>691</v>
      </c>
      <c r="E266" s="5" t="s">
        <v>0</v>
      </c>
      <c r="F266" s="5" t="s">
        <v>0</v>
      </c>
      <c r="G266" s="5" t="s">
        <v>248</v>
      </c>
      <c r="H266" s="10">
        <v>19.100000000000001</v>
      </c>
      <c r="I266" s="7">
        <f>ROUND(1982,2)</f>
        <v>1982</v>
      </c>
      <c r="J266" s="7">
        <f>ROUND(92.75,2)</f>
        <v>92.75</v>
      </c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7">
        <f>ROUND(8,2)</f>
        <v>8</v>
      </c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7">
        <f>ROUND(40,2)</f>
        <v>40</v>
      </c>
      <c r="BU266" s="6"/>
      <c r="BV266" s="7">
        <f>ROUND(9,2)</f>
        <v>9</v>
      </c>
      <c r="BW266" s="6"/>
      <c r="BX266" s="6"/>
      <c r="BY266" s="7">
        <f>ROUND(32,2)</f>
        <v>32</v>
      </c>
      <c r="BZ266" s="6"/>
      <c r="CA266" s="6"/>
      <c r="CB266" s="7">
        <f>ROUND(2163.75,2)</f>
        <v>2163.75</v>
      </c>
      <c r="CC266" s="7">
        <f>ROUND(33662.1,2)</f>
        <v>33662.1</v>
      </c>
      <c r="CD266" s="7">
        <f>ROUND(2196.41,2)</f>
        <v>2196.41</v>
      </c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7">
        <f>ROUND(123.6,2)</f>
        <v>123.6</v>
      </c>
      <c r="EE266" s="7">
        <f>ROUND(1833.6,2)</f>
        <v>1833.6</v>
      </c>
      <c r="EF266" s="6"/>
      <c r="EG266" s="7">
        <f>ROUND(688,2)</f>
        <v>688</v>
      </c>
      <c r="EH266" s="6"/>
      <c r="EI266" s="7">
        <f>ROUND(208.58,2)</f>
        <v>208.58</v>
      </c>
      <c r="EJ266" s="6"/>
      <c r="EK266" s="6"/>
      <c r="EL266" s="6"/>
      <c r="EM266" s="6"/>
      <c r="EN266" s="6"/>
      <c r="EO266" s="6"/>
      <c r="EP266" s="6"/>
      <c r="EQ266" s="6"/>
      <c r="ER266" s="6"/>
      <c r="ES266" s="7">
        <f>ROUND(519.199999999999,2)</f>
        <v>519.20000000000005</v>
      </c>
      <c r="ET266" s="6"/>
      <c r="EU266" s="6"/>
      <c r="EV266" s="7">
        <f>ROUND(39231.49,2)</f>
        <v>39231.49</v>
      </c>
    </row>
    <row r="267" spans="1:152">
      <c r="A267" s="4" t="s">
        <v>692</v>
      </c>
      <c r="B267" s="4" t="s">
        <v>1058</v>
      </c>
      <c r="C267" s="5" t="s">
        <v>152</v>
      </c>
      <c r="D267" s="5" t="s">
        <v>693</v>
      </c>
      <c r="E267" s="5" t="s">
        <v>0</v>
      </c>
      <c r="F267" s="5" t="s">
        <v>0</v>
      </c>
      <c r="G267" s="5" t="s">
        <v>155</v>
      </c>
      <c r="H267" s="10">
        <v>30.4</v>
      </c>
      <c r="I267" s="6"/>
      <c r="J267" s="6"/>
      <c r="K267" s="6"/>
      <c r="L267" s="6"/>
      <c r="M267" s="7">
        <f>ROUND(1021.75,2)</f>
        <v>1021.75</v>
      </c>
      <c r="N267" s="6"/>
      <c r="O267" s="6"/>
      <c r="P267" s="7">
        <f>ROUND(119.499999999999,2)</f>
        <v>119.5</v>
      </c>
      <c r="Q267" s="6"/>
      <c r="R267" s="6"/>
      <c r="S267" s="6"/>
      <c r="T267" s="6"/>
      <c r="U267" s="7">
        <f>ROUND(32.56,2)</f>
        <v>32.56</v>
      </c>
      <c r="V267" s="7">
        <f>ROUND(17.1,2)</f>
        <v>17.100000000000001</v>
      </c>
      <c r="W267" s="7">
        <f>ROUND(13.39,2)</f>
        <v>13.39</v>
      </c>
      <c r="X267" s="7">
        <f>ROUND(2.66,2)</f>
        <v>2.66</v>
      </c>
      <c r="Y267" s="6"/>
      <c r="Z267" s="6"/>
      <c r="AA267" s="6"/>
      <c r="AB267" s="6"/>
      <c r="AC267" s="7">
        <f>ROUND(181.67,2)</f>
        <v>181.67</v>
      </c>
      <c r="AD267" s="7">
        <f>ROUND(39.21,2)</f>
        <v>39.21</v>
      </c>
      <c r="AE267" s="6"/>
      <c r="AF267" s="7">
        <f>ROUND(599.349999999999,2)</f>
        <v>599.35</v>
      </c>
      <c r="AG267" s="7">
        <f>ROUND(102.58,2)</f>
        <v>102.58</v>
      </c>
      <c r="AH267" s="7">
        <f>ROUND(80,2)</f>
        <v>80</v>
      </c>
      <c r="AI267" s="6"/>
      <c r="AJ267" s="7">
        <f>ROUND(40,2)</f>
        <v>40</v>
      </c>
      <c r="AK267" s="6"/>
      <c r="AL267" s="7">
        <f>ROUND(10,2)</f>
        <v>10</v>
      </c>
      <c r="AM267" s="6"/>
      <c r="AN267" s="6"/>
      <c r="AO267" s="6"/>
      <c r="AP267" s="6"/>
      <c r="AQ267" s="6"/>
      <c r="AR267" s="6"/>
      <c r="AS267" s="6"/>
      <c r="AT267" s="6"/>
      <c r="AU267" s="6"/>
      <c r="AV267" s="7">
        <f>ROUND(1.42,2)</f>
        <v>1.42</v>
      </c>
      <c r="AW267" s="7">
        <f>ROUND(6.83,2)</f>
        <v>6.83</v>
      </c>
      <c r="AX267" s="6"/>
      <c r="AY267" s="6"/>
      <c r="AZ267" s="6"/>
      <c r="BA267" s="6"/>
      <c r="BB267" s="7">
        <f>ROUND(24,2)</f>
        <v>24</v>
      </c>
      <c r="BC267" s="7">
        <f>ROUND(16,2)</f>
        <v>16</v>
      </c>
      <c r="BD267" s="7">
        <f>ROUND(0.38,2)</f>
        <v>0.38</v>
      </c>
      <c r="BE267" s="7">
        <f>ROUND(18.9,2)</f>
        <v>18.899999999999999</v>
      </c>
      <c r="BF267" s="6"/>
      <c r="BG267" s="6"/>
      <c r="BH267" s="7">
        <f>ROUND(8,2)</f>
        <v>8</v>
      </c>
      <c r="BI267" s="6"/>
      <c r="BJ267" s="7">
        <f>ROUND(32,2)</f>
        <v>32</v>
      </c>
      <c r="BK267" s="6"/>
      <c r="BL267" s="6"/>
      <c r="BM267" s="7">
        <f>ROUND(32,2)</f>
        <v>32</v>
      </c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7">
        <f>ROUND(2399.3,2)</f>
        <v>2399.3000000000002</v>
      </c>
      <c r="CC267" s="6"/>
      <c r="CD267" s="6"/>
      <c r="CE267" s="6"/>
      <c r="CF267" s="6"/>
      <c r="CG267" s="7">
        <f>ROUND(23153.28,2)</f>
        <v>23153.279999999999</v>
      </c>
      <c r="CH267" s="6"/>
      <c r="CI267" s="6"/>
      <c r="CJ267" s="7">
        <f>ROUND(3983.82,2)</f>
        <v>3983.82</v>
      </c>
      <c r="CK267" s="6"/>
      <c r="CL267" s="6"/>
      <c r="CM267" s="6"/>
      <c r="CN267" s="6"/>
      <c r="CO267" s="7">
        <f>ROUND(710.65,2)</f>
        <v>710.65</v>
      </c>
      <c r="CP267" s="7">
        <f>ROUND(641.79,2)</f>
        <v>641.79</v>
      </c>
      <c r="CQ267" s="7">
        <f>ROUND(302.23,2)</f>
        <v>302.23</v>
      </c>
      <c r="CR267" s="7">
        <f>ROUND(86.54,2)</f>
        <v>86.54</v>
      </c>
      <c r="CS267" s="6"/>
      <c r="CT267" s="6"/>
      <c r="CU267" s="6"/>
      <c r="CV267" s="6"/>
      <c r="CW267" s="7">
        <f>ROUND(4316.09,2)</f>
        <v>4316.09</v>
      </c>
      <c r="CX267" s="7">
        <f>ROUND(1473.13999999999,2)</f>
        <v>1473.14</v>
      </c>
      <c r="CY267" s="6"/>
      <c r="CZ267" s="6"/>
      <c r="DA267" s="7">
        <f>ROUND(14014.9,2)</f>
        <v>14014.9</v>
      </c>
      <c r="DB267" s="7">
        <f>ROUND(3830.22,2)</f>
        <v>3830.22</v>
      </c>
      <c r="DC267" s="7">
        <f>ROUND(1873.12,2)</f>
        <v>1873.12</v>
      </c>
      <c r="DD267" s="6"/>
      <c r="DE267" s="7">
        <f>ROUND(866.72,2)</f>
        <v>866.72</v>
      </c>
      <c r="DF267" s="6"/>
      <c r="DG267" s="6"/>
      <c r="DH267" s="6"/>
      <c r="DI267" s="7">
        <f>ROUND(216.98,2)</f>
        <v>216.98</v>
      </c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7">
        <f>ROUND(30.77,2)</f>
        <v>30.77</v>
      </c>
      <c r="DX267" s="7">
        <f>ROUND(221.99,2)</f>
        <v>221.99</v>
      </c>
      <c r="DY267" s="6"/>
      <c r="DZ267" s="6"/>
      <c r="EA267" s="6"/>
      <c r="EB267" s="6"/>
      <c r="EC267" s="6"/>
      <c r="ED267" s="6"/>
      <c r="EE267" s="7">
        <f>ROUND(600,2)</f>
        <v>600</v>
      </c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7">
        <f>ROUND(1250,2)</f>
        <v>1250</v>
      </c>
      <c r="ER267" s="6"/>
      <c r="ES267" s="6"/>
      <c r="ET267" s="6"/>
      <c r="EU267" s="6"/>
      <c r="EV267" s="7">
        <f>ROUND(57572.2399999999,2)</f>
        <v>57572.24</v>
      </c>
    </row>
    <row r="268" spans="1:152" ht="24">
      <c r="A268" s="4" t="s">
        <v>694</v>
      </c>
      <c r="B268" s="4"/>
      <c r="C268" s="5" t="s">
        <v>178</v>
      </c>
      <c r="D268" s="5" t="s">
        <v>695</v>
      </c>
      <c r="E268" s="5" t="s">
        <v>0</v>
      </c>
      <c r="F268" s="5" t="s">
        <v>0</v>
      </c>
      <c r="G268" s="5" t="s">
        <v>180</v>
      </c>
      <c r="H268" s="10">
        <v>19.100000000000001</v>
      </c>
      <c r="I268" s="7">
        <f>ROUND(1920,2)</f>
        <v>1920</v>
      </c>
      <c r="J268" s="7">
        <f>ROUND(8,2)</f>
        <v>8</v>
      </c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7">
        <f>ROUND(16,2)</f>
        <v>16</v>
      </c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7">
        <f>ROUND(32,2)</f>
        <v>32</v>
      </c>
      <c r="BU268" s="7">
        <f>ROUND(40,2)</f>
        <v>40</v>
      </c>
      <c r="BV268" s="7">
        <f>ROUND(8,2)</f>
        <v>8</v>
      </c>
      <c r="BW268" s="6"/>
      <c r="BX268" s="7">
        <f>ROUND(64,2)</f>
        <v>64</v>
      </c>
      <c r="BY268" s="6"/>
      <c r="BZ268" s="6"/>
      <c r="CA268" s="6"/>
      <c r="CB268" s="7">
        <f>ROUND(2088,2)</f>
        <v>2088</v>
      </c>
      <c r="CC268" s="7">
        <f>ROUND(32854.1199999999,2)</f>
        <v>32854.120000000003</v>
      </c>
      <c r="CD268" s="7">
        <f>ROUND(189.11,2)</f>
        <v>189.11</v>
      </c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7">
        <f>ROUND(296.64,2)</f>
        <v>296.64</v>
      </c>
      <c r="EE268" s="7">
        <f>ROUND(1833.6,2)</f>
        <v>1833.6</v>
      </c>
      <c r="EF268" s="6"/>
      <c r="EG268" s="7">
        <f>ROUND(557.74,2)</f>
        <v>557.74</v>
      </c>
      <c r="EH268" s="7">
        <f>ROUND(652.599999999999,2)</f>
        <v>652.6</v>
      </c>
      <c r="EI268" s="7">
        <f>ROUND(189.11,2)</f>
        <v>189.11</v>
      </c>
      <c r="EJ268" s="6"/>
      <c r="EK268" s="6"/>
      <c r="EL268" s="6"/>
      <c r="EM268" s="6"/>
      <c r="EN268" s="7">
        <f>ROUND(1105.42999999999,2)</f>
        <v>1105.43</v>
      </c>
      <c r="EO268" s="6"/>
      <c r="EP268" s="6"/>
      <c r="EQ268" s="6"/>
      <c r="ER268" s="6"/>
      <c r="ES268" s="6"/>
      <c r="ET268" s="6"/>
      <c r="EU268" s="6"/>
      <c r="EV268" s="7">
        <f>ROUND(37678.35,2)</f>
        <v>37678.35</v>
      </c>
    </row>
    <row r="269" spans="1:152" ht="24">
      <c r="A269" s="4" t="s">
        <v>696</v>
      </c>
      <c r="B269" s="4"/>
      <c r="C269" s="5" t="s">
        <v>178</v>
      </c>
      <c r="D269" s="5" t="s">
        <v>697</v>
      </c>
      <c r="E269" s="5" t="s">
        <v>0</v>
      </c>
      <c r="F269" s="5" t="s">
        <v>0</v>
      </c>
      <c r="G269" s="5" t="s">
        <v>248</v>
      </c>
      <c r="H269" s="10">
        <v>19.100000000000001</v>
      </c>
      <c r="I269" s="7">
        <f>ROUND(1941,2)</f>
        <v>1941</v>
      </c>
      <c r="J269" s="7">
        <f>ROUND(45.5,2)</f>
        <v>45.5</v>
      </c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7">
        <f>ROUND(16,2)</f>
        <v>16</v>
      </c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7">
        <f>ROUND(8,2)</f>
        <v>8</v>
      </c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7">
        <f>ROUND(16,2)</f>
        <v>16</v>
      </c>
      <c r="BU269" s="7">
        <f>ROUND(24,2)</f>
        <v>24</v>
      </c>
      <c r="BV269" s="7">
        <f>ROUND(8,2)</f>
        <v>8</v>
      </c>
      <c r="BW269" s="6"/>
      <c r="BX269" s="7">
        <f>ROUND(46,2)</f>
        <v>46</v>
      </c>
      <c r="BY269" s="7">
        <f>ROUND(24,2)</f>
        <v>24</v>
      </c>
      <c r="BZ269" s="6"/>
      <c r="CA269" s="6"/>
      <c r="CB269" s="7">
        <f>ROUND(2128.5,2)</f>
        <v>2128.5</v>
      </c>
      <c r="CC269" s="7">
        <f>ROUND(33347.84,2)</f>
        <v>33347.839999999997</v>
      </c>
      <c r="CD269" s="7">
        <f>ROUND(1114.04,2)</f>
        <v>1114.04</v>
      </c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7">
        <f>ROUND(255.44,2)</f>
        <v>255.44</v>
      </c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7">
        <f>ROUND(144,2)</f>
        <v>144</v>
      </c>
      <c r="EE269" s="7">
        <f>ROUND(1833.6,2)</f>
        <v>1833.6</v>
      </c>
      <c r="EF269" s="6"/>
      <c r="EG269" s="7">
        <f>ROUND(280.52,2)</f>
        <v>280.52</v>
      </c>
      <c r="EH269" s="7">
        <f>ROUND(415.72,2)</f>
        <v>415.72</v>
      </c>
      <c r="EI269" s="7">
        <f>ROUND(216,2)</f>
        <v>216</v>
      </c>
      <c r="EJ269" s="6"/>
      <c r="EK269" s="6"/>
      <c r="EL269" s="6"/>
      <c r="EM269" s="6"/>
      <c r="EN269" s="7">
        <f>ROUND(800.589999999999,2)</f>
        <v>800.59</v>
      </c>
      <c r="EO269" s="6"/>
      <c r="EP269" s="6"/>
      <c r="EQ269" s="6"/>
      <c r="ER269" s="6"/>
      <c r="ES269" s="7">
        <f>ROUND(458.4,2)</f>
        <v>458.4</v>
      </c>
      <c r="ET269" s="6"/>
      <c r="EU269" s="6"/>
      <c r="EV269" s="7">
        <f>ROUND(38866.1499999999,2)</f>
        <v>38866.15</v>
      </c>
    </row>
    <row r="270" spans="1:152">
      <c r="A270" s="4" t="s">
        <v>698</v>
      </c>
      <c r="B270" s="4" t="s">
        <v>1058</v>
      </c>
      <c r="C270" s="5" t="s">
        <v>152</v>
      </c>
      <c r="D270" s="5" t="s">
        <v>153</v>
      </c>
      <c r="E270" s="5" t="s">
        <v>0</v>
      </c>
      <c r="F270" s="5" t="s">
        <v>0</v>
      </c>
      <c r="G270" s="5" t="s">
        <v>155</v>
      </c>
      <c r="H270" s="10">
        <v>30.4</v>
      </c>
      <c r="I270" s="6"/>
      <c r="J270" s="6"/>
      <c r="K270" s="6"/>
      <c r="L270" s="6"/>
      <c r="M270" s="7">
        <f>ROUND(1099.01,2)</f>
        <v>1099.01</v>
      </c>
      <c r="N270" s="6"/>
      <c r="O270" s="6"/>
      <c r="P270" s="7">
        <f>ROUND(167.93,2)</f>
        <v>167.93</v>
      </c>
      <c r="Q270" s="6"/>
      <c r="R270" s="6"/>
      <c r="S270" s="6"/>
      <c r="T270" s="6"/>
      <c r="U270" s="7">
        <f>ROUND(92.62,2)</f>
        <v>92.62</v>
      </c>
      <c r="V270" s="7">
        <f>ROUND(43.6799999999999,2)</f>
        <v>43.68</v>
      </c>
      <c r="W270" s="7">
        <f>ROUND(13.76,2)</f>
        <v>13.76</v>
      </c>
      <c r="X270" s="7">
        <f>ROUND(3.54,2)</f>
        <v>3.54</v>
      </c>
      <c r="Y270" s="6"/>
      <c r="Z270" s="6"/>
      <c r="AA270" s="6"/>
      <c r="AB270" s="6"/>
      <c r="AC270" s="7">
        <f>ROUND(158.53,2)</f>
        <v>158.53</v>
      </c>
      <c r="AD270" s="7">
        <f>ROUND(6.03,2)</f>
        <v>6.03</v>
      </c>
      <c r="AE270" s="6"/>
      <c r="AF270" s="7">
        <f>ROUND(518.069999999999,2)</f>
        <v>518.07000000000005</v>
      </c>
      <c r="AG270" s="7">
        <f>ROUND(107.949999999999,2)</f>
        <v>107.95</v>
      </c>
      <c r="AH270" s="7">
        <f>ROUND(88,2)</f>
        <v>88</v>
      </c>
      <c r="AI270" s="6"/>
      <c r="AJ270" s="7">
        <f>ROUND(64,2)</f>
        <v>64</v>
      </c>
      <c r="AK270" s="6"/>
      <c r="AL270" s="7">
        <f>ROUND(16.5,2)</f>
        <v>16.5</v>
      </c>
      <c r="AM270" s="7">
        <f>ROUND(1.23,2)</f>
        <v>1.23</v>
      </c>
      <c r="AN270" s="6"/>
      <c r="AO270" s="6"/>
      <c r="AP270" s="6"/>
      <c r="AQ270" s="6"/>
      <c r="AR270" s="6"/>
      <c r="AS270" s="6"/>
      <c r="AT270" s="6"/>
      <c r="AU270" s="6"/>
      <c r="AV270" s="7">
        <f>ROUND(6.6,2)</f>
        <v>6.6</v>
      </c>
      <c r="AW270" s="7">
        <f>ROUND(4.9,2)</f>
        <v>4.9000000000000004</v>
      </c>
      <c r="AX270" s="6"/>
      <c r="AY270" s="6"/>
      <c r="AZ270" s="6"/>
      <c r="BA270" s="6"/>
      <c r="BB270" s="7">
        <f>ROUND(24,2)</f>
        <v>24</v>
      </c>
      <c r="BC270" s="7">
        <f>ROUND(16,2)</f>
        <v>16</v>
      </c>
      <c r="BD270" s="7">
        <f>ROUND(0.35,2)</f>
        <v>0.35</v>
      </c>
      <c r="BE270" s="7">
        <f>ROUND(1.25,2)</f>
        <v>1.25</v>
      </c>
      <c r="BF270" s="6"/>
      <c r="BG270" s="6"/>
      <c r="BH270" s="6"/>
      <c r="BI270" s="6"/>
      <c r="BJ270" s="7">
        <f>ROUND(16,2)</f>
        <v>16</v>
      </c>
      <c r="BK270" s="6"/>
      <c r="BL270" s="6"/>
      <c r="BM270" s="7">
        <f>ROUND(24.08,2)</f>
        <v>24.08</v>
      </c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7">
        <f>ROUND(16,2)</f>
        <v>16</v>
      </c>
      <c r="CB270" s="7">
        <f>ROUND(2490.02999999999,2)</f>
        <v>2490.0300000000002</v>
      </c>
      <c r="CC270" s="6"/>
      <c r="CD270" s="6"/>
      <c r="CE270" s="6"/>
      <c r="CF270" s="6"/>
      <c r="CG270" s="7">
        <f>ROUND(26775.3699999999,2)</f>
        <v>26775.37</v>
      </c>
      <c r="CH270" s="6"/>
      <c r="CI270" s="6"/>
      <c r="CJ270" s="7">
        <f>ROUND(6058.39,2)</f>
        <v>6058.39</v>
      </c>
      <c r="CK270" s="6"/>
      <c r="CL270" s="6"/>
      <c r="CM270" s="6"/>
      <c r="CN270" s="6"/>
      <c r="CO270" s="7">
        <f>ROUND(2232.92,2)</f>
        <v>2232.92</v>
      </c>
      <c r="CP270" s="7">
        <f>ROUND(1601.29,2)</f>
        <v>1601.29</v>
      </c>
      <c r="CQ270" s="7">
        <f>ROUND(329.4,2)</f>
        <v>329.4</v>
      </c>
      <c r="CR270" s="7">
        <f>ROUND(136.3,2)</f>
        <v>136.30000000000001</v>
      </c>
      <c r="CS270" s="6"/>
      <c r="CT270" s="6"/>
      <c r="CU270" s="6"/>
      <c r="CV270" s="6"/>
      <c r="CW270" s="7">
        <f>ROUND(3832.10999999999,2)</f>
        <v>3832.11</v>
      </c>
      <c r="CX270" s="7">
        <f>ROUND(212.42,2)</f>
        <v>212.42</v>
      </c>
      <c r="CY270" s="6"/>
      <c r="CZ270" s="6"/>
      <c r="DA270" s="7">
        <f>ROUND(12726.6899999999,2)</f>
        <v>12726.69</v>
      </c>
      <c r="DB270" s="7">
        <f>ROUND(4228.44,2)</f>
        <v>4228.4399999999996</v>
      </c>
      <c r="DC270" s="7">
        <f>ROUND(2166.52,2)</f>
        <v>2166.52</v>
      </c>
      <c r="DD270" s="6"/>
      <c r="DE270" s="7">
        <f>ROUND(1493.44,2)</f>
        <v>1493.44</v>
      </c>
      <c r="DF270" s="6"/>
      <c r="DG270" s="6"/>
      <c r="DH270" s="6"/>
      <c r="DI270" s="7">
        <f>ROUND(441.549999999999,2)</f>
        <v>441.55</v>
      </c>
      <c r="DJ270" s="7">
        <f>ROUND(37.58,2)</f>
        <v>37.58</v>
      </c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7">
        <f>ROUND(154.17,2)</f>
        <v>154.16999999999999</v>
      </c>
      <c r="DX270" s="7">
        <f>ROUND(171.51,2)</f>
        <v>171.51</v>
      </c>
      <c r="DY270" s="6"/>
      <c r="DZ270" s="6"/>
      <c r="EA270" s="6"/>
      <c r="EB270" s="6"/>
      <c r="EC270" s="6"/>
      <c r="ED270" s="6"/>
      <c r="EE270" s="7">
        <f>ROUND(850,2)</f>
        <v>850</v>
      </c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7">
        <f>ROUND(1250,2)</f>
        <v>1250</v>
      </c>
      <c r="ER270" s="6"/>
      <c r="ES270" s="6"/>
      <c r="ET270" s="6"/>
      <c r="EU270" s="7">
        <f>ROUND(486.4,2)</f>
        <v>486.4</v>
      </c>
      <c r="EV270" s="7">
        <f>ROUND(65184.5,2)</f>
        <v>65184.5</v>
      </c>
    </row>
    <row r="271" spans="1:152">
      <c r="A271" s="4" t="s">
        <v>699</v>
      </c>
      <c r="B271" s="4" t="s">
        <v>1058</v>
      </c>
      <c r="C271" s="5" t="s">
        <v>152</v>
      </c>
      <c r="D271" s="5" t="s">
        <v>168</v>
      </c>
      <c r="E271" s="5" t="s">
        <v>700</v>
      </c>
      <c r="F271" s="5" t="s">
        <v>0</v>
      </c>
      <c r="G271" s="5" t="s">
        <v>155</v>
      </c>
      <c r="H271" s="10">
        <v>20.84</v>
      </c>
      <c r="I271" s="6"/>
      <c r="J271" s="6"/>
      <c r="K271" s="6"/>
      <c r="L271" s="6"/>
      <c r="M271" s="7">
        <f>ROUND(204.81,2)</f>
        <v>204.81</v>
      </c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7">
        <f>ROUND(16,2)</f>
        <v>16</v>
      </c>
      <c r="AD271" s="6"/>
      <c r="AE271" s="6"/>
      <c r="AF271" s="7">
        <f>ROUND(16.17,2)</f>
        <v>16.170000000000002</v>
      </c>
      <c r="AG271" s="6"/>
      <c r="AH271" s="7">
        <f>ROUND(5,2)</f>
        <v>5</v>
      </c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7">
        <f>ROUND(40,2)</f>
        <v>40</v>
      </c>
      <c r="BD271" s="6"/>
      <c r="BE271" s="6"/>
      <c r="BF271" s="6"/>
      <c r="BG271" s="6"/>
      <c r="BH271" s="6"/>
      <c r="BI271" s="6"/>
      <c r="BJ271" s="6"/>
      <c r="BK271" s="6"/>
      <c r="BL271" s="6"/>
      <c r="BM271" s="7">
        <f>ROUND(30,2)</f>
        <v>30</v>
      </c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7">
        <f>ROUND(311.98,2)</f>
        <v>311.98</v>
      </c>
      <c r="CC271" s="6"/>
      <c r="CD271" s="6"/>
      <c r="CE271" s="6"/>
      <c r="CF271" s="6"/>
      <c r="CG271" s="7">
        <f>ROUND(4267.24,2)</f>
        <v>4267.24</v>
      </c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7">
        <f>ROUND(333.36,2)</f>
        <v>333.36</v>
      </c>
      <c r="CX271" s="6"/>
      <c r="CY271" s="6"/>
      <c r="CZ271" s="6"/>
      <c r="DA271" s="7">
        <f>ROUND(336.9,2)</f>
        <v>336.9</v>
      </c>
      <c r="DB271" s="6"/>
      <c r="DC271" s="7">
        <f>ROUND(104.18,2)</f>
        <v>104.18</v>
      </c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7">
        <f>ROUND(500,2)</f>
        <v>500</v>
      </c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7">
        <f>ROUND(5541.68,2)</f>
        <v>5541.68</v>
      </c>
    </row>
    <row r="272" spans="1:152" ht="24">
      <c r="A272" s="4" t="s">
        <v>701</v>
      </c>
      <c r="B272" s="4"/>
      <c r="C272" s="5" t="s">
        <v>253</v>
      </c>
      <c r="D272" s="5" t="s">
        <v>702</v>
      </c>
      <c r="E272" s="5" t="s">
        <v>703</v>
      </c>
      <c r="F272" s="5" t="s">
        <v>0</v>
      </c>
      <c r="G272" s="5" t="s">
        <v>443</v>
      </c>
      <c r="H272" s="10">
        <v>913.46</v>
      </c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7">
        <f>ROUND(40,2)</f>
        <v>40</v>
      </c>
      <c r="BZ272" s="6"/>
      <c r="CA272" s="6"/>
      <c r="CB272" s="7">
        <f>ROUND(40,2)</f>
        <v>40</v>
      </c>
      <c r="CC272" s="7">
        <f>ROUND(2740.38,2)</f>
        <v>2740.38</v>
      </c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7">
        <f>ROUND(182.69,2)</f>
        <v>182.69</v>
      </c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7">
        <f>ROUND(913.46,2)</f>
        <v>913.46</v>
      </c>
      <c r="ET272" s="6"/>
      <c r="EU272" s="6"/>
      <c r="EV272" s="7">
        <f>ROUND(3836.53,2)</f>
        <v>3836.53</v>
      </c>
    </row>
    <row r="273" spans="1:152">
      <c r="A273" s="4" t="s">
        <v>704</v>
      </c>
      <c r="B273" s="4" t="s">
        <v>1058</v>
      </c>
      <c r="C273" s="5" t="s">
        <v>152</v>
      </c>
      <c r="D273" s="5" t="s">
        <v>626</v>
      </c>
      <c r="E273" s="5" t="s">
        <v>0</v>
      </c>
      <c r="F273" s="5" t="s">
        <v>0</v>
      </c>
      <c r="G273" s="5" t="s">
        <v>155</v>
      </c>
      <c r="H273" s="10">
        <v>30.4</v>
      </c>
      <c r="I273" s="6"/>
      <c r="J273" s="6"/>
      <c r="K273" s="6"/>
      <c r="L273" s="6"/>
      <c r="M273" s="7">
        <f>ROUND(1347.26999999999,2)</f>
        <v>1347.27</v>
      </c>
      <c r="N273" s="6"/>
      <c r="O273" s="6"/>
      <c r="P273" s="6"/>
      <c r="Q273" s="6"/>
      <c r="R273" s="6"/>
      <c r="S273" s="6"/>
      <c r="T273" s="7">
        <f>ROUND(0.63,2)</f>
        <v>0.63</v>
      </c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7">
        <f>ROUND(35,2)</f>
        <v>35</v>
      </c>
      <c r="AI273" s="6"/>
      <c r="AJ273" s="7">
        <f>ROUND(45,2)</f>
        <v>45</v>
      </c>
      <c r="AK273" s="6"/>
      <c r="AL273" s="7">
        <f>ROUND(8,2)</f>
        <v>8</v>
      </c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7">
        <f>ROUND(75,2)</f>
        <v>75</v>
      </c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7">
        <f>ROUND(5,2)</f>
        <v>5</v>
      </c>
      <c r="CB273" s="7">
        <f>ROUND(1515.89999999999,2)</f>
        <v>1515.9</v>
      </c>
      <c r="CC273" s="6"/>
      <c r="CD273" s="6"/>
      <c r="CE273" s="6"/>
      <c r="CF273" s="6"/>
      <c r="CG273" s="7">
        <f>ROUND(37943.8099999999,2)</f>
        <v>37943.81</v>
      </c>
      <c r="CH273" s="6"/>
      <c r="CI273" s="6"/>
      <c r="CJ273" s="6"/>
      <c r="CK273" s="6"/>
      <c r="CL273" s="6"/>
      <c r="CM273" s="6"/>
      <c r="CN273" s="7">
        <f>ROUND(35,2)</f>
        <v>35</v>
      </c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7">
        <f>ROUND(998.5,2)</f>
        <v>998.5</v>
      </c>
      <c r="DD273" s="6"/>
      <c r="DE273" s="7">
        <f>ROUND(1250.1,2)</f>
        <v>1250.0999999999999</v>
      </c>
      <c r="DF273" s="6"/>
      <c r="DG273" s="6"/>
      <c r="DH273" s="6"/>
      <c r="DI273" s="7">
        <f>ROUND(222.24,2)</f>
        <v>222.24</v>
      </c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7">
        <f>ROUND(750,2)</f>
        <v>750</v>
      </c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7">
        <f>ROUND(556.07,2)</f>
        <v>556.07000000000005</v>
      </c>
      <c r="ER273" s="6"/>
      <c r="ES273" s="6"/>
      <c r="ET273" s="6"/>
      <c r="EU273" s="7">
        <f>ROUND(152,2)</f>
        <v>152</v>
      </c>
      <c r="EV273" s="7">
        <f>ROUND(41907.7199999999,2)</f>
        <v>41907.72</v>
      </c>
    </row>
    <row r="274" spans="1:152" ht="24">
      <c r="A274" s="4" t="s">
        <v>705</v>
      </c>
      <c r="B274" s="4"/>
      <c r="C274" s="5" t="s">
        <v>178</v>
      </c>
      <c r="D274" s="5" t="s">
        <v>706</v>
      </c>
      <c r="E274" s="5" t="s">
        <v>707</v>
      </c>
      <c r="F274" s="5" t="s">
        <v>0</v>
      </c>
      <c r="G274" s="5" t="s">
        <v>180</v>
      </c>
      <c r="H274" s="10">
        <v>22.47</v>
      </c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7">
        <f>ROUND(1003.2,2)</f>
        <v>1003.2</v>
      </c>
      <c r="EF274" s="6"/>
      <c r="EG274" s="6"/>
      <c r="EH274" s="7">
        <f>ROUND(1078.56,2)</f>
        <v>1078.56</v>
      </c>
      <c r="EI274" s="6"/>
      <c r="EJ274" s="6"/>
      <c r="EK274" s="6"/>
      <c r="EL274" s="6"/>
      <c r="EM274" s="6"/>
      <c r="EN274" s="7">
        <f>ROUND(1095.41,2)</f>
        <v>1095.4100000000001</v>
      </c>
      <c r="EO274" s="6"/>
      <c r="EP274" s="6"/>
      <c r="EQ274" s="6"/>
      <c r="ER274" s="7">
        <f>ROUND(2114.24,2)</f>
        <v>2114.2399999999998</v>
      </c>
      <c r="ES274" s="7">
        <f>ROUND(5932.14,2)</f>
        <v>5932.14</v>
      </c>
      <c r="ET274" s="6"/>
      <c r="EU274" s="6"/>
      <c r="EV274" s="7">
        <f>ROUND(11223.55,2)</f>
        <v>11223.55</v>
      </c>
    </row>
    <row r="275" spans="1:152">
      <c r="A275" s="4" t="s">
        <v>708</v>
      </c>
      <c r="B275" s="4" t="s">
        <v>1058</v>
      </c>
      <c r="C275" s="5" t="s">
        <v>152</v>
      </c>
      <c r="D275" s="5" t="s">
        <v>194</v>
      </c>
      <c r="E275" s="5" t="s">
        <v>0</v>
      </c>
      <c r="F275" s="5" t="s">
        <v>0</v>
      </c>
      <c r="G275" s="5" t="s">
        <v>155</v>
      </c>
      <c r="H275" s="10">
        <v>30.4</v>
      </c>
      <c r="I275" s="6"/>
      <c r="J275" s="6"/>
      <c r="K275" s="6"/>
      <c r="L275" s="6"/>
      <c r="M275" s="7">
        <f>ROUND(1116.52,2)</f>
        <v>1116.52</v>
      </c>
      <c r="N275" s="6"/>
      <c r="O275" s="6"/>
      <c r="P275" s="7">
        <f>ROUND(140.45,2)</f>
        <v>140.44999999999999</v>
      </c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7">
        <f>ROUND(562.74,2)</f>
        <v>562.74</v>
      </c>
      <c r="AD275" s="6"/>
      <c r="AE275" s="6"/>
      <c r="AF275" s="6"/>
      <c r="AG275" s="6"/>
      <c r="AH275" s="7">
        <f>ROUND(114,2)</f>
        <v>114</v>
      </c>
      <c r="AI275" s="6"/>
      <c r="AJ275" s="7">
        <f>ROUND(56,2)</f>
        <v>56</v>
      </c>
      <c r="AK275" s="6"/>
      <c r="AL275" s="7">
        <f>ROUND(8.5,2)</f>
        <v>8.5</v>
      </c>
      <c r="AM275" s="7">
        <f>ROUND(1.58,2)</f>
        <v>1.58</v>
      </c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7">
        <f>ROUND(24,2)</f>
        <v>24</v>
      </c>
      <c r="BC275" s="7">
        <f>ROUND(72,2)</f>
        <v>72</v>
      </c>
      <c r="BD275" s="6"/>
      <c r="BE275" s="6"/>
      <c r="BF275" s="6"/>
      <c r="BG275" s="6"/>
      <c r="BH275" s="6"/>
      <c r="BI275" s="6"/>
      <c r="BJ275" s="7">
        <f>ROUND(40,2)</f>
        <v>40</v>
      </c>
      <c r="BK275" s="6"/>
      <c r="BL275" s="6"/>
      <c r="BM275" s="7">
        <f>ROUND(128,2)</f>
        <v>128</v>
      </c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7">
        <f>ROUND(64,2)</f>
        <v>64</v>
      </c>
      <c r="CB275" s="7">
        <f>ROUND(2327.79,2)</f>
        <v>2327.79</v>
      </c>
      <c r="CC275" s="6"/>
      <c r="CD275" s="6"/>
      <c r="CE275" s="6"/>
      <c r="CF275" s="6"/>
      <c r="CG275" s="7">
        <f>ROUND(31107.4999999999,2)</f>
        <v>31107.5</v>
      </c>
      <c r="CH275" s="6"/>
      <c r="CI275" s="6"/>
      <c r="CJ275" s="7">
        <f>ROUND(5858.57,2)</f>
        <v>5858.57</v>
      </c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7">
        <f>ROUND(16154.6,2)</f>
        <v>16154.6</v>
      </c>
      <c r="CX275" s="6"/>
      <c r="CY275" s="6"/>
      <c r="CZ275" s="6"/>
      <c r="DA275" s="6"/>
      <c r="DB275" s="6"/>
      <c r="DC275" s="7">
        <f>ROUND(3292.67999999999,2)</f>
        <v>3292.68</v>
      </c>
      <c r="DD275" s="6"/>
      <c r="DE275" s="7">
        <f>ROUND(1555.68,2)</f>
        <v>1555.68</v>
      </c>
      <c r="DF275" s="6"/>
      <c r="DG275" s="6"/>
      <c r="DH275" s="6"/>
      <c r="DI275" s="7">
        <f>ROUND(236.13,2)</f>
        <v>236.13</v>
      </c>
      <c r="DJ275" s="7">
        <f>ROUND(43.89,2)</f>
        <v>43.89</v>
      </c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7">
        <f>ROUND(350,2)</f>
        <v>350</v>
      </c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7">
        <f>ROUND(1082.4,2)</f>
        <v>1082.4000000000001</v>
      </c>
      <c r="ER275" s="6"/>
      <c r="ES275" s="6"/>
      <c r="ET275" s="6"/>
      <c r="EU275" s="7">
        <f>ROUND(1945.6,2)</f>
        <v>1945.6</v>
      </c>
      <c r="EV275" s="7">
        <f>ROUND(61627.0499999999,2)</f>
        <v>61627.05</v>
      </c>
    </row>
    <row r="276" spans="1:152">
      <c r="A276" s="4" t="s">
        <v>709</v>
      </c>
      <c r="B276" s="4"/>
      <c r="C276" s="5" t="s">
        <v>536</v>
      </c>
      <c r="D276" s="5" t="s">
        <v>710</v>
      </c>
      <c r="E276" s="5" t="s">
        <v>0</v>
      </c>
      <c r="F276" s="5" t="s">
        <v>0</v>
      </c>
      <c r="G276" s="5" t="s">
        <v>711</v>
      </c>
      <c r="H276" s="10">
        <v>27.86</v>
      </c>
      <c r="I276" s="7">
        <f>ROUND(1892,2)</f>
        <v>1892</v>
      </c>
      <c r="J276" s="7">
        <f>ROUND(5.25,2)</f>
        <v>5.25</v>
      </c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7">
        <f>ROUND(24,2)</f>
        <v>24</v>
      </c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7">
        <f>ROUND(32,2)</f>
        <v>32</v>
      </c>
      <c r="BU276" s="7">
        <f>ROUND(40,2)</f>
        <v>40</v>
      </c>
      <c r="BV276" s="6"/>
      <c r="BW276" s="6"/>
      <c r="BX276" s="7">
        <f>ROUND(12,2)</f>
        <v>12</v>
      </c>
      <c r="BY276" s="7">
        <f>ROUND(80,2)</f>
        <v>80</v>
      </c>
      <c r="BZ276" s="6"/>
      <c r="CA276" s="6"/>
      <c r="CB276" s="7">
        <f>ROUND(2085.25,2)</f>
        <v>2085.25</v>
      </c>
      <c r="CC276" s="7">
        <f>ROUND(50220.1199999999,2)</f>
        <v>50220.12</v>
      </c>
      <c r="CD276" s="7">
        <f>ROUND(206.84,2)</f>
        <v>206.84</v>
      </c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7">
        <f>ROUND(500,2)</f>
        <v>500</v>
      </c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7">
        <f>ROUND(630.36,2)</f>
        <v>630.36</v>
      </c>
      <c r="EE276" s="7">
        <f>ROUND(3490.56,2)</f>
        <v>3490.56</v>
      </c>
      <c r="EF276" s="6"/>
      <c r="EG276" s="7">
        <f>ROUND(853.24,2)</f>
        <v>853.24</v>
      </c>
      <c r="EH276" s="7">
        <f>ROUND(1063.16,2)</f>
        <v>1063.1600000000001</v>
      </c>
      <c r="EI276" s="6"/>
      <c r="EJ276" s="6"/>
      <c r="EK276" s="6"/>
      <c r="EL276" s="6"/>
      <c r="EM276" s="6"/>
      <c r="EN276" s="7">
        <f>ROUND(321.56,2)</f>
        <v>321.56</v>
      </c>
      <c r="EO276" s="6"/>
      <c r="EP276" s="6"/>
      <c r="EQ276" s="6"/>
      <c r="ER276" s="6"/>
      <c r="ES276" s="7">
        <f>ROUND(2113.96,2)</f>
        <v>2113.96</v>
      </c>
      <c r="ET276" s="6"/>
      <c r="EU276" s="6"/>
      <c r="EV276" s="7">
        <f>ROUND(59399.7999999999,2)</f>
        <v>59399.8</v>
      </c>
    </row>
    <row r="277" spans="1:152">
      <c r="A277" s="4" t="s">
        <v>712</v>
      </c>
      <c r="B277" s="4" t="s">
        <v>1058</v>
      </c>
      <c r="C277" s="5" t="s">
        <v>152</v>
      </c>
      <c r="D277" s="5" t="s">
        <v>455</v>
      </c>
      <c r="E277" s="5" t="s">
        <v>0</v>
      </c>
      <c r="F277" s="5" t="s">
        <v>0</v>
      </c>
      <c r="G277" s="5" t="s">
        <v>155</v>
      </c>
      <c r="H277" s="10">
        <v>30.4</v>
      </c>
      <c r="I277" s="6"/>
      <c r="J277" s="6"/>
      <c r="K277" s="6"/>
      <c r="L277" s="6"/>
      <c r="M277" s="7">
        <f>ROUND(1814.21,2)</f>
        <v>1814.21</v>
      </c>
      <c r="N277" s="6"/>
      <c r="O277" s="6"/>
      <c r="P277" s="7">
        <f>ROUND(288.37,2)</f>
        <v>288.37</v>
      </c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7">
        <f>ROUND(32,2)</f>
        <v>32</v>
      </c>
      <c r="AD277" s="6"/>
      <c r="AE277" s="6"/>
      <c r="AF277" s="6"/>
      <c r="AG277" s="6"/>
      <c r="AH277" s="7">
        <f>ROUND(90,2)</f>
        <v>90</v>
      </c>
      <c r="AI277" s="6"/>
      <c r="AJ277" s="7">
        <f>ROUND(144,2)</f>
        <v>144</v>
      </c>
      <c r="AK277" s="6"/>
      <c r="AL277" s="7">
        <f>ROUND(10.33,2)</f>
        <v>10.33</v>
      </c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7">
        <f>ROUND(8,2)</f>
        <v>8</v>
      </c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7">
        <f>ROUND(16,2)</f>
        <v>16</v>
      </c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7">
        <f>ROUND(16,2)</f>
        <v>16</v>
      </c>
      <c r="CB277" s="7">
        <f>ROUND(2418.91,2)</f>
        <v>2418.91</v>
      </c>
      <c r="CC277" s="6"/>
      <c r="CD277" s="6"/>
      <c r="CE277" s="6"/>
      <c r="CF277" s="6"/>
      <c r="CG277" s="7">
        <f>ROUND(51048.2599999999,2)</f>
        <v>51048.26</v>
      </c>
      <c r="CH277" s="6"/>
      <c r="CI277" s="6"/>
      <c r="CJ277" s="7">
        <f>ROUND(12186.79,2)</f>
        <v>12186.79</v>
      </c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7">
        <f>ROUND(888.96,2)</f>
        <v>888.96</v>
      </c>
      <c r="CX277" s="6"/>
      <c r="CY277" s="6"/>
      <c r="CZ277" s="6"/>
      <c r="DA277" s="6"/>
      <c r="DB277" s="6"/>
      <c r="DC277" s="7">
        <f>ROUND(2563.07999999999,2)</f>
        <v>2563.08</v>
      </c>
      <c r="DD277" s="6"/>
      <c r="DE277" s="7">
        <f>ROUND(4063.2,2)</f>
        <v>4063.2</v>
      </c>
      <c r="DF277" s="6"/>
      <c r="DG277" s="6"/>
      <c r="DH277" s="6"/>
      <c r="DI277" s="7">
        <f>ROUND(286.97,2)</f>
        <v>286.97000000000003</v>
      </c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7">
        <f>ROUND(1125,2)</f>
        <v>1125</v>
      </c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7">
        <f>ROUND(1250,2)</f>
        <v>1250</v>
      </c>
      <c r="ER277" s="6"/>
      <c r="ES277" s="6"/>
      <c r="ET277" s="6"/>
      <c r="EU277" s="7">
        <f>ROUND(486.4,2)</f>
        <v>486.4</v>
      </c>
      <c r="EV277" s="7">
        <f>ROUND(73898.6599999999,2)</f>
        <v>73898.66</v>
      </c>
    </row>
    <row r="278" spans="1:152">
      <c r="A278" s="4" t="s">
        <v>713</v>
      </c>
      <c r="B278" s="4" t="s">
        <v>1058</v>
      </c>
      <c r="C278" s="5" t="s">
        <v>152</v>
      </c>
      <c r="D278" s="5" t="s">
        <v>270</v>
      </c>
      <c r="E278" s="5" t="s">
        <v>0</v>
      </c>
      <c r="F278" s="5" t="s">
        <v>0</v>
      </c>
      <c r="G278" s="5" t="s">
        <v>155</v>
      </c>
      <c r="H278" s="10">
        <v>28.88</v>
      </c>
      <c r="I278" s="6"/>
      <c r="J278" s="6"/>
      <c r="K278" s="6"/>
      <c r="L278" s="6"/>
      <c r="M278" s="7">
        <f>ROUND(974.93,2)</f>
        <v>974.93</v>
      </c>
      <c r="N278" s="6"/>
      <c r="O278" s="6"/>
      <c r="P278" s="7">
        <f>ROUND(129.09,2)</f>
        <v>129.09</v>
      </c>
      <c r="Q278" s="6"/>
      <c r="R278" s="6"/>
      <c r="S278" s="6"/>
      <c r="T278" s="6"/>
      <c r="U278" s="7">
        <f>ROUND(42.65,2)</f>
        <v>42.65</v>
      </c>
      <c r="V278" s="7">
        <f>ROUND(10.11,2)</f>
        <v>10.11</v>
      </c>
      <c r="W278" s="7">
        <f>ROUND(11.91,2)</f>
        <v>11.91</v>
      </c>
      <c r="X278" s="7">
        <f>ROUND(1.16,2)</f>
        <v>1.1599999999999999</v>
      </c>
      <c r="Y278" s="6"/>
      <c r="Z278" s="6"/>
      <c r="AA278" s="6"/>
      <c r="AB278" s="6"/>
      <c r="AC278" s="7">
        <f>ROUND(130.37,2)</f>
        <v>130.37</v>
      </c>
      <c r="AD278" s="7">
        <f>ROUND(3.77,2)</f>
        <v>3.77</v>
      </c>
      <c r="AE278" s="6"/>
      <c r="AF278" s="7">
        <f>ROUND(593.38,2)</f>
        <v>593.38</v>
      </c>
      <c r="AG278" s="7">
        <f>ROUND(47.9499999999999,2)</f>
        <v>47.95</v>
      </c>
      <c r="AH278" s="7">
        <f>ROUND(80,2)</f>
        <v>80</v>
      </c>
      <c r="AI278" s="6"/>
      <c r="AJ278" s="7">
        <f>ROUND(40,2)</f>
        <v>40</v>
      </c>
      <c r="AK278" s="6"/>
      <c r="AL278" s="7">
        <f>ROUND(8.5,2)</f>
        <v>8.5</v>
      </c>
      <c r="AM278" s="6"/>
      <c r="AN278" s="6"/>
      <c r="AO278" s="6"/>
      <c r="AP278" s="6"/>
      <c r="AQ278" s="6"/>
      <c r="AR278" s="7">
        <f>ROUND(4,2)</f>
        <v>4</v>
      </c>
      <c r="AS278" s="6"/>
      <c r="AT278" s="7">
        <f>ROUND(0.92,2)</f>
        <v>0.92</v>
      </c>
      <c r="AU278" s="6"/>
      <c r="AV278" s="6"/>
      <c r="AW278" s="6"/>
      <c r="AX278" s="6"/>
      <c r="AY278" s="6"/>
      <c r="AZ278" s="6"/>
      <c r="BA278" s="6"/>
      <c r="BB278" s="7">
        <f>ROUND(24,2)</f>
        <v>24</v>
      </c>
      <c r="BC278" s="7">
        <f>ROUND(56,2)</f>
        <v>56</v>
      </c>
      <c r="BD278" s="7">
        <f>ROUND(6,2)</f>
        <v>6</v>
      </c>
      <c r="BE278" s="7">
        <f>ROUND(32,2)</f>
        <v>32</v>
      </c>
      <c r="BF278" s="6"/>
      <c r="BG278" s="6"/>
      <c r="BH278" s="7">
        <f>ROUND(8,2)</f>
        <v>8</v>
      </c>
      <c r="BI278" s="6"/>
      <c r="BJ278" s="7">
        <f>ROUND(64,2)</f>
        <v>64</v>
      </c>
      <c r="BK278" s="6"/>
      <c r="BL278" s="6"/>
      <c r="BM278" s="7">
        <f>ROUND(80.07,2)</f>
        <v>80.069999999999993</v>
      </c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7">
        <f>ROUND(2348.81,2)</f>
        <v>2348.81</v>
      </c>
      <c r="CC278" s="6"/>
      <c r="CD278" s="6"/>
      <c r="CE278" s="6"/>
      <c r="CF278" s="6"/>
      <c r="CG278" s="7">
        <f>ROUND(21205.7899999999,2)</f>
        <v>21205.79</v>
      </c>
      <c r="CH278" s="6"/>
      <c r="CI278" s="6"/>
      <c r="CJ278" s="7">
        <f>ROUND(4305.08999999999,2)</f>
        <v>4305.09</v>
      </c>
      <c r="CK278" s="6"/>
      <c r="CL278" s="6"/>
      <c r="CM278" s="6"/>
      <c r="CN278" s="6"/>
      <c r="CO278" s="7">
        <f>ROUND(894.709999999999,2)</f>
        <v>894.71</v>
      </c>
      <c r="CP278" s="7">
        <f>ROUND(405.06,2)</f>
        <v>405.06</v>
      </c>
      <c r="CQ278" s="7">
        <f>ROUND(258.62,2)</f>
        <v>258.62</v>
      </c>
      <c r="CR278" s="7">
        <f>ROUND(36.33,2)</f>
        <v>36.33</v>
      </c>
      <c r="CS278" s="6"/>
      <c r="CT278" s="6"/>
      <c r="CU278" s="6"/>
      <c r="CV278" s="6"/>
      <c r="CW278" s="7">
        <f>ROUND(2867.1,2)</f>
        <v>2867.1</v>
      </c>
      <c r="CX278" s="7">
        <f>ROUND(125.36,2)</f>
        <v>125.36</v>
      </c>
      <c r="CY278" s="6"/>
      <c r="CZ278" s="6"/>
      <c r="DA278" s="7">
        <f>ROUND(13101.42,2)</f>
        <v>13101.42</v>
      </c>
      <c r="DB278" s="7">
        <f>ROUND(1506.45,2)</f>
        <v>1506.45</v>
      </c>
      <c r="DC278" s="7">
        <f>ROUND(1823.4,2)</f>
        <v>1823.4</v>
      </c>
      <c r="DD278" s="6"/>
      <c r="DE278" s="7">
        <f>ROUND(833.4,2)</f>
        <v>833.4</v>
      </c>
      <c r="DF278" s="6"/>
      <c r="DG278" s="6"/>
      <c r="DH278" s="6"/>
      <c r="DI278" s="7">
        <f>ROUND(177.1,2)</f>
        <v>177.1</v>
      </c>
      <c r="DJ278" s="6"/>
      <c r="DK278" s="6"/>
      <c r="DL278" s="6"/>
      <c r="DM278" s="6"/>
      <c r="DN278" s="6"/>
      <c r="DO278" s="6"/>
      <c r="DP278" s="7">
        <f>ROUND(83.64,2)</f>
        <v>83.64</v>
      </c>
      <c r="DQ278" s="6"/>
      <c r="DR278" s="6"/>
      <c r="DS278" s="6"/>
      <c r="DT278" s="6"/>
      <c r="DU278" s="7">
        <f>ROUND(19.31,2)</f>
        <v>19.309999999999999</v>
      </c>
      <c r="DV278" s="6"/>
      <c r="DW278" s="6"/>
      <c r="DX278" s="6"/>
      <c r="DY278" s="6"/>
      <c r="DZ278" s="6"/>
      <c r="EA278" s="6"/>
      <c r="EB278" s="6"/>
      <c r="EC278" s="6"/>
      <c r="ED278" s="6"/>
      <c r="EE278" s="7">
        <f>ROUND(1225,2)</f>
        <v>1225</v>
      </c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7">
        <f>ROUND(1500,2)</f>
        <v>1500</v>
      </c>
      <c r="ER278" s="6"/>
      <c r="ES278" s="6"/>
      <c r="ET278" s="6"/>
      <c r="EU278" s="6"/>
      <c r="EV278" s="7">
        <f>ROUND(50367.7799999999,2)</f>
        <v>50367.78</v>
      </c>
    </row>
    <row r="279" spans="1:152">
      <c r="A279" s="4" t="s">
        <v>714</v>
      </c>
      <c r="B279" s="4" t="s">
        <v>1058</v>
      </c>
      <c r="C279" s="5" t="s">
        <v>211</v>
      </c>
      <c r="D279" s="5" t="s">
        <v>715</v>
      </c>
      <c r="E279" s="5" t="s">
        <v>0</v>
      </c>
      <c r="F279" s="5" t="s">
        <v>0</v>
      </c>
      <c r="G279" s="5" t="s">
        <v>716</v>
      </c>
      <c r="H279" s="10">
        <v>32</v>
      </c>
      <c r="I279" s="6"/>
      <c r="J279" s="6"/>
      <c r="K279" s="7">
        <f>ROUND(1704,2)</f>
        <v>1704</v>
      </c>
      <c r="L279" s="7">
        <f>ROUND(16,2)</f>
        <v>16</v>
      </c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7">
        <f>ROUND(92,2)</f>
        <v>92</v>
      </c>
      <c r="AI279" s="6"/>
      <c r="AJ279" s="7">
        <f>ROUND(224,2)</f>
        <v>224</v>
      </c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7">
        <f>ROUND(24,2)</f>
        <v>24</v>
      </c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7">
        <f>ROUND(8,2)</f>
        <v>8</v>
      </c>
      <c r="BN279" s="6"/>
      <c r="BO279" s="7">
        <f>ROUND(40,2)</f>
        <v>40</v>
      </c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7">
        <f>ROUND(16,2)</f>
        <v>16</v>
      </c>
      <c r="CB279" s="7">
        <f>ROUND(2124,2)</f>
        <v>2124</v>
      </c>
      <c r="CC279" s="6"/>
      <c r="CD279" s="6"/>
      <c r="CE279" s="7">
        <f>ROUND(51398,2)</f>
        <v>51398</v>
      </c>
      <c r="CF279" s="7">
        <f>ROUND(744,2)</f>
        <v>744</v>
      </c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7">
        <f>ROUND(2787.59999999999,2)</f>
        <v>2787.6</v>
      </c>
      <c r="DD279" s="6"/>
      <c r="DE279" s="7">
        <f>ROUND(6671.2,2)</f>
        <v>6671.2</v>
      </c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7">
        <f>ROUND(1275,2)</f>
        <v>1275</v>
      </c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7">
        <f>ROUND(1250,2)</f>
        <v>1250</v>
      </c>
      <c r="ER279" s="6"/>
      <c r="ES279" s="6"/>
      <c r="ET279" s="6"/>
      <c r="EU279" s="7">
        <f>ROUND(512,2)</f>
        <v>512</v>
      </c>
      <c r="EV279" s="7">
        <f>ROUND(64637.8,2)</f>
        <v>64637.8</v>
      </c>
    </row>
    <row r="280" spans="1:152">
      <c r="A280" s="4" t="s">
        <v>717</v>
      </c>
      <c r="B280" s="4" t="s">
        <v>1058</v>
      </c>
      <c r="C280" s="5" t="s">
        <v>152</v>
      </c>
      <c r="D280" s="5" t="s">
        <v>406</v>
      </c>
      <c r="E280" s="5" t="s">
        <v>0</v>
      </c>
      <c r="F280" s="5" t="s">
        <v>0</v>
      </c>
      <c r="G280" s="5" t="s">
        <v>155</v>
      </c>
      <c r="H280" s="10">
        <v>30.4</v>
      </c>
      <c r="I280" s="6"/>
      <c r="J280" s="6"/>
      <c r="K280" s="6"/>
      <c r="L280" s="6"/>
      <c r="M280" s="7">
        <f>ROUND(1424.9,2)</f>
        <v>1424.9</v>
      </c>
      <c r="N280" s="6"/>
      <c r="O280" s="6"/>
      <c r="P280" s="7">
        <f>ROUND(269.599999999999,2)</f>
        <v>269.60000000000002</v>
      </c>
      <c r="Q280" s="6"/>
      <c r="R280" s="6"/>
      <c r="S280" s="6"/>
      <c r="T280" s="6"/>
      <c r="U280" s="6"/>
      <c r="V280" s="7">
        <f>ROUND(5,2)</f>
        <v>5</v>
      </c>
      <c r="W280" s="6"/>
      <c r="X280" s="6"/>
      <c r="Y280" s="6"/>
      <c r="Z280" s="6"/>
      <c r="AA280" s="6"/>
      <c r="AB280" s="6"/>
      <c r="AC280" s="7">
        <f>ROUND(142.8,2)</f>
        <v>142.80000000000001</v>
      </c>
      <c r="AD280" s="7">
        <f>ROUND(1.67,2)</f>
        <v>1.67</v>
      </c>
      <c r="AE280" s="6"/>
      <c r="AF280" s="7">
        <f>ROUND(3,2)</f>
        <v>3</v>
      </c>
      <c r="AG280" s="7">
        <f>ROUND(27,2)</f>
        <v>27</v>
      </c>
      <c r="AH280" s="7">
        <f>ROUND(88,2)</f>
        <v>88</v>
      </c>
      <c r="AI280" s="6"/>
      <c r="AJ280" s="7">
        <f>ROUND(144,2)</f>
        <v>144</v>
      </c>
      <c r="AK280" s="6"/>
      <c r="AL280" s="7">
        <f>ROUND(8.5,2)</f>
        <v>8.5</v>
      </c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7">
        <f>ROUND(24,2)</f>
        <v>24</v>
      </c>
      <c r="BC280" s="7">
        <f>ROUND(272,2)</f>
        <v>272</v>
      </c>
      <c r="BD280" s="7">
        <f>ROUND(8.95,2)</f>
        <v>8.9499999999999993</v>
      </c>
      <c r="BE280" s="6"/>
      <c r="BF280" s="7">
        <f>ROUND(21,2)</f>
        <v>21</v>
      </c>
      <c r="BG280" s="7">
        <f>ROUND(29.82,2)</f>
        <v>29.82</v>
      </c>
      <c r="BH280" s="6"/>
      <c r="BI280" s="6"/>
      <c r="BJ280" s="6"/>
      <c r="BK280" s="6"/>
      <c r="BL280" s="6"/>
      <c r="BM280" s="7">
        <f>ROUND(8,2)</f>
        <v>8</v>
      </c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7">
        <f>ROUND(2478.24,2)</f>
        <v>2478.2399999999998</v>
      </c>
      <c r="CC280" s="6"/>
      <c r="CD280" s="6"/>
      <c r="CE280" s="6"/>
      <c r="CF280" s="6"/>
      <c r="CG280" s="7">
        <f>ROUND(40243.72,2)</f>
        <v>40243.72</v>
      </c>
      <c r="CH280" s="6"/>
      <c r="CI280" s="6"/>
      <c r="CJ280" s="7">
        <f>ROUND(11410.44,2)</f>
        <v>11410.44</v>
      </c>
      <c r="CK280" s="6"/>
      <c r="CL280" s="6"/>
      <c r="CM280" s="6"/>
      <c r="CN280" s="6"/>
      <c r="CO280" s="6"/>
      <c r="CP280" s="7">
        <f>ROUND(229.13,2)</f>
        <v>229.13</v>
      </c>
      <c r="CQ280" s="6"/>
      <c r="CR280" s="6"/>
      <c r="CS280" s="6"/>
      <c r="CT280" s="6"/>
      <c r="CU280" s="6"/>
      <c r="CV280" s="6"/>
      <c r="CW280" s="7">
        <f>ROUND(3966.98,2)</f>
        <v>3966.98</v>
      </c>
      <c r="CX280" s="7">
        <f>ROUND(69.59,2)</f>
        <v>69.59</v>
      </c>
      <c r="CY280" s="6"/>
      <c r="CZ280" s="6"/>
      <c r="DA280" s="7">
        <f>ROUND(83.34,2)</f>
        <v>83.34</v>
      </c>
      <c r="DB280" s="7">
        <f>ROUND(1172.25,2)</f>
        <v>1172.25</v>
      </c>
      <c r="DC280" s="7">
        <f>ROUND(2486.56,2)</f>
        <v>2486.56</v>
      </c>
      <c r="DD280" s="6"/>
      <c r="DE280" s="7">
        <f>ROUND(4042.24,2)</f>
        <v>4042.24</v>
      </c>
      <c r="DF280" s="6"/>
      <c r="DG280" s="6"/>
      <c r="DH280" s="6"/>
      <c r="DI280" s="7">
        <f>ROUND(236.13,2)</f>
        <v>236.13</v>
      </c>
      <c r="DJ280" s="6"/>
      <c r="DK280" s="6"/>
      <c r="DL280" s="6"/>
      <c r="DM280" s="6"/>
      <c r="DN280" s="7">
        <f>ROUND(295,2)</f>
        <v>295</v>
      </c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7">
        <f>ROUND(444.48,2)</f>
        <v>444.48</v>
      </c>
      <c r="ED280" s="6"/>
      <c r="EE280" s="7">
        <f>ROUND(475,2)</f>
        <v>475</v>
      </c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7">
        <f>ROUND(895.44,2)</f>
        <v>895.44</v>
      </c>
      <c r="ER280" s="6"/>
      <c r="ES280" s="6"/>
      <c r="ET280" s="6"/>
      <c r="EU280" s="6"/>
      <c r="EV280" s="7">
        <f>ROUND(66050.3,2)</f>
        <v>66050.3</v>
      </c>
    </row>
    <row r="281" spans="1:152" ht="24">
      <c r="A281" s="4" t="s">
        <v>718</v>
      </c>
      <c r="B281" s="4"/>
      <c r="C281" s="5" t="s">
        <v>233</v>
      </c>
      <c r="D281" s="5" t="s">
        <v>319</v>
      </c>
      <c r="E281" s="5" t="s">
        <v>0</v>
      </c>
      <c r="F281" s="5" t="s">
        <v>0</v>
      </c>
      <c r="G281" s="5" t="s">
        <v>236</v>
      </c>
      <c r="H281" s="10">
        <v>18.54</v>
      </c>
      <c r="I281" s="7">
        <f>ROUND(584.75,2)</f>
        <v>584.75</v>
      </c>
      <c r="J281" s="7">
        <f>ROUND(6.25,2)</f>
        <v>6.25</v>
      </c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7">
        <f>ROUND(10,2)</f>
        <v>10</v>
      </c>
      <c r="BU281" s="6"/>
      <c r="BV281" s="6"/>
      <c r="BW281" s="6"/>
      <c r="BX281" s="6"/>
      <c r="BY281" s="6"/>
      <c r="BZ281" s="6"/>
      <c r="CA281" s="6"/>
      <c r="CB281" s="7">
        <f>ROUND(601,2)</f>
        <v>601</v>
      </c>
      <c r="CC281" s="7">
        <f>ROUND(10615.15,2)</f>
        <v>10615.15</v>
      </c>
      <c r="CD281" s="7">
        <f>ROUND(173.81,2)</f>
        <v>173.81</v>
      </c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7">
        <f>ROUND(225,2)</f>
        <v>225</v>
      </c>
      <c r="EF281" s="6"/>
      <c r="EG281" s="7">
        <f>ROUND(182.7,2)</f>
        <v>182.7</v>
      </c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7">
        <f>ROUND(11196.66,2)</f>
        <v>11196.66</v>
      </c>
    </row>
    <row r="282" spans="1:152" ht="24">
      <c r="A282" s="4" t="s">
        <v>719</v>
      </c>
      <c r="B282" s="4"/>
      <c r="C282" s="5" t="s">
        <v>720</v>
      </c>
      <c r="D282" s="5" t="s">
        <v>614</v>
      </c>
      <c r="E282" s="5" t="s">
        <v>0</v>
      </c>
      <c r="F282" s="5" t="s">
        <v>0</v>
      </c>
      <c r="G282" s="5" t="s">
        <v>721</v>
      </c>
      <c r="H282" s="10">
        <v>29.66</v>
      </c>
      <c r="I282" s="7">
        <f>ROUND(1672,2)</f>
        <v>1672</v>
      </c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7">
        <f>ROUND(24,2)</f>
        <v>24</v>
      </c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7">
        <f>ROUND(32,2)</f>
        <v>32</v>
      </c>
      <c r="BU282" s="7">
        <f>ROUND(32,2)</f>
        <v>32</v>
      </c>
      <c r="BV282" s="6"/>
      <c r="BW282" s="6"/>
      <c r="BX282" s="7">
        <f>ROUND(48,2)</f>
        <v>48</v>
      </c>
      <c r="BY282" s="7">
        <f>ROUND(136,2)</f>
        <v>136</v>
      </c>
      <c r="BZ282" s="7">
        <f>ROUND(16,2)</f>
        <v>16</v>
      </c>
      <c r="CA282" s="6"/>
      <c r="CB282" s="7">
        <f>ROUND(1960,2)</f>
        <v>1960</v>
      </c>
      <c r="CC282" s="7">
        <f>ROUND(47076.54,2)</f>
        <v>47076.54</v>
      </c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7">
        <f>ROUND(500,2)</f>
        <v>500</v>
      </c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7">
        <f>ROUND(671.089999999999,2)</f>
        <v>671.09</v>
      </c>
      <c r="EE282" s="7">
        <f>ROUND(2847.36,2)</f>
        <v>2847.36</v>
      </c>
      <c r="EF282" s="6"/>
      <c r="EG282" s="7">
        <f>ROUND(908.379999999999,2)</f>
        <v>908.38</v>
      </c>
      <c r="EH282" s="7">
        <f>ROUND(894.79,2)</f>
        <v>894.79</v>
      </c>
      <c r="EI282" s="6"/>
      <c r="EJ282" s="6"/>
      <c r="EK282" s="6"/>
      <c r="EL282" s="6"/>
      <c r="EM282" s="6"/>
      <c r="EN282" s="7">
        <f>ROUND(1362.29,2)</f>
        <v>1362.29</v>
      </c>
      <c r="EO282" s="6"/>
      <c r="EP282" s="6"/>
      <c r="EQ282" s="6"/>
      <c r="ER282" s="6"/>
      <c r="ES282" s="7">
        <f>ROUND(3836.35999999999,2)</f>
        <v>3836.36</v>
      </c>
      <c r="ET282" s="7">
        <f>ROUND(460.98,2)</f>
        <v>460.98</v>
      </c>
      <c r="EU282" s="6"/>
      <c r="EV282" s="7">
        <f>ROUND(58557.79,2)</f>
        <v>58557.79</v>
      </c>
    </row>
    <row r="283" spans="1:152">
      <c r="A283" s="4" t="s">
        <v>722</v>
      </c>
      <c r="B283" s="4" t="s">
        <v>1058</v>
      </c>
      <c r="C283" s="5" t="s">
        <v>152</v>
      </c>
      <c r="D283" s="5" t="s">
        <v>396</v>
      </c>
      <c r="E283" s="5" t="s">
        <v>0</v>
      </c>
      <c r="F283" s="5" t="s">
        <v>0</v>
      </c>
      <c r="G283" s="5" t="s">
        <v>155</v>
      </c>
      <c r="H283" s="10">
        <v>28.88</v>
      </c>
      <c r="I283" s="6"/>
      <c r="J283" s="6"/>
      <c r="K283" s="6"/>
      <c r="L283" s="6"/>
      <c r="M283" s="7">
        <f>ROUND(912.72,2)</f>
        <v>912.72</v>
      </c>
      <c r="N283" s="6"/>
      <c r="O283" s="6"/>
      <c r="P283" s="7">
        <f>ROUND(108.669999999999,2)</f>
        <v>108.67</v>
      </c>
      <c r="Q283" s="6"/>
      <c r="R283" s="6"/>
      <c r="S283" s="6"/>
      <c r="T283" s="6"/>
      <c r="U283" s="7">
        <f>ROUND(54.05,2)</f>
        <v>54.05</v>
      </c>
      <c r="V283" s="7">
        <f>ROUND(13.19,2)</f>
        <v>13.19</v>
      </c>
      <c r="W283" s="7">
        <f>ROUND(10.55,2)</f>
        <v>10.55</v>
      </c>
      <c r="X283" s="7">
        <f>ROUND(2,2)</f>
        <v>2</v>
      </c>
      <c r="Y283" s="6"/>
      <c r="Z283" s="6"/>
      <c r="AA283" s="6"/>
      <c r="AB283" s="6"/>
      <c r="AC283" s="7">
        <f>ROUND(240.56,2)</f>
        <v>240.56</v>
      </c>
      <c r="AD283" s="7">
        <f>ROUND(16.62,2)</f>
        <v>16.62</v>
      </c>
      <c r="AE283" s="6"/>
      <c r="AF283" s="7">
        <f>ROUND(655.479999999999,2)</f>
        <v>655.48</v>
      </c>
      <c r="AG283" s="7">
        <f>ROUND(87.27,2)</f>
        <v>87.27</v>
      </c>
      <c r="AH283" s="7">
        <f>ROUND(80,2)</f>
        <v>80</v>
      </c>
      <c r="AI283" s="6"/>
      <c r="AJ283" s="7">
        <f>ROUND(40,2)</f>
        <v>40</v>
      </c>
      <c r="AK283" s="6"/>
      <c r="AL283" s="7">
        <f>ROUND(8,2)</f>
        <v>8</v>
      </c>
      <c r="AM283" s="6"/>
      <c r="AN283" s="6"/>
      <c r="AO283" s="6"/>
      <c r="AP283" s="6"/>
      <c r="AQ283" s="6"/>
      <c r="AR283" s="7">
        <f>ROUND(2,2)</f>
        <v>2</v>
      </c>
      <c r="AS283" s="6"/>
      <c r="AT283" s="6"/>
      <c r="AU283" s="6"/>
      <c r="AV283" s="6"/>
      <c r="AW283" s="6"/>
      <c r="AX283" s="6"/>
      <c r="AY283" s="6"/>
      <c r="AZ283" s="6"/>
      <c r="BA283" s="6"/>
      <c r="BB283" s="7">
        <f>ROUND(16,2)</f>
        <v>16</v>
      </c>
      <c r="BC283" s="7">
        <f>ROUND(56,2)</f>
        <v>56</v>
      </c>
      <c r="BD283" s="7">
        <f>ROUND(5.27,2)</f>
        <v>5.27</v>
      </c>
      <c r="BE283" s="7">
        <f>ROUND(26.92,2)</f>
        <v>26.92</v>
      </c>
      <c r="BF283" s="6"/>
      <c r="BG283" s="6"/>
      <c r="BH283" s="6"/>
      <c r="BI283" s="6"/>
      <c r="BJ283" s="6"/>
      <c r="BK283" s="6"/>
      <c r="BL283" s="6"/>
      <c r="BM283" s="7">
        <f>ROUND(8,2)</f>
        <v>8</v>
      </c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7">
        <f>ROUND(2343.3,2)</f>
        <v>2343.3000000000002</v>
      </c>
      <c r="CC283" s="6"/>
      <c r="CD283" s="6"/>
      <c r="CE283" s="6"/>
      <c r="CF283" s="6"/>
      <c r="CG283" s="7">
        <f>ROUND(19867.7699999999,2)</f>
        <v>19867.77</v>
      </c>
      <c r="CH283" s="6"/>
      <c r="CI283" s="6"/>
      <c r="CJ283" s="7">
        <f>ROUND(3585.84,2)</f>
        <v>3585.84</v>
      </c>
      <c r="CK283" s="6"/>
      <c r="CL283" s="6"/>
      <c r="CM283" s="6"/>
      <c r="CN283" s="6"/>
      <c r="CO283" s="7">
        <f>ROUND(1134.28,2)</f>
        <v>1134.28</v>
      </c>
      <c r="CP283" s="7">
        <f>ROUND(414.08,2)</f>
        <v>414.08</v>
      </c>
      <c r="CQ283" s="7">
        <f>ROUND(222.41,2)</f>
        <v>222.41</v>
      </c>
      <c r="CR283" s="7">
        <f>ROUND(62.5,2)</f>
        <v>62.5</v>
      </c>
      <c r="CS283" s="6"/>
      <c r="CT283" s="6"/>
      <c r="CU283" s="6"/>
      <c r="CV283" s="6"/>
      <c r="CW283" s="7">
        <f>ROUND(5158.61,2)</f>
        <v>5158.6099999999997</v>
      </c>
      <c r="CX283" s="7">
        <f>ROUND(553.88,2)</f>
        <v>553.88</v>
      </c>
      <c r="CY283" s="6"/>
      <c r="CZ283" s="7">
        <f>ROUND(688,2)</f>
        <v>688</v>
      </c>
      <c r="DA283" s="7">
        <f>ROUND(14441.18,2)</f>
        <v>14441.18</v>
      </c>
      <c r="DB283" s="7">
        <f>ROUND(2896.35,2)</f>
        <v>2896.35</v>
      </c>
      <c r="DC283" s="7">
        <f>ROUND(1771.2,2)</f>
        <v>1771.2</v>
      </c>
      <c r="DD283" s="6"/>
      <c r="DE283" s="7">
        <f>ROUND(885.6,2)</f>
        <v>885.6</v>
      </c>
      <c r="DF283" s="6"/>
      <c r="DG283" s="6"/>
      <c r="DH283" s="6"/>
      <c r="DI283" s="7">
        <f>ROUND(166.68,2)</f>
        <v>166.68</v>
      </c>
      <c r="DJ283" s="6"/>
      <c r="DK283" s="6"/>
      <c r="DL283" s="6"/>
      <c r="DM283" s="6"/>
      <c r="DN283" s="6"/>
      <c r="DO283" s="6"/>
      <c r="DP283" s="7">
        <f>ROUND(41.67,2)</f>
        <v>41.67</v>
      </c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7">
        <f>ROUND(875,2)</f>
        <v>875</v>
      </c>
      <c r="EF283" s="6"/>
      <c r="EG283" s="6"/>
      <c r="EH283" s="6"/>
      <c r="EI283" s="6"/>
      <c r="EJ283" s="7">
        <f>ROUND(1500,2)</f>
        <v>1500</v>
      </c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7">
        <f>ROUND(54265.0499999999,2)</f>
        <v>54265.05</v>
      </c>
    </row>
    <row r="284" spans="1:152" ht="24">
      <c r="A284" s="4" t="s">
        <v>723</v>
      </c>
      <c r="B284" s="4"/>
      <c r="C284" s="5" t="s">
        <v>285</v>
      </c>
      <c r="D284" s="5" t="s">
        <v>724</v>
      </c>
      <c r="E284" s="5" t="s">
        <v>0</v>
      </c>
      <c r="F284" s="5" t="s">
        <v>0</v>
      </c>
      <c r="G284" s="5" t="s">
        <v>300</v>
      </c>
      <c r="H284" s="10">
        <v>1326.13</v>
      </c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7">
        <f>ROUND(2,2)</f>
        <v>2</v>
      </c>
      <c r="AB284" s="7">
        <f>ROUND(12,2)</f>
        <v>12</v>
      </c>
      <c r="AC284" s="6"/>
      <c r="AD284" s="6"/>
      <c r="AE284" s="6"/>
      <c r="AF284" s="6"/>
      <c r="AG284" s="6"/>
      <c r="AH284" s="6"/>
      <c r="AI284" s="7">
        <f>ROUND(8,2)</f>
        <v>8</v>
      </c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7">
        <f>ROUND(16,2)</f>
        <v>16</v>
      </c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7">
        <f>ROUND(32,2)</f>
        <v>32</v>
      </c>
      <c r="BU284" s="6"/>
      <c r="BV284" s="6"/>
      <c r="BW284" s="6"/>
      <c r="BX284" s="6"/>
      <c r="BY284" s="6"/>
      <c r="BZ284" s="6"/>
      <c r="CA284" s="6"/>
      <c r="CB284" s="7">
        <f>ROUND(70,2)</f>
        <v>70</v>
      </c>
      <c r="CC284" s="7">
        <f>ROUND(51931.7799999999,2)</f>
        <v>51931.78</v>
      </c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7">
        <f>ROUND(750,2)</f>
        <v>750</v>
      </c>
      <c r="CV284" s="7">
        <f>ROUND(4500,2)</f>
        <v>4500</v>
      </c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7">
        <f>ROUND(1326,2)</f>
        <v>1326</v>
      </c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7">
        <f>ROUND(58507.7799999999,2)</f>
        <v>58507.78</v>
      </c>
    </row>
    <row r="285" spans="1:152">
      <c r="A285" s="4" t="s">
        <v>725</v>
      </c>
      <c r="B285" s="4" t="s">
        <v>1058</v>
      </c>
      <c r="C285" s="5" t="s">
        <v>152</v>
      </c>
      <c r="D285" s="5" t="s">
        <v>726</v>
      </c>
      <c r="E285" s="5" t="s">
        <v>0</v>
      </c>
      <c r="F285" s="5" t="s">
        <v>0</v>
      </c>
      <c r="G285" s="5" t="s">
        <v>155</v>
      </c>
      <c r="H285" s="10">
        <v>30.4</v>
      </c>
      <c r="I285" s="6"/>
      <c r="J285" s="6"/>
      <c r="K285" s="6"/>
      <c r="L285" s="6"/>
      <c r="M285" s="7">
        <f>ROUND(1783.65999999999,2)</f>
        <v>1783.66</v>
      </c>
      <c r="N285" s="6"/>
      <c r="O285" s="6"/>
      <c r="P285" s="7">
        <f>ROUND(354.12,2)</f>
        <v>354.12</v>
      </c>
      <c r="Q285" s="6"/>
      <c r="R285" s="6"/>
      <c r="S285" s="6"/>
      <c r="T285" s="6"/>
      <c r="U285" s="7">
        <f>ROUND(1.34,2)</f>
        <v>1.34</v>
      </c>
      <c r="V285" s="7">
        <f>ROUND(58.5899999999999,2)</f>
        <v>58.59</v>
      </c>
      <c r="W285" s="6"/>
      <c r="X285" s="7">
        <f>ROUND(1,2)</f>
        <v>1</v>
      </c>
      <c r="Y285" s="6"/>
      <c r="Z285" s="6"/>
      <c r="AA285" s="6"/>
      <c r="AB285" s="6"/>
      <c r="AC285" s="6"/>
      <c r="AD285" s="7">
        <f>ROUND(3.33,2)</f>
        <v>3.33</v>
      </c>
      <c r="AE285" s="6"/>
      <c r="AF285" s="6"/>
      <c r="AG285" s="7">
        <f>ROUND(59.17,2)</f>
        <v>59.17</v>
      </c>
      <c r="AH285" s="7">
        <f>ROUND(90,2)</f>
        <v>90</v>
      </c>
      <c r="AI285" s="6"/>
      <c r="AJ285" s="7">
        <f>ROUND(200,2)</f>
        <v>200</v>
      </c>
      <c r="AK285" s="6"/>
      <c r="AL285" s="7">
        <f>ROUND(5,2)</f>
        <v>5</v>
      </c>
      <c r="AM285" s="6"/>
      <c r="AN285" s="7">
        <f>ROUND(3,2)</f>
        <v>3</v>
      </c>
      <c r="AO285" s="6"/>
      <c r="AP285" s="6"/>
      <c r="AQ285" s="6"/>
      <c r="AR285" s="6"/>
      <c r="AS285" s="6"/>
      <c r="AT285" s="6"/>
      <c r="AU285" s="6"/>
      <c r="AV285" s="6"/>
      <c r="AW285" s="7">
        <f>ROUND(2.33,2)</f>
        <v>2.33</v>
      </c>
      <c r="AX285" s="6"/>
      <c r="AY285" s="6"/>
      <c r="AZ285" s="6"/>
      <c r="BA285" s="6"/>
      <c r="BB285" s="6"/>
      <c r="BC285" s="6"/>
      <c r="BD285" s="7">
        <f>ROUND(0.58,2)</f>
        <v>0.57999999999999996</v>
      </c>
      <c r="BE285" s="7">
        <f>ROUND(24.5,2)</f>
        <v>24.5</v>
      </c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7">
        <f>ROUND(2586.62,2)</f>
        <v>2586.62</v>
      </c>
      <c r="CC285" s="6"/>
      <c r="CD285" s="6"/>
      <c r="CE285" s="6"/>
      <c r="CF285" s="6"/>
      <c r="CG285" s="7">
        <f>ROUND(50199.8399999999,2)</f>
        <v>50199.839999999997</v>
      </c>
      <c r="CH285" s="6"/>
      <c r="CI285" s="6"/>
      <c r="CJ285" s="7">
        <f>ROUND(15004.93,2)</f>
        <v>15004.93</v>
      </c>
      <c r="CK285" s="6"/>
      <c r="CL285" s="6"/>
      <c r="CM285" s="6"/>
      <c r="CN285" s="6"/>
      <c r="CO285" s="7">
        <f>ROUND(37.42,2)</f>
        <v>37.42</v>
      </c>
      <c r="CP285" s="7">
        <f>ROUND(2496.69,2)</f>
        <v>2496.69</v>
      </c>
      <c r="CQ285" s="6"/>
      <c r="CR285" s="7">
        <f>ROUND(41.67,2)</f>
        <v>41.67</v>
      </c>
      <c r="CS285" s="6"/>
      <c r="CT285" s="6"/>
      <c r="CU285" s="6"/>
      <c r="CV285" s="6"/>
      <c r="CW285" s="6"/>
      <c r="CX285" s="7">
        <f>ROUND(138.76,2)</f>
        <v>138.76</v>
      </c>
      <c r="CY285" s="6"/>
      <c r="CZ285" s="6"/>
      <c r="DA285" s="6"/>
      <c r="DB285" s="7">
        <f>ROUND(2516.26999999999,2)</f>
        <v>2516.27</v>
      </c>
      <c r="DC285" s="7">
        <f>ROUND(2584.04,2)</f>
        <v>2584.04</v>
      </c>
      <c r="DD285" s="6"/>
      <c r="DE285" s="7">
        <f>ROUND(5555.99999999999,2)</f>
        <v>5556</v>
      </c>
      <c r="DF285" s="6"/>
      <c r="DG285" s="6"/>
      <c r="DH285" s="6"/>
      <c r="DI285" s="7">
        <f>ROUND(138.9,2)</f>
        <v>138.9</v>
      </c>
      <c r="DJ285" s="6"/>
      <c r="DK285" s="7">
        <f>ROUND(125.01,2)</f>
        <v>125.01</v>
      </c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7">
        <f>ROUND(97.62,2)</f>
        <v>97.62</v>
      </c>
      <c r="DY285" s="6"/>
      <c r="DZ285" s="6"/>
      <c r="EA285" s="6"/>
      <c r="EB285" s="6"/>
      <c r="EC285" s="6"/>
      <c r="ED285" s="6"/>
      <c r="EE285" s="7">
        <f>ROUND(1275,2)</f>
        <v>1275</v>
      </c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7">
        <f>ROUND(1250,2)</f>
        <v>1250</v>
      </c>
      <c r="ER285" s="6"/>
      <c r="ES285" s="6"/>
      <c r="ET285" s="6"/>
      <c r="EU285" s="6"/>
      <c r="EV285" s="7">
        <f>ROUND(81462.1499999999,2)</f>
        <v>81462.149999999994</v>
      </c>
    </row>
    <row r="286" spans="1:152">
      <c r="A286" s="4" t="s">
        <v>727</v>
      </c>
      <c r="B286" s="4" t="s">
        <v>1058</v>
      </c>
      <c r="C286" s="5" t="s">
        <v>152</v>
      </c>
      <c r="D286" s="5" t="s">
        <v>656</v>
      </c>
      <c r="E286" s="5" t="s">
        <v>0</v>
      </c>
      <c r="F286" s="5" t="s">
        <v>0</v>
      </c>
      <c r="G286" s="5" t="s">
        <v>155</v>
      </c>
      <c r="H286" s="10">
        <v>30.4</v>
      </c>
      <c r="I286" s="6"/>
      <c r="J286" s="6"/>
      <c r="K286" s="6"/>
      <c r="L286" s="6"/>
      <c r="M286" s="7">
        <f>ROUND(1688.81,2)</f>
        <v>1688.81</v>
      </c>
      <c r="N286" s="6"/>
      <c r="O286" s="6"/>
      <c r="P286" s="7">
        <f>ROUND(278.889999999999,2)</f>
        <v>278.89</v>
      </c>
      <c r="Q286" s="6"/>
      <c r="R286" s="6"/>
      <c r="S286" s="6"/>
      <c r="T286" s="7">
        <f>ROUND(0.1,2)</f>
        <v>0.1</v>
      </c>
      <c r="U286" s="7">
        <f>ROUND(80.7,2)</f>
        <v>80.7</v>
      </c>
      <c r="V286" s="7">
        <f>ROUND(4.18,2)</f>
        <v>4.18</v>
      </c>
      <c r="W286" s="7">
        <f>ROUND(2.56,2)</f>
        <v>2.56</v>
      </c>
      <c r="X286" s="6"/>
      <c r="Y286" s="6"/>
      <c r="Z286" s="6"/>
      <c r="AA286" s="6"/>
      <c r="AB286" s="6"/>
      <c r="AC286" s="7">
        <f>ROUND(29.25,2)</f>
        <v>29.25</v>
      </c>
      <c r="AD286" s="6"/>
      <c r="AE286" s="6"/>
      <c r="AF286" s="7">
        <f>ROUND(105.16,2)</f>
        <v>105.16</v>
      </c>
      <c r="AG286" s="7">
        <f>ROUND(8,2)</f>
        <v>8</v>
      </c>
      <c r="AH286" s="7">
        <f>ROUND(88,2)</f>
        <v>88</v>
      </c>
      <c r="AI286" s="6"/>
      <c r="AJ286" s="7">
        <f>ROUND(24,2)</f>
        <v>24</v>
      </c>
      <c r="AK286" s="6"/>
      <c r="AL286" s="7">
        <f>ROUND(8.5,2)</f>
        <v>8.5</v>
      </c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7">
        <f>ROUND(24,2)</f>
        <v>24</v>
      </c>
      <c r="BC286" s="7">
        <f>ROUND(56,2)</f>
        <v>56</v>
      </c>
      <c r="BD286" s="6"/>
      <c r="BE286" s="7">
        <f>ROUND(4,2)</f>
        <v>4</v>
      </c>
      <c r="BF286" s="6"/>
      <c r="BG286" s="6"/>
      <c r="BH286" s="6"/>
      <c r="BI286" s="6"/>
      <c r="BJ286" s="7">
        <f>ROUND(8,2)</f>
        <v>8</v>
      </c>
      <c r="BK286" s="6"/>
      <c r="BL286" s="6"/>
      <c r="BM286" s="7">
        <f>ROUND(16,2)</f>
        <v>16</v>
      </c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7">
        <f>ROUND(56,2)</f>
        <v>56</v>
      </c>
      <c r="CB286" s="7">
        <f>ROUND(2482.15,2)</f>
        <v>2482.15</v>
      </c>
      <c r="CC286" s="6"/>
      <c r="CD286" s="6"/>
      <c r="CE286" s="6"/>
      <c r="CF286" s="6"/>
      <c r="CG286" s="7">
        <f>ROUND(43684.55,2)</f>
        <v>43684.55</v>
      </c>
      <c r="CH286" s="6"/>
      <c r="CI286" s="6"/>
      <c r="CJ286" s="7">
        <f>ROUND(10981.93,2)</f>
        <v>10981.93</v>
      </c>
      <c r="CK286" s="6"/>
      <c r="CL286" s="6"/>
      <c r="CM286" s="6"/>
      <c r="CN286" s="7">
        <f>ROUND(5,2)</f>
        <v>5</v>
      </c>
      <c r="CO286" s="7">
        <f>ROUND(2019.85,2)</f>
        <v>2019.85</v>
      </c>
      <c r="CP286" s="7">
        <f>ROUND(157.7,2)</f>
        <v>157.69999999999999</v>
      </c>
      <c r="CQ286" s="7">
        <f>ROUND(64.1,2)</f>
        <v>64.099999999999994</v>
      </c>
      <c r="CR286" s="6"/>
      <c r="CS286" s="6"/>
      <c r="CT286" s="6"/>
      <c r="CU286" s="6"/>
      <c r="CV286" s="6"/>
      <c r="CW286" s="7">
        <f>ROUND(731.28,2)</f>
        <v>731.28</v>
      </c>
      <c r="CX286" s="6"/>
      <c r="CY286" s="6"/>
      <c r="CZ286" s="6"/>
      <c r="DA286" s="7">
        <f>ROUND(2631.75,2)</f>
        <v>2631.75</v>
      </c>
      <c r="DB286" s="7">
        <f>ROUND(300.01,2)</f>
        <v>300.01</v>
      </c>
      <c r="DC286" s="7">
        <f>ROUND(2286.49,2)</f>
        <v>2286.4899999999998</v>
      </c>
      <c r="DD286" s="6"/>
      <c r="DE286" s="7">
        <f>ROUND(643.22,2)</f>
        <v>643.22</v>
      </c>
      <c r="DF286" s="6"/>
      <c r="DG286" s="6"/>
      <c r="DH286" s="6"/>
      <c r="DI286" s="7">
        <f>ROUND(212.51,2)</f>
        <v>212.51</v>
      </c>
      <c r="DJ286" s="6"/>
      <c r="DK286" s="6"/>
      <c r="DL286" s="6"/>
      <c r="DM286" s="6"/>
      <c r="DN286" s="6"/>
      <c r="DO286" s="6"/>
      <c r="DP286" s="6"/>
      <c r="DQ286" s="6"/>
      <c r="DR286" s="7">
        <f>ROUND(500,2)</f>
        <v>500</v>
      </c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7">
        <f>ROUND(800,2)</f>
        <v>800</v>
      </c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7">
        <f>ROUND(1250,2)</f>
        <v>1250</v>
      </c>
      <c r="ER286" s="6"/>
      <c r="ES286" s="6"/>
      <c r="ET286" s="6"/>
      <c r="EU286" s="7">
        <f>ROUND(1702.4,2)</f>
        <v>1702.4</v>
      </c>
      <c r="EV286" s="7">
        <f>ROUND(67970.79,2)</f>
        <v>67970.789999999994</v>
      </c>
    </row>
    <row r="287" spans="1:152">
      <c r="A287" s="4" t="s">
        <v>728</v>
      </c>
      <c r="B287" s="4" t="s">
        <v>1058</v>
      </c>
      <c r="C287" s="5" t="s">
        <v>152</v>
      </c>
      <c r="D287" s="5" t="s">
        <v>160</v>
      </c>
      <c r="E287" s="5" t="s">
        <v>164</v>
      </c>
      <c r="F287" s="5" t="s">
        <v>0</v>
      </c>
      <c r="G287" s="5" t="s">
        <v>155</v>
      </c>
      <c r="H287" s="10">
        <v>20.84</v>
      </c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7">
        <f>ROUND(10,2)</f>
        <v>10</v>
      </c>
      <c r="AI287" s="6"/>
      <c r="AJ287" s="6"/>
      <c r="AK287" s="6"/>
      <c r="AL287" s="7">
        <f>ROUND(216,2)</f>
        <v>216</v>
      </c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7">
        <f>ROUND(10,2)</f>
        <v>10</v>
      </c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7">
        <f>ROUND(236,2)</f>
        <v>236</v>
      </c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7">
        <f>ROUND(87.5,2)</f>
        <v>87.5</v>
      </c>
      <c r="DD287" s="6"/>
      <c r="DE287" s="6"/>
      <c r="DF287" s="6"/>
      <c r="DG287" s="6"/>
      <c r="DH287" s="6"/>
      <c r="DI287" s="7">
        <f>ROUND(3780,2)</f>
        <v>3780</v>
      </c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7">
        <f>ROUND(3867.5,2)</f>
        <v>3867.5</v>
      </c>
    </row>
    <row r="288" spans="1:152">
      <c r="A288" s="4" t="s">
        <v>729</v>
      </c>
      <c r="B288" s="4" t="s">
        <v>1058</v>
      </c>
      <c r="C288" s="5" t="s">
        <v>152</v>
      </c>
      <c r="D288" s="5" t="s">
        <v>224</v>
      </c>
      <c r="E288" s="5" t="s">
        <v>0</v>
      </c>
      <c r="F288" s="5" t="s">
        <v>0</v>
      </c>
      <c r="G288" s="5" t="s">
        <v>155</v>
      </c>
      <c r="H288" s="10">
        <v>30.4</v>
      </c>
      <c r="I288" s="6"/>
      <c r="J288" s="6"/>
      <c r="K288" s="6"/>
      <c r="L288" s="6"/>
      <c r="M288" s="7">
        <f>ROUND(1231.73999999999,2)</f>
        <v>1231.74</v>
      </c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7">
        <f>ROUND(0.13,2)</f>
        <v>0.13</v>
      </c>
      <c r="Z288" s="6"/>
      <c r="AA288" s="6"/>
      <c r="AB288" s="6"/>
      <c r="AC288" s="7">
        <f>ROUND(5.25,2)</f>
        <v>5.25</v>
      </c>
      <c r="AD288" s="6"/>
      <c r="AE288" s="6"/>
      <c r="AF288" s="6"/>
      <c r="AG288" s="6"/>
      <c r="AH288" s="7">
        <f>ROUND(45,2)</f>
        <v>45</v>
      </c>
      <c r="AI288" s="6"/>
      <c r="AJ288" s="7">
        <f>ROUND(50,2)</f>
        <v>50</v>
      </c>
      <c r="AK288" s="6"/>
      <c r="AL288" s="7">
        <f>ROUND(8,2)</f>
        <v>8</v>
      </c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7">
        <f>ROUND(15,2)</f>
        <v>15</v>
      </c>
      <c r="BC288" s="7">
        <f>ROUND(65,2)</f>
        <v>65</v>
      </c>
      <c r="BD288" s="6"/>
      <c r="BE288" s="7">
        <f>ROUND(1.07,2)</f>
        <v>1.07</v>
      </c>
      <c r="BF288" s="6"/>
      <c r="BG288" s="6"/>
      <c r="BH288" s="6"/>
      <c r="BI288" s="6"/>
      <c r="BJ288" s="6"/>
      <c r="BK288" s="6"/>
      <c r="BL288" s="6"/>
      <c r="BM288" s="7">
        <f>ROUND(40,2)</f>
        <v>40</v>
      </c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7">
        <f>ROUND(1461.18999999999,2)</f>
        <v>1461.19</v>
      </c>
      <c r="CC288" s="6"/>
      <c r="CD288" s="6"/>
      <c r="CE288" s="6"/>
      <c r="CF288" s="6"/>
      <c r="CG288" s="7">
        <f>ROUND(30913.04,2)</f>
        <v>30913.040000000001</v>
      </c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7">
        <f>ROUND(7.9,2)</f>
        <v>7.9</v>
      </c>
      <c r="CT288" s="6"/>
      <c r="CU288" s="6"/>
      <c r="CV288" s="6"/>
      <c r="CW288" s="7">
        <f>ROUND(159.6,2)</f>
        <v>159.6</v>
      </c>
      <c r="CX288" s="6"/>
      <c r="CY288" s="6"/>
      <c r="CZ288" s="6"/>
      <c r="DA288" s="6"/>
      <c r="DB288" s="6"/>
      <c r="DC288" s="7">
        <f>ROUND(1149.88,2)</f>
        <v>1149.8800000000001</v>
      </c>
      <c r="DD288" s="6"/>
      <c r="DE288" s="7">
        <f>ROUND(1270.72,2)</f>
        <v>1270.72</v>
      </c>
      <c r="DF288" s="6"/>
      <c r="DG288" s="6"/>
      <c r="DH288" s="6"/>
      <c r="DI288" s="7">
        <f>ROUND(193.34,2)</f>
        <v>193.34</v>
      </c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7">
        <f>ROUND(375,2)</f>
        <v>375</v>
      </c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7">
        <f>ROUND(625,2)</f>
        <v>625</v>
      </c>
      <c r="ER288" s="6"/>
      <c r="ES288" s="6"/>
      <c r="ET288" s="6"/>
      <c r="EU288" s="6"/>
      <c r="EV288" s="7">
        <f>ROUND(34694.48,2)</f>
        <v>34694.480000000003</v>
      </c>
    </row>
    <row r="289" spans="1:152" ht="24">
      <c r="A289" s="4" t="s">
        <v>730</v>
      </c>
      <c r="B289" s="4"/>
      <c r="C289" s="5" t="s">
        <v>430</v>
      </c>
      <c r="D289" s="5" t="s">
        <v>281</v>
      </c>
      <c r="E289" s="5" t="s">
        <v>0</v>
      </c>
      <c r="F289" s="5" t="s">
        <v>0</v>
      </c>
      <c r="G289" s="5" t="s">
        <v>433</v>
      </c>
      <c r="H289" s="10">
        <v>1336.54</v>
      </c>
      <c r="I289" s="7">
        <f>ROUND(32,2)</f>
        <v>32</v>
      </c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7">
        <f>ROUND(1,2)</f>
        <v>1</v>
      </c>
      <c r="AF289" s="6"/>
      <c r="AG289" s="6"/>
      <c r="AH289" s="7">
        <f>ROUND(8,2)</f>
        <v>8</v>
      </c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7">
        <f>ROUND(40,2)</f>
        <v>40</v>
      </c>
      <c r="BS289" s="6"/>
      <c r="BT289" s="6"/>
      <c r="BU289" s="6"/>
      <c r="BV289" s="6"/>
      <c r="BW289" s="6"/>
      <c r="BX289" s="6"/>
      <c r="BY289" s="6"/>
      <c r="BZ289" s="6"/>
      <c r="CA289" s="6"/>
      <c r="CB289" s="7">
        <f>ROUND(81,2)</f>
        <v>81</v>
      </c>
      <c r="CC289" s="7">
        <f>ROUND(7751.82,2)</f>
        <v>7751.82</v>
      </c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7">
        <f>ROUND(375,2)</f>
        <v>375</v>
      </c>
      <c r="CZ289" s="6"/>
      <c r="DA289" s="6"/>
      <c r="DB289" s="6"/>
      <c r="DC289" s="7">
        <f>ROUND(267.28,2)</f>
        <v>267.27999999999997</v>
      </c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7">
        <f>ROUND(225,2)</f>
        <v>225</v>
      </c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7">
        <f>ROUND(8619.09999999999,2)</f>
        <v>8619.1</v>
      </c>
    </row>
    <row r="290" spans="1:152">
      <c r="A290" s="4" t="s">
        <v>731</v>
      </c>
      <c r="B290" s="4" t="s">
        <v>1058</v>
      </c>
      <c r="C290" s="5" t="s">
        <v>152</v>
      </c>
      <c r="D290" s="5" t="s">
        <v>517</v>
      </c>
      <c r="E290" s="5" t="s">
        <v>0</v>
      </c>
      <c r="F290" s="5" t="s">
        <v>0</v>
      </c>
      <c r="G290" s="5" t="s">
        <v>155</v>
      </c>
      <c r="H290" s="10">
        <v>30.4</v>
      </c>
      <c r="I290" s="6"/>
      <c r="J290" s="6"/>
      <c r="K290" s="6"/>
      <c r="L290" s="6"/>
      <c r="M290" s="7">
        <f>ROUND(989.07,2)</f>
        <v>989.07</v>
      </c>
      <c r="N290" s="6"/>
      <c r="O290" s="6"/>
      <c r="P290" s="7">
        <f>ROUND(183.119999999999,2)</f>
        <v>183.12</v>
      </c>
      <c r="Q290" s="6"/>
      <c r="R290" s="6"/>
      <c r="S290" s="6"/>
      <c r="T290" s="6"/>
      <c r="U290" s="7">
        <f>ROUND(7.68,2)</f>
        <v>7.68</v>
      </c>
      <c r="V290" s="7">
        <f>ROUND(7.92,2)</f>
        <v>7.92</v>
      </c>
      <c r="W290" s="7">
        <f>ROUND(8.09,2)</f>
        <v>8.09</v>
      </c>
      <c r="X290" s="7">
        <f>ROUND(0.33,2)</f>
        <v>0.33</v>
      </c>
      <c r="Y290" s="6"/>
      <c r="Z290" s="6"/>
      <c r="AA290" s="6"/>
      <c r="AB290" s="6"/>
      <c r="AC290" s="7">
        <f>ROUND(276.69,2)</f>
        <v>276.69</v>
      </c>
      <c r="AD290" s="7">
        <f>ROUND(27.09,2)</f>
        <v>27.09</v>
      </c>
      <c r="AE290" s="6"/>
      <c r="AF290" s="7">
        <f>ROUND(576.73,2)</f>
        <v>576.73</v>
      </c>
      <c r="AG290" s="7">
        <f>ROUND(48.23,2)</f>
        <v>48.23</v>
      </c>
      <c r="AH290" s="7">
        <f>ROUND(88,2)</f>
        <v>88</v>
      </c>
      <c r="AI290" s="6"/>
      <c r="AJ290" s="7">
        <f>ROUND(104,2)</f>
        <v>104</v>
      </c>
      <c r="AK290" s="6"/>
      <c r="AL290" s="7">
        <f>ROUND(8.5,2)</f>
        <v>8.5</v>
      </c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7">
        <f>ROUND(16,2)</f>
        <v>16</v>
      </c>
      <c r="BF290" s="6"/>
      <c r="BG290" s="6"/>
      <c r="BH290" s="6"/>
      <c r="BI290" s="6"/>
      <c r="BJ290" s="6"/>
      <c r="BK290" s="6"/>
      <c r="BL290" s="6"/>
      <c r="BM290" s="7">
        <f>ROUND(9.67,2)</f>
        <v>9.67</v>
      </c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7">
        <f>ROUND(16,2)</f>
        <v>16</v>
      </c>
      <c r="CB290" s="7">
        <f>ROUND(2367.11999999999,2)</f>
        <v>2367.12</v>
      </c>
      <c r="CC290" s="6"/>
      <c r="CD290" s="6"/>
      <c r="CE290" s="6"/>
      <c r="CF290" s="6"/>
      <c r="CG290" s="7">
        <f>ROUND(27881.26,2)</f>
        <v>27881.26</v>
      </c>
      <c r="CH290" s="6"/>
      <c r="CI290" s="6"/>
      <c r="CJ290" s="7">
        <f>ROUND(7799.07999999999,2)</f>
        <v>7799.08</v>
      </c>
      <c r="CK290" s="6"/>
      <c r="CL290" s="6"/>
      <c r="CM290" s="6"/>
      <c r="CN290" s="6"/>
      <c r="CO290" s="7">
        <f>ROUND(216.64,2)</f>
        <v>216.64</v>
      </c>
      <c r="CP290" s="7">
        <f>ROUND(361.929999999999,2)</f>
        <v>361.93</v>
      </c>
      <c r="CQ290" s="7">
        <f>ROUND(231.839999999999,2)</f>
        <v>231.84</v>
      </c>
      <c r="CR290" s="7">
        <f>ROUND(13.75,2)</f>
        <v>13.75</v>
      </c>
      <c r="CS290" s="6"/>
      <c r="CT290" s="6"/>
      <c r="CU290" s="6"/>
      <c r="CV290" s="6"/>
      <c r="CW290" s="7">
        <f>ROUND(7959.57999999999,2)</f>
        <v>7959.58</v>
      </c>
      <c r="CX290" s="7">
        <f>ROUND(1165.13,2)</f>
        <v>1165.1300000000001</v>
      </c>
      <c r="CY290" s="6"/>
      <c r="CZ290" s="6"/>
      <c r="DA290" s="7">
        <f>ROUND(16143.57,2)</f>
        <v>16143.57</v>
      </c>
      <c r="DB290" s="7">
        <f>ROUND(2022.85999999999,2)</f>
        <v>2022.86</v>
      </c>
      <c r="DC290" s="7">
        <f>ROUND(2507.52,2)</f>
        <v>2507.52</v>
      </c>
      <c r="DD290" s="6"/>
      <c r="DE290" s="7">
        <f>ROUND(2910.08,2)</f>
        <v>2910.08</v>
      </c>
      <c r="DF290" s="6"/>
      <c r="DG290" s="6"/>
      <c r="DH290" s="6"/>
      <c r="DI290" s="7">
        <f>ROUND(236.13,2)</f>
        <v>236.13</v>
      </c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7">
        <f>ROUND(1300,2)</f>
        <v>1300</v>
      </c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7">
        <f>ROUND(1250,2)</f>
        <v>1250</v>
      </c>
      <c r="ER290" s="6"/>
      <c r="ES290" s="6"/>
      <c r="ET290" s="6"/>
      <c r="EU290" s="7">
        <f>ROUND(486.4,2)</f>
        <v>486.4</v>
      </c>
      <c r="EV290" s="7">
        <f>ROUND(72485.7699999999,2)</f>
        <v>72485.77</v>
      </c>
    </row>
    <row r="291" spans="1:152" ht="24">
      <c r="A291" s="4" t="s">
        <v>732</v>
      </c>
      <c r="B291" s="4"/>
      <c r="C291" s="5" t="s">
        <v>430</v>
      </c>
      <c r="D291" s="5" t="s">
        <v>733</v>
      </c>
      <c r="E291" s="5" t="s">
        <v>0</v>
      </c>
      <c r="F291" s="5" t="s">
        <v>0</v>
      </c>
      <c r="G291" s="5" t="s">
        <v>734</v>
      </c>
      <c r="H291" s="10">
        <v>1497.62</v>
      </c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7">
        <f>ROUND(19,2)</f>
        <v>19</v>
      </c>
      <c r="AF291" s="6"/>
      <c r="AG291" s="6"/>
      <c r="AH291" s="6"/>
      <c r="AI291" s="6"/>
      <c r="AJ291" s="6"/>
      <c r="AK291" s="7">
        <f>ROUND(16,2)</f>
        <v>16</v>
      </c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7">
        <f>ROUND(16,2)</f>
        <v>16</v>
      </c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7">
        <f>ROUND(24,2)</f>
        <v>24</v>
      </c>
      <c r="BU291" s="7">
        <f>ROUND(40,2)</f>
        <v>40</v>
      </c>
      <c r="BV291" s="6"/>
      <c r="BW291" s="6"/>
      <c r="BX291" s="6"/>
      <c r="BY291" s="7">
        <f>ROUND(200,2)</f>
        <v>200</v>
      </c>
      <c r="BZ291" s="7">
        <f>ROUND(8,2)</f>
        <v>8</v>
      </c>
      <c r="CA291" s="6"/>
      <c r="CB291" s="7">
        <f>ROUND(323,2)</f>
        <v>323</v>
      </c>
      <c r="CC291" s="7">
        <f>ROUND(74175.72,2)</f>
        <v>74175.72</v>
      </c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7">
        <f>ROUND(7125,2)</f>
        <v>7125</v>
      </c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7">
        <f>ROUND(3594.24,2)</f>
        <v>3594.24</v>
      </c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7">
        <f>ROUND(617.89,2)</f>
        <v>617.89</v>
      </c>
      <c r="ET291" s="6"/>
      <c r="EU291" s="6"/>
      <c r="EV291" s="7">
        <f>ROUND(85512.85,2)</f>
        <v>85512.85</v>
      </c>
    </row>
    <row r="292" spans="1:152">
      <c r="A292" s="4" t="s">
        <v>735</v>
      </c>
      <c r="B292" s="4" t="s">
        <v>1058</v>
      </c>
      <c r="C292" s="5" t="s">
        <v>152</v>
      </c>
      <c r="D292" s="5" t="s">
        <v>183</v>
      </c>
      <c r="E292" s="5" t="s">
        <v>0</v>
      </c>
      <c r="F292" s="5" t="s">
        <v>0</v>
      </c>
      <c r="G292" s="5" t="s">
        <v>155</v>
      </c>
      <c r="H292" s="10">
        <v>30.4</v>
      </c>
      <c r="I292" s="6"/>
      <c r="J292" s="6"/>
      <c r="K292" s="6"/>
      <c r="L292" s="6"/>
      <c r="M292" s="7">
        <f>ROUND(1132.96999999999,2)</f>
        <v>1132.97</v>
      </c>
      <c r="N292" s="6"/>
      <c r="O292" s="6"/>
      <c r="P292" s="7">
        <f>ROUND(156.4,2)</f>
        <v>156.4</v>
      </c>
      <c r="Q292" s="6"/>
      <c r="R292" s="6"/>
      <c r="S292" s="6"/>
      <c r="T292" s="7">
        <f>ROUND(0.72,2)</f>
        <v>0.72</v>
      </c>
      <c r="U292" s="7">
        <f>ROUND(3.92999999999999,2)</f>
        <v>3.93</v>
      </c>
      <c r="V292" s="7">
        <f>ROUND(1.57,2)</f>
        <v>1.57</v>
      </c>
      <c r="W292" s="7">
        <f>ROUND(6.85,2)</f>
        <v>6.85</v>
      </c>
      <c r="X292" s="7">
        <f>ROUND(0.66,2)</f>
        <v>0.66</v>
      </c>
      <c r="Y292" s="6"/>
      <c r="Z292" s="6"/>
      <c r="AA292" s="6"/>
      <c r="AB292" s="6"/>
      <c r="AC292" s="7">
        <f>ROUND(136.23,2)</f>
        <v>136.22999999999999</v>
      </c>
      <c r="AD292" s="7">
        <f>ROUND(2.76,2)</f>
        <v>2.76</v>
      </c>
      <c r="AE292" s="6"/>
      <c r="AF292" s="7">
        <f>ROUND(411.33,2)</f>
        <v>411.33</v>
      </c>
      <c r="AG292" s="7">
        <f>ROUND(17.5899999999999,2)</f>
        <v>17.59</v>
      </c>
      <c r="AH292" s="7">
        <f>ROUND(96,2)</f>
        <v>96</v>
      </c>
      <c r="AI292" s="6"/>
      <c r="AJ292" s="7">
        <f>ROUND(112,2)</f>
        <v>112</v>
      </c>
      <c r="AK292" s="6"/>
      <c r="AL292" s="7">
        <f>ROUND(8,2)</f>
        <v>8</v>
      </c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7">
        <f>ROUND(176,2)</f>
        <v>176</v>
      </c>
      <c r="BD292" s="6"/>
      <c r="BE292" s="6"/>
      <c r="BF292" s="6"/>
      <c r="BG292" s="6"/>
      <c r="BH292" s="7">
        <f>ROUND(8,2)</f>
        <v>8</v>
      </c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7">
        <f>ROUND(8,2)</f>
        <v>8</v>
      </c>
      <c r="CB292" s="7">
        <f>ROUND(2279.00999999999,2)</f>
        <v>2279.0100000000002</v>
      </c>
      <c r="CC292" s="6"/>
      <c r="CD292" s="6"/>
      <c r="CE292" s="6"/>
      <c r="CF292" s="6"/>
      <c r="CG292" s="7">
        <f>ROUND(32078.66,2)</f>
        <v>32078.66</v>
      </c>
      <c r="CH292" s="6"/>
      <c r="CI292" s="6"/>
      <c r="CJ292" s="7">
        <f>ROUND(6578.36,2)</f>
        <v>6578.36</v>
      </c>
      <c r="CK292" s="6"/>
      <c r="CL292" s="6"/>
      <c r="CM292" s="6"/>
      <c r="CN292" s="7">
        <f>ROUND(40,2)</f>
        <v>40</v>
      </c>
      <c r="CO292" s="7">
        <f>ROUND(109.46,2)</f>
        <v>109.46</v>
      </c>
      <c r="CP292" s="7">
        <f>ROUND(65.78,2)</f>
        <v>65.78</v>
      </c>
      <c r="CQ292" s="7">
        <f>ROUND(193.28,2)</f>
        <v>193.28</v>
      </c>
      <c r="CR292" s="7">
        <f>ROUND(27.5,2)</f>
        <v>27.5</v>
      </c>
      <c r="CS292" s="6"/>
      <c r="CT292" s="6"/>
      <c r="CU292" s="6"/>
      <c r="CV292" s="6"/>
      <c r="CW292" s="7">
        <f>ROUND(3791.05,2)</f>
        <v>3791.05</v>
      </c>
      <c r="CX292" s="7">
        <f>ROUND(115.01,2)</f>
        <v>115.01</v>
      </c>
      <c r="CY292" s="6"/>
      <c r="CZ292" s="6"/>
      <c r="DA292" s="7">
        <f>ROUND(11485.11,2)</f>
        <v>11485.11</v>
      </c>
      <c r="DB292" s="7">
        <f>ROUND(736.14,2)</f>
        <v>736.14</v>
      </c>
      <c r="DC292" s="7">
        <f>ROUND(2750.72,2)</f>
        <v>2750.72</v>
      </c>
      <c r="DD292" s="6"/>
      <c r="DE292" s="7">
        <f>ROUND(3237.12,2)</f>
        <v>3237.12</v>
      </c>
      <c r="DF292" s="6"/>
      <c r="DG292" s="6"/>
      <c r="DH292" s="6"/>
      <c r="DI292" s="7">
        <f>ROUND(222.24,2)</f>
        <v>222.24</v>
      </c>
      <c r="DJ292" s="6"/>
      <c r="DK292" s="6"/>
      <c r="DL292" s="6"/>
      <c r="DM292" s="6"/>
      <c r="DN292" s="6"/>
      <c r="DO292" s="6"/>
      <c r="DP292" s="6"/>
      <c r="DQ292" s="6"/>
      <c r="DR292" s="7">
        <f>ROUND(500,2)</f>
        <v>500</v>
      </c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7">
        <f>ROUND(1150,2)</f>
        <v>1150</v>
      </c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7">
        <f>ROUND(1033.2,2)</f>
        <v>1033.2</v>
      </c>
      <c r="ER292" s="6"/>
      <c r="ES292" s="6"/>
      <c r="ET292" s="6"/>
      <c r="EU292" s="7">
        <f>ROUND(243.2,2)</f>
        <v>243.2</v>
      </c>
      <c r="EV292" s="7">
        <f>ROUND(64356.8299999999,2)</f>
        <v>64356.83</v>
      </c>
    </row>
    <row r="293" spans="1:152">
      <c r="A293" s="4" t="s">
        <v>736</v>
      </c>
      <c r="B293" s="4" t="s">
        <v>1058</v>
      </c>
      <c r="C293" s="5" t="s">
        <v>152</v>
      </c>
      <c r="D293" s="5" t="s">
        <v>257</v>
      </c>
      <c r="E293" s="5" t="s">
        <v>0</v>
      </c>
      <c r="F293" s="5" t="s">
        <v>0</v>
      </c>
      <c r="G293" s="5" t="s">
        <v>155</v>
      </c>
      <c r="H293" s="10">
        <v>30.4</v>
      </c>
      <c r="I293" s="6"/>
      <c r="J293" s="6"/>
      <c r="K293" s="6"/>
      <c r="L293" s="6"/>
      <c r="M293" s="7">
        <f>ROUND(1329.31,2)</f>
        <v>1329.31</v>
      </c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7">
        <f>ROUND(40,2)</f>
        <v>40</v>
      </c>
      <c r="AI293" s="6"/>
      <c r="AJ293" s="7">
        <f>ROUND(80,2)</f>
        <v>80</v>
      </c>
      <c r="AK293" s="6"/>
      <c r="AL293" s="7">
        <f>ROUND(8.5,2)</f>
        <v>8.5</v>
      </c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7">
        <f>ROUND(27.08,2)</f>
        <v>27.08</v>
      </c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7">
        <f>ROUND(1484.88999999999,2)</f>
        <v>1484.89</v>
      </c>
      <c r="CC293" s="6"/>
      <c r="CD293" s="6"/>
      <c r="CE293" s="6"/>
      <c r="CF293" s="6"/>
      <c r="CG293" s="7">
        <f>ROUND(37257.8999999999,2)</f>
        <v>37257.9</v>
      </c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7">
        <f>ROUND(1150.5,2)</f>
        <v>1150.5</v>
      </c>
      <c r="DD293" s="6"/>
      <c r="DE293" s="7">
        <f>ROUND(2287.9,2)</f>
        <v>2287.9</v>
      </c>
      <c r="DF293" s="6"/>
      <c r="DG293" s="6"/>
      <c r="DH293" s="6"/>
      <c r="DI293" s="7">
        <f>ROUND(236.13,2)</f>
        <v>236.13</v>
      </c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7">
        <f>ROUND(823.23,2)</f>
        <v>823.23</v>
      </c>
      <c r="EB293" s="6"/>
      <c r="EC293" s="6"/>
      <c r="ED293" s="6"/>
      <c r="EE293" s="7">
        <f>ROUND(1200,2)</f>
        <v>1200</v>
      </c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7">
        <f>ROUND(625,2)</f>
        <v>625</v>
      </c>
      <c r="ER293" s="6"/>
      <c r="ES293" s="6"/>
      <c r="ET293" s="6"/>
      <c r="EU293" s="6"/>
      <c r="EV293" s="7">
        <f>ROUND(43580.6599999999,2)</f>
        <v>43580.66</v>
      </c>
    </row>
    <row r="294" spans="1:152">
      <c r="A294" s="4" t="s">
        <v>737</v>
      </c>
      <c r="B294" s="4" t="s">
        <v>1058</v>
      </c>
      <c r="C294" s="5" t="s">
        <v>152</v>
      </c>
      <c r="D294" s="5" t="s">
        <v>153</v>
      </c>
      <c r="E294" s="5" t="s">
        <v>0</v>
      </c>
      <c r="F294" s="5" t="s">
        <v>0</v>
      </c>
      <c r="G294" s="5" t="s">
        <v>155</v>
      </c>
      <c r="H294" s="10">
        <v>30.4</v>
      </c>
      <c r="I294" s="6"/>
      <c r="J294" s="6"/>
      <c r="K294" s="6"/>
      <c r="L294" s="6"/>
      <c r="M294" s="7">
        <f>ROUND(1471.28999999999,2)</f>
        <v>1471.29</v>
      </c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7">
        <f>ROUND(26.13,2)</f>
        <v>26.13</v>
      </c>
      <c r="AD294" s="6"/>
      <c r="AE294" s="6"/>
      <c r="AF294" s="6"/>
      <c r="AG294" s="6"/>
      <c r="AH294" s="7">
        <f>ROUND(40,2)</f>
        <v>40</v>
      </c>
      <c r="AI294" s="6"/>
      <c r="AJ294" s="7">
        <f>ROUND(10,2)</f>
        <v>10</v>
      </c>
      <c r="AK294" s="6"/>
      <c r="AL294" s="7">
        <f>ROUND(8.5,2)</f>
        <v>8.5</v>
      </c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7">
        <f>ROUND(4,2)</f>
        <v>4</v>
      </c>
      <c r="BG294" s="6"/>
      <c r="BH294" s="6"/>
      <c r="BI294" s="6"/>
      <c r="BJ294" s="7">
        <f>ROUND(5,2)</f>
        <v>5</v>
      </c>
      <c r="BK294" s="6"/>
      <c r="BL294" s="6"/>
      <c r="BM294" s="7">
        <f>ROUND(5,2)</f>
        <v>5</v>
      </c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7">
        <f>ROUND(15,2)</f>
        <v>15</v>
      </c>
      <c r="CB294" s="7">
        <f>ROUND(1584.91999999999,2)</f>
        <v>1584.92</v>
      </c>
      <c r="CC294" s="6"/>
      <c r="CD294" s="6"/>
      <c r="CE294" s="6"/>
      <c r="CF294" s="6"/>
      <c r="CG294" s="7">
        <f>ROUND(35602.12,2)</f>
        <v>35602.120000000003</v>
      </c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7">
        <f>ROUND(729.569999999999,2)</f>
        <v>729.57</v>
      </c>
      <c r="CX294" s="6"/>
      <c r="CY294" s="6"/>
      <c r="CZ294" s="6"/>
      <c r="DA294" s="6"/>
      <c r="DB294" s="6"/>
      <c r="DC294" s="7">
        <f>ROUND(1004.08,2)</f>
        <v>1004.08</v>
      </c>
      <c r="DD294" s="6"/>
      <c r="DE294" s="7">
        <f>ROUND(233.35,2)</f>
        <v>233.35</v>
      </c>
      <c r="DF294" s="6"/>
      <c r="DG294" s="6"/>
      <c r="DH294" s="6"/>
      <c r="DI294" s="7">
        <f>ROUND(198.35,2)</f>
        <v>198.35</v>
      </c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7">
        <f>ROUND(121.6,2)</f>
        <v>121.6</v>
      </c>
      <c r="ED294" s="6"/>
      <c r="EE294" s="7">
        <f>ROUND(775,2)</f>
        <v>775</v>
      </c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7">
        <f>ROUND(625,2)</f>
        <v>625</v>
      </c>
      <c r="ER294" s="6"/>
      <c r="ES294" s="6"/>
      <c r="ET294" s="6"/>
      <c r="EU294" s="7">
        <f>ROUND(456,2)</f>
        <v>456</v>
      </c>
      <c r="EV294" s="7">
        <f>ROUND(39745.07,2)</f>
        <v>39745.07</v>
      </c>
    </row>
    <row r="295" spans="1:152">
      <c r="A295" s="4" t="s">
        <v>738</v>
      </c>
      <c r="B295" s="4" t="s">
        <v>1058</v>
      </c>
      <c r="C295" s="5" t="s">
        <v>152</v>
      </c>
      <c r="D295" s="5" t="s">
        <v>739</v>
      </c>
      <c r="E295" s="5" t="s">
        <v>0</v>
      </c>
      <c r="F295" s="5" t="s">
        <v>0</v>
      </c>
      <c r="G295" s="5" t="s">
        <v>155</v>
      </c>
      <c r="H295" s="10">
        <v>30.4</v>
      </c>
      <c r="I295" s="6"/>
      <c r="J295" s="6"/>
      <c r="K295" s="6"/>
      <c r="L295" s="6"/>
      <c r="M295" s="7">
        <f>ROUND(1389.04,2)</f>
        <v>1389.04</v>
      </c>
      <c r="N295" s="6"/>
      <c r="O295" s="6"/>
      <c r="P295" s="7">
        <f>ROUND(321.719999999999,2)</f>
        <v>321.72000000000003</v>
      </c>
      <c r="Q295" s="6"/>
      <c r="R295" s="6"/>
      <c r="S295" s="6"/>
      <c r="T295" s="6"/>
      <c r="U295" s="7">
        <f>ROUND(61,2)</f>
        <v>61</v>
      </c>
      <c r="V295" s="7">
        <f>ROUND(32.7,2)</f>
        <v>32.700000000000003</v>
      </c>
      <c r="W295" s="7">
        <f>ROUND(5.32,2)</f>
        <v>5.32</v>
      </c>
      <c r="X295" s="6"/>
      <c r="Y295" s="6"/>
      <c r="Z295" s="6"/>
      <c r="AA295" s="6"/>
      <c r="AB295" s="6"/>
      <c r="AC295" s="7">
        <f>ROUND(231.91,2)</f>
        <v>231.91</v>
      </c>
      <c r="AD295" s="7">
        <f>ROUND(4.67,2)</f>
        <v>4.67</v>
      </c>
      <c r="AE295" s="6"/>
      <c r="AF295" s="7">
        <f>ROUND(256.24,2)</f>
        <v>256.24</v>
      </c>
      <c r="AG295" s="7">
        <f>ROUND(25.2599999999999,2)</f>
        <v>25.26</v>
      </c>
      <c r="AH295" s="7">
        <f>ROUND(88,2)</f>
        <v>88</v>
      </c>
      <c r="AI295" s="6"/>
      <c r="AJ295" s="7">
        <f>ROUND(40,2)</f>
        <v>40</v>
      </c>
      <c r="AK295" s="6"/>
      <c r="AL295" s="7">
        <f>ROUND(8.5,2)</f>
        <v>8.5</v>
      </c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7">
        <f>ROUND(40,2)</f>
        <v>40</v>
      </c>
      <c r="CB295" s="7">
        <f>ROUND(2504.36,2)</f>
        <v>2504.36</v>
      </c>
      <c r="CC295" s="6"/>
      <c r="CD295" s="6"/>
      <c r="CE295" s="6"/>
      <c r="CF295" s="6"/>
      <c r="CG295" s="7">
        <f>ROUND(39412.94,2)</f>
        <v>39412.94</v>
      </c>
      <c r="CH295" s="6"/>
      <c r="CI295" s="6"/>
      <c r="CJ295" s="7">
        <f>ROUND(13679.37,2)</f>
        <v>13679.37</v>
      </c>
      <c r="CK295" s="6"/>
      <c r="CL295" s="6"/>
      <c r="CM295" s="6"/>
      <c r="CN295" s="6"/>
      <c r="CO295" s="7">
        <f>ROUND(1698.23,2)</f>
        <v>1698.23</v>
      </c>
      <c r="CP295" s="7">
        <f>ROUND(1367.63,2)</f>
        <v>1367.63</v>
      </c>
      <c r="CQ295" s="7">
        <f>ROUND(148.059999999999,2)</f>
        <v>148.06</v>
      </c>
      <c r="CR295" s="6"/>
      <c r="CS295" s="6"/>
      <c r="CT295" s="6"/>
      <c r="CU295" s="6"/>
      <c r="CV295" s="6"/>
      <c r="CW295" s="7">
        <f>ROUND(6473.38,2)</f>
        <v>6473.38</v>
      </c>
      <c r="CX295" s="7">
        <f>ROUND(194.6,2)</f>
        <v>194.6</v>
      </c>
      <c r="CY295" s="6"/>
      <c r="CZ295" s="6"/>
      <c r="DA295" s="7">
        <f>ROUND(7149.92,2)</f>
        <v>7149.92</v>
      </c>
      <c r="DB295" s="7">
        <f>ROUND(1055.95,2)</f>
        <v>1055.95</v>
      </c>
      <c r="DC295" s="7">
        <f>ROUND(2486.56,2)</f>
        <v>2486.56</v>
      </c>
      <c r="DD295" s="6"/>
      <c r="DE295" s="7">
        <f>ROUND(1111.2,2)</f>
        <v>1111.2</v>
      </c>
      <c r="DF295" s="6"/>
      <c r="DG295" s="6"/>
      <c r="DH295" s="6"/>
      <c r="DI295" s="7">
        <f>ROUND(236.13,2)</f>
        <v>236.13</v>
      </c>
      <c r="DJ295" s="6"/>
      <c r="DK295" s="6"/>
      <c r="DL295" s="6"/>
      <c r="DM295" s="6"/>
      <c r="DN295" s="6"/>
      <c r="DO295" s="6"/>
      <c r="DP295" s="6"/>
      <c r="DQ295" s="6"/>
      <c r="DR295" s="7">
        <f>ROUND(500,2)</f>
        <v>500</v>
      </c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7">
        <f>ROUND(2000,2)</f>
        <v>2000</v>
      </c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7">
        <f>ROUND(1250,2)</f>
        <v>1250</v>
      </c>
      <c r="ER295" s="6"/>
      <c r="ES295" s="6"/>
      <c r="ET295" s="6"/>
      <c r="EU295" s="7">
        <f>ROUND(1216,2)</f>
        <v>1216</v>
      </c>
      <c r="EV295" s="7">
        <f>ROUND(79979.97,2)</f>
        <v>79979.97</v>
      </c>
    </row>
    <row r="296" spans="1:152">
      <c r="A296" s="4" t="s">
        <v>740</v>
      </c>
      <c r="B296" s="4" t="s">
        <v>1058</v>
      </c>
      <c r="C296" s="5" t="s">
        <v>211</v>
      </c>
      <c r="D296" s="5" t="s">
        <v>741</v>
      </c>
      <c r="E296" s="5" t="s">
        <v>0</v>
      </c>
      <c r="F296" s="5" t="s">
        <v>0</v>
      </c>
      <c r="G296" s="5" t="s">
        <v>213</v>
      </c>
      <c r="H296" s="10">
        <v>28</v>
      </c>
      <c r="I296" s="6"/>
      <c r="J296" s="6"/>
      <c r="K296" s="6"/>
      <c r="L296" s="6"/>
      <c r="M296" s="6"/>
      <c r="N296" s="6"/>
      <c r="O296" s="6"/>
      <c r="P296" s="6"/>
      <c r="Q296" s="7">
        <f>ROUND(1896,2)</f>
        <v>1896</v>
      </c>
      <c r="R296" s="7">
        <f>ROUND(102,2)</f>
        <v>102</v>
      </c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7">
        <f>ROUND(96,2)</f>
        <v>96</v>
      </c>
      <c r="AI296" s="6"/>
      <c r="AJ296" s="7">
        <f>ROUND(80,2)</f>
        <v>80</v>
      </c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7">
        <f>ROUND(8,2)</f>
        <v>8</v>
      </c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7">
        <f>ROUND(2182,2)</f>
        <v>2182</v>
      </c>
      <c r="CC296" s="6"/>
      <c r="CD296" s="6"/>
      <c r="CE296" s="6"/>
      <c r="CF296" s="6"/>
      <c r="CG296" s="6"/>
      <c r="CH296" s="6"/>
      <c r="CI296" s="6"/>
      <c r="CJ296" s="6"/>
      <c r="CK296" s="7">
        <f>ROUND(52332.96,2)</f>
        <v>52332.959999999999</v>
      </c>
      <c r="CL296" s="7">
        <f>ROUND(4228.97,2)</f>
        <v>4228.97</v>
      </c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7">
        <f>ROUND(2647.68,2)</f>
        <v>2647.68</v>
      </c>
      <c r="DD296" s="6"/>
      <c r="DE296" s="7">
        <f>ROUND(2189.6,2)</f>
        <v>2189.6</v>
      </c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7">
        <f>ROUND(2000,2)</f>
        <v>2000</v>
      </c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7">
        <f>ROUND(1250,2)</f>
        <v>1250</v>
      </c>
      <c r="ER296" s="6"/>
      <c r="ES296" s="6"/>
      <c r="ET296" s="6"/>
      <c r="EU296" s="6"/>
      <c r="EV296" s="7">
        <f>ROUND(64649.21,2)</f>
        <v>64649.21</v>
      </c>
    </row>
    <row r="297" spans="1:152">
      <c r="A297" s="4" t="s">
        <v>742</v>
      </c>
      <c r="B297" s="4" t="s">
        <v>1058</v>
      </c>
      <c r="C297" s="5" t="s">
        <v>211</v>
      </c>
      <c r="D297" s="5" t="s">
        <v>743</v>
      </c>
      <c r="E297" s="5" t="s">
        <v>0</v>
      </c>
      <c r="F297" s="5" t="s">
        <v>0</v>
      </c>
      <c r="G297" s="5" t="s">
        <v>213</v>
      </c>
      <c r="H297" s="10">
        <v>28</v>
      </c>
      <c r="I297" s="6"/>
      <c r="J297" s="6"/>
      <c r="K297" s="6"/>
      <c r="L297" s="6"/>
      <c r="M297" s="6"/>
      <c r="N297" s="6"/>
      <c r="O297" s="6"/>
      <c r="P297" s="6"/>
      <c r="Q297" s="7">
        <f>ROUND(1462,2)</f>
        <v>1462</v>
      </c>
      <c r="R297" s="7">
        <f>ROUND(92,2)</f>
        <v>92</v>
      </c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7">
        <f>ROUND(56,2)</f>
        <v>56</v>
      </c>
      <c r="AI297" s="6"/>
      <c r="AJ297" s="7">
        <f>ROUND(80,2)</f>
        <v>80</v>
      </c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7">
        <f>ROUND(16,2)</f>
        <v>16</v>
      </c>
      <c r="BC297" s="7">
        <f>ROUND(448,2)</f>
        <v>448</v>
      </c>
      <c r="BD297" s="7">
        <f>ROUND(6,2)</f>
        <v>6</v>
      </c>
      <c r="BE297" s="6"/>
      <c r="BF297" s="6"/>
      <c r="BG297" s="6"/>
      <c r="BH297" s="7">
        <f>ROUND(16,2)</f>
        <v>16</v>
      </c>
      <c r="BI297" s="6"/>
      <c r="BJ297" s="7">
        <f>ROUND(8,2)</f>
        <v>8</v>
      </c>
      <c r="BK297" s="6"/>
      <c r="BL297" s="6"/>
      <c r="BM297" s="6"/>
      <c r="BN297" s="7">
        <f>ROUND(8,2)</f>
        <v>8</v>
      </c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7">
        <f>ROUND(2192,2)</f>
        <v>2192</v>
      </c>
      <c r="CC297" s="6"/>
      <c r="CD297" s="6"/>
      <c r="CE297" s="6"/>
      <c r="CF297" s="6"/>
      <c r="CG297" s="6"/>
      <c r="CH297" s="6"/>
      <c r="CI297" s="6"/>
      <c r="CJ297" s="6"/>
      <c r="CK297" s="7">
        <f>ROUND(35044.14,2)</f>
        <v>35044.14</v>
      </c>
      <c r="CL297" s="7">
        <f>ROUND(3304.71,2)</f>
        <v>3304.71</v>
      </c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7">
        <f>ROUND(1333.91999999999,2)</f>
        <v>1333.92</v>
      </c>
      <c r="DD297" s="6"/>
      <c r="DE297" s="7">
        <f>ROUND(1905.59999999999,2)</f>
        <v>1905.6</v>
      </c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7">
        <f>ROUND(1025,2)</f>
        <v>1025</v>
      </c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7">
        <f>ROUND(1038.96,2)</f>
        <v>1038.96</v>
      </c>
      <c r="ER297" s="6"/>
      <c r="ES297" s="6"/>
      <c r="ET297" s="6"/>
      <c r="EU297" s="6"/>
      <c r="EV297" s="7">
        <f>ROUND(43652.3299999999,2)</f>
        <v>43652.33</v>
      </c>
    </row>
    <row r="298" spans="1:152">
      <c r="A298" s="4" t="s">
        <v>744</v>
      </c>
      <c r="B298" s="4"/>
      <c r="C298" s="5" t="s">
        <v>273</v>
      </c>
      <c r="D298" s="5" t="s">
        <v>745</v>
      </c>
      <c r="E298" s="5" t="s">
        <v>0</v>
      </c>
      <c r="F298" s="5" t="s">
        <v>0</v>
      </c>
      <c r="G298" s="5" t="s">
        <v>746</v>
      </c>
      <c r="H298" s="10">
        <v>1275.3399999999999</v>
      </c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7">
        <f>ROUND(24,2)</f>
        <v>24</v>
      </c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7">
        <f>ROUND(32,2)</f>
        <v>32</v>
      </c>
      <c r="BU298" s="7">
        <f>ROUND(28,2)</f>
        <v>28</v>
      </c>
      <c r="BV298" s="6"/>
      <c r="BW298" s="6"/>
      <c r="BX298" s="6"/>
      <c r="BY298" s="7">
        <f>ROUND(56,2)</f>
        <v>56</v>
      </c>
      <c r="BZ298" s="6"/>
      <c r="CA298" s="6"/>
      <c r="CB298" s="7">
        <f>ROUND(140,2)</f>
        <v>140</v>
      </c>
      <c r="CC298" s="7">
        <f>ROUND(63166.3799999999,2)</f>
        <v>63166.38</v>
      </c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7">
        <f>ROUND(295,2)</f>
        <v>295</v>
      </c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7">
        <f>ROUND(4208.76,2)</f>
        <v>4208.76</v>
      </c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7">
        <f>ROUND(67670.1399999999,2)</f>
        <v>67670.14</v>
      </c>
    </row>
    <row r="299" spans="1:152">
      <c r="A299" s="4" t="s">
        <v>747</v>
      </c>
      <c r="B299" s="4" t="s">
        <v>1058</v>
      </c>
      <c r="C299" s="5" t="s">
        <v>152</v>
      </c>
      <c r="D299" s="5" t="s">
        <v>160</v>
      </c>
      <c r="E299" s="5" t="s">
        <v>748</v>
      </c>
      <c r="F299" s="5" t="s">
        <v>0</v>
      </c>
      <c r="G299" s="5" t="s">
        <v>155</v>
      </c>
      <c r="H299" s="10">
        <v>17.5</v>
      </c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7">
        <f>ROUND(5,2)</f>
        <v>5</v>
      </c>
      <c r="AI299" s="6"/>
      <c r="AJ299" s="6"/>
      <c r="AK299" s="6"/>
      <c r="AL299" s="7">
        <f>ROUND(152,2)</f>
        <v>152</v>
      </c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7">
        <f>ROUND(5,2)</f>
        <v>5</v>
      </c>
      <c r="BK299" s="6"/>
      <c r="BL299" s="6"/>
      <c r="BM299" s="7">
        <f>ROUND(15,2)</f>
        <v>15</v>
      </c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7">
        <f>ROUND(177,2)</f>
        <v>177</v>
      </c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7">
        <f>ROUND(87.5,2)</f>
        <v>87.5</v>
      </c>
      <c r="DD299" s="6"/>
      <c r="DE299" s="6"/>
      <c r="DF299" s="6"/>
      <c r="DG299" s="6"/>
      <c r="DH299" s="6"/>
      <c r="DI299" s="7">
        <f>ROUND(2660,2)</f>
        <v>2660</v>
      </c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7">
        <f>ROUND(2747.5,2)</f>
        <v>2747.5</v>
      </c>
    </row>
    <row r="300" spans="1:152">
      <c r="A300" s="4" t="s">
        <v>749</v>
      </c>
      <c r="B300" s="4" t="s">
        <v>1058</v>
      </c>
      <c r="C300" s="5" t="s">
        <v>152</v>
      </c>
      <c r="D300" s="5" t="s">
        <v>186</v>
      </c>
      <c r="E300" s="5" t="s">
        <v>750</v>
      </c>
      <c r="F300" s="5" t="s">
        <v>0</v>
      </c>
      <c r="G300" s="5" t="s">
        <v>155</v>
      </c>
      <c r="H300" s="10">
        <v>20.84</v>
      </c>
      <c r="I300" s="6"/>
      <c r="J300" s="6"/>
      <c r="K300" s="6"/>
      <c r="L300" s="6"/>
      <c r="M300" s="7">
        <f>ROUND(650.459999999999,2)</f>
        <v>650.46</v>
      </c>
      <c r="N300" s="6"/>
      <c r="O300" s="6"/>
      <c r="P300" s="7">
        <f>ROUND(31.2299999999999,2)</f>
        <v>31.23</v>
      </c>
      <c r="Q300" s="6"/>
      <c r="R300" s="6"/>
      <c r="S300" s="6"/>
      <c r="T300" s="6"/>
      <c r="U300" s="6"/>
      <c r="V300" s="6"/>
      <c r="W300" s="7">
        <f>ROUND(3.41,2)</f>
        <v>3.41</v>
      </c>
      <c r="X300" s="7">
        <f>ROUND(0.33,2)</f>
        <v>0.33</v>
      </c>
      <c r="Y300" s="6"/>
      <c r="Z300" s="6"/>
      <c r="AA300" s="6"/>
      <c r="AB300" s="6"/>
      <c r="AC300" s="7">
        <f>ROUND(42.33,2)</f>
        <v>42.33</v>
      </c>
      <c r="AD300" s="6"/>
      <c r="AE300" s="6"/>
      <c r="AF300" s="7">
        <f>ROUND(242.449999999999,2)</f>
        <v>242.45</v>
      </c>
      <c r="AG300" s="7">
        <f>ROUND(24.65,2)</f>
        <v>24.65</v>
      </c>
      <c r="AH300" s="7">
        <f>ROUND(31,2)</f>
        <v>31</v>
      </c>
      <c r="AI300" s="6"/>
      <c r="AJ300" s="6"/>
      <c r="AK300" s="6"/>
      <c r="AL300" s="7">
        <f>ROUND(191.029999999999,2)</f>
        <v>191.03</v>
      </c>
      <c r="AM300" s="6"/>
      <c r="AN300" s="7">
        <f>ROUND(21.38,2)</f>
        <v>21.38</v>
      </c>
      <c r="AO300" s="6"/>
      <c r="AP300" s="6"/>
      <c r="AQ300" s="6"/>
      <c r="AR300" s="7">
        <f>ROUND(17.05,2)</f>
        <v>17.05</v>
      </c>
      <c r="AS300" s="7">
        <f>ROUND(3.2,2)</f>
        <v>3.2</v>
      </c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7">
        <f>ROUND(1.06,2)</f>
        <v>1.06</v>
      </c>
      <c r="BE300" s="7">
        <f>ROUND(5,2)</f>
        <v>5</v>
      </c>
      <c r="BF300" s="6"/>
      <c r="BG300" s="6"/>
      <c r="BH300" s="6"/>
      <c r="BI300" s="6"/>
      <c r="BJ300" s="6"/>
      <c r="BK300" s="6"/>
      <c r="BL300" s="6"/>
      <c r="BM300" s="7">
        <f>ROUND(8,2)</f>
        <v>8</v>
      </c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7">
        <f>ROUND(1272.58,2)</f>
        <v>1272.58</v>
      </c>
      <c r="CC300" s="6"/>
      <c r="CD300" s="6"/>
      <c r="CE300" s="6"/>
      <c r="CF300" s="6"/>
      <c r="CG300" s="7">
        <f>ROUND(13573.59,2)</f>
        <v>13573.59</v>
      </c>
      <c r="CH300" s="6"/>
      <c r="CI300" s="6"/>
      <c r="CJ300" s="7">
        <f>ROUND(983.04,2)</f>
        <v>983.04</v>
      </c>
      <c r="CK300" s="6"/>
      <c r="CL300" s="6"/>
      <c r="CM300" s="6"/>
      <c r="CN300" s="6"/>
      <c r="CO300" s="6"/>
      <c r="CP300" s="6"/>
      <c r="CQ300" s="7">
        <f>ROUND(66.48,2)</f>
        <v>66.48</v>
      </c>
      <c r="CR300" s="7">
        <f>ROUND(10.31,2)</f>
        <v>10.31</v>
      </c>
      <c r="CS300" s="6"/>
      <c r="CT300" s="6"/>
      <c r="CU300" s="6"/>
      <c r="CV300" s="6"/>
      <c r="CW300" s="7">
        <f>ROUND(883.159999999999,2)</f>
        <v>883.16</v>
      </c>
      <c r="CX300" s="6"/>
      <c r="CY300" s="6"/>
      <c r="CZ300" s="6"/>
      <c r="DA300" s="7">
        <f>ROUND(5064.05,2)</f>
        <v>5064.05</v>
      </c>
      <c r="DB300" s="7">
        <f>ROUND(771.599999999999,2)</f>
        <v>771.6</v>
      </c>
      <c r="DC300" s="7">
        <f>ROUND(645.9,2)</f>
        <v>645.9</v>
      </c>
      <c r="DD300" s="6"/>
      <c r="DE300" s="6"/>
      <c r="DF300" s="6"/>
      <c r="DG300" s="6"/>
      <c r="DH300" s="6"/>
      <c r="DI300" s="7">
        <f>ROUND(3369.71,2)</f>
        <v>3369.71</v>
      </c>
      <c r="DJ300" s="6"/>
      <c r="DK300" s="7">
        <f>ROUND(561.22,2)</f>
        <v>561.22</v>
      </c>
      <c r="DL300" s="6"/>
      <c r="DM300" s="6"/>
      <c r="DN300" s="6"/>
      <c r="DO300" s="6"/>
      <c r="DP300" s="7">
        <f>ROUND(305.05,2)</f>
        <v>305.05</v>
      </c>
      <c r="DQ300" s="7">
        <f>ROUND(84,2)</f>
        <v>84</v>
      </c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7">
        <f>ROUND(500,2)</f>
        <v>500</v>
      </c>
      <c r="EK300" s="6"/>
      <c r="EL300" s="6"/>
      <c r="EM300" s="6"/>
      <c r="EN300" s="6"/>
      <c r="EO300" s="6"/>
      <c r="EP300" s="6"/>
      <c r="EQ300" s="7">
        <f>ROUND(500,2)</f>
        <v>500</v>
      </c>
      <c r="ER300" s="6"/>
      <c r="ES300" s="6"/>
      <c r="ET300" s="6"/>
      <c r="EU300" s="6"/>
      <c r="EV300" s="7">
        <f>ROUND(27318.11,2)</f>
        <v>27318.11</v>
      </c>
    </row>
    <row r="301" spans="1:152">
      <c r="A301" s="4" t="s">
        <v>751</v>
      </c>
      <c r="B301" s="4"/>
      <c r="C301" s="5" t="s">
        <v>341</v>
      </c>
      <c r="D301" s="5" t="s">
        <v>752</v>
      </c>
      <c r="E301" s="5" t="s">
        <v>0</v>
      </c>
      <c r="F301" s="5" t="s">
        <v>0</v>
      </c>
      <c r="G301" s="5" t="s">
        <v>753</v>
      </c>
      <c r="H301" s="10">
        <v>1840.53</v>
      </c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7">
        <f>ROUND(24,2)</f>
        <v>24</v>
      </c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7">
        <f>ROUND(32,2)</f>
        <v>32</v>
      </c>
      <c r="BU301" s="7">
        <f>ROUND(32,2)</f>
        <v>32</v>
      </c>
      <c r="BV301" s="6"/>
      <c r="BW301" s="6"/>
      <c r="BX301" s="6"/>
      <c r="BY301" s="7">
        <f>ROUND(120,2)</f>
        <v>120</v>
      </c>
      <c r="BZ301" s="6"/>
      <c r="CA301" s="6"/>
      <c r="CB301" s="7">
        <f>ROUND(208,2)</f>
        <v>208</v>
      </c>
      <c r="CC301" s="7">
        <f>ROUND(93880.07,2)</f>
        <v>93880.07</v>
      </c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7">
        <f>ROUND(500,2)</f>
        <v>500</v>
      </c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7">
        <f>ROUND(4416.96,2)</f>
        <v>4416.96</v>
      </c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7">
        <f>ROUND(3923.08,2)</f>
        <v>3923.08</v>
      </c>
      <c r="ET301" s="6"/>
      <c r="EU301" s="6"/>
      <c r="EV301" s="7">
        <f>ROUND(102720.11,2)</f>
        <v>102720.11</v>
      </c>
    </row>
    <row r="302" spans="1:152">
      <c r="A302" s="4" t="s">
        <v>754</v>
      </c>
      <c r="B302" s="4" t="s">
        <v>1058</v>
      </c>
      <c r="C302" s="5" t="s">
        <v>152</v>
      </c>
      <c r="D302" s="5" t="s">
        <v>755</v>
      </c>
      <c r="E302" s="5" t="s">
        <v>0</v>
      </c>
      <c r="F302" s="5" t="s">
        <v>0</v>
      </c>
      <c r="G302" s="5" t="s">
        <v>155</v>
      </c>
      <c r="H302" s="10">
        <v>30.4</v>
      </c>
      <c r="I302" s="6"/>
      <c r="J302" s="6"/>
      <c r="K302" s="6"/>
      <c r="L302" s="6"/>
      <c r="M302" s="7">
        <f>ROUND(701.81,2)</f>
        <v>701.81</v>
      </c>
      <c r="N302" s="6"/>
      <c r="O302" s="6"/>
      <c r="P302" s="7">
        <f>ROUND(85.6699999999999,2)</f>
        <v>85.67</v>
      </c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7">
        <f>ROUND(56,2)</f>
        <v>56</v>
      </c>
      <c r="AI302" s="6"/>
      <c r="AJ302" s="7">
        <f>ROUND(152,2)</f>
        <v>152</v>
      </c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7">
        <f>ROUND(24,2)</f>
        <v>24</v>
      </c>
      <c r="BC302" s="7">
        <f>ROUND(1040,2)</f>
        <v>1040</v>
      </c>
      <c r="BD302" s="6"/>
      <c r="BE302" s="7">
        <f>ROUND(24,2)</f>
        <v>24</v>
      </c>
      <c r="BF302" s="6"/>
      <c r="BG302" s="6"/>
      <c r="BH302" s="7">
        <f>ROUND(24,2)</f>
        <v>24</v>
      </c>
      <c r="BI302" s="6"/>
      <c r="BJ302" s="6"/>
      <c r="BK302" s="6"/>
      <c r="BL302" s="6"/>
      <c r="BM302" s="7">
        <f>ROUND(57,2)</f>
        <v>57</v>
      </c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7">
        <f>ROUND(8,2)</f>
        <v>8</v>
      </c>
      <c r="CB302" s="7">
        <f>ROUND(2172.47999999999,2)</f>
        <v>2172.48</v>
      </c>
      <c r="CC302" s="6"/>
      <c r="CD302" s="6"/>
      <c r="CE302" s="6"/>
      <c r="CF302" s="6"/>
      <c r="CG302" s="7">
        <f>ROUND(19600.07,2)</f>
        <v>19600.07</v>
      </c>
      <c r="CH302" s="6"/>
      <c r="CI302" s="6"/>
      <c r="CJ302" s="7">
        <f>ROUND(3581.67,2)</f>
        <v>3581.67</v>
      </c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7">
        <f>ROUND(1555.68,2)</f>
        <v>1555.68</v>
      </c>
      <c r="DD302" s="6"/>
      <c r="DE302" s="7">
        <f>ROUND(4222.56,2)</f>
        <v>4222.5600000000004</v>
      </c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7">
        <f>ROUND(450,2)</f>
        <v>450</v>
      </c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7">
        <f>ROUND(305.04,2)</f>
        <v>305.04000000000002</v>
      </c>
      <c r="ER302" s="6"/>
      <c r="ES302" s="6"/>
      <c r="ET302" s="6"/>
      <c r="EU302" s="7">
        <f>ROUND(243.2,2)</f>
        <v>243.2</v>
      </c>
      <c r="EV302" s="7">
        <f>ROUND(29958.2199999999,2)</f>
        <v>29958.22</v>
      </c>
    </row>
    <row r="303" spans="1:152">
      <c r="A303" s="4" t="s">
        <v>756</v>
      </c>
      <c r="B303" s="4" t="s">
        <v>1058</v>
      </c>
      <c r="C303" s="5" t="s">
        <v>152</v>
      </c>
      <c r="D303" s="5" t="s">
        <v>153</v>
      </c>
      <c r="E303" s="5" t="s">
        <v>0</v>
      </c>
      <c r="F303" s="5" t="s">
        <v>0</v>
      </c>
      <c r="G303" s="5" t="s">
        <v>155</v>
      </c>
      <c r="H303" s="10">
        <v>30.4</v>
      </c>
      <c r="I303" s="6"/>
      <c r="J303" s="6"/>
      <c r="K303" s="6"/>
      <c r="L303" s="6"/>
      <c r="M303" s="7">
        <f>ROUND(1473.49,2)</f>
        <v>1473.49</v>
      </c>
      <c r="N303" s="6"/>
      <c r="O303" s="6"/>
      <c r="P303" s="6"/>
      <c r="Q303" s="6"/>
      <c r="R303" s="6"/>
      <c r="S303" s="6"/>
      <c r="T303" s="7">
        <f>ROUND(0.3,2)</f>
        <v>0.3</v>
      </c>
      <c r="U303" s="7">
        <f>ROUND(22.5499999999999,2)</f>
        <v>22.55</v>
      </c>
      <c r="V303" s="7">
        <f>ROUND(0.25,2)</f>
        <v>0.25</v>
      </c>
      <c r="W303" s="6"/>
      <c r="X303" s="6"/>
      <c r="Y303" s="6"/>
      <c r="Z303" s="6"/>
      <c r="AA303" s="6"/>
      <c r="AB303" s="6"/>
      <c r="AC303" s="7">
        <f>ROUND(5.25,2)</f>
        <v>5.25</v>
      </c>
      <c r="AD303" s="6"/>
      <c r="AE303" s="6"/>
      <c r="AF303" s="7">
        <f>ROUND(13.2199999999999,2)</f>
        <v>13.22</v>
      </c>
      <c r="AG303" s="6"/>
      <c r="AH303" s="7">
        <f>ROUND(40,2)</f>
        <v>40</v>
      </c>
      <c r="AI303" s="6"/>
      <c r="AJ303" s="7">
        <f>ROUND(20,2)</f>
        <v>20</v>
      </c>
      <c r="AK303" s="6"/>
      <c r="AL303" s="7">
        <f>ROUND(8.5,2)</f>
        <v>8.5</v>
      </c>
      <c r="AM303" s="7">
        <f>ROUND(2.08,2)</f>
        <v>2.08</v>
      </c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7">
        <f>ROUND(2.75,2)</f>
        <v>2.75</v>
      </c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7">
        <f>ROUND(15,2)</f>
        <v>15</v>
      </c>
      <c r="CB303" s="7">
        <f>ROUND(1603.39,2)</f>
        <v>1603.39</v>
      </c>
      <c r="CC303" s="6"/>
      <c r="CD303" s="6"/>
      <c r="CE303" s="6"/>
      <c r="CF303" s="6"/>
      <c r="CG303" s="7">
        <f>ROUND(35711.78,2)</f>
        <v>35711.78</v>
      </c>
      <c r="CH303" s="6"/>
      <c r="CI303" s="6"/>
      <c r="CJ303" s="6"/>
      <c r="CK303" s="6"/>
      <c r="CL303" s="6"/>
      <c r="CM303" s="6"/>
      <c r="CN303" s="7">
        <f>ROUND(14,2)</f>
        <v>14</v>
      </c>
      <c r="CO303" s="7">
        <f>ROUND(579.76,2)</f>
        <v>579.76</v>
      </c>
      <c r="CP303" s="7">
        <f>ROUND(11.4,2)</f>
        <v>11.4</v>
      </c>
      <c r="CQ303" s="6"/>
      <c r="CR303" s="6"/>
      <c r="CS303" s="6"/>
      <c r="CT303" s="6"/>
      <c r="CU303" s="6"/>
      <c r="CV303" s="6"/>
      <c r="CW303" s="7">
        <f>ROUND(159.6,2)</f>
        <v>159.6</v>
      </c>
      <c r="CX303" s="6"/>
      <c r="CY303" s="6"/>
      <c r="CZ303" s="6"/>
      <c r="DA303" s="7">
        <f>ROUND(331.44,2)</f>
        <v>331.44</v>
      </c>
      <c r="DB303" s="6"/>
      <c r="DC303" s="7">
        <f>ROUND(1004.08,2)</f>
        <v>1004.08</v>
      </c>
      <c r="DD303" s="6"/>
      <c r="DE303" s="7">
        <f>ROUND(466.71,2)</f>
        <v>466.71</v>
      </c>
      <c r="DF303" s="6"/>
      <c r="DG303" s="6"/>
      <c r="DH303" s="6"/>
      <c r="DI303" s="7">
        <f>ROUND(198.35,2)</f>
        <v>198.35</v>
      </c>
      <c r="DJ303" s="7">
        <f>ROUND(48.54,2)</f>
        <v>48.54</v>
      </c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7">
        <f>ROUND(875,2)</f>
        <v>875</v>
      </c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7">
        <f>ROUND(625,2)</f>
        <v>625</v>
      </c>
      <c r="ER303" s="6"/>
      <c r="ES303" s="6"/>
      <c r="ET303" s="6"/>
      <c r="EU303" s="7">
        <f>ROUND(456,2)</f>
        <v>456</v>
      </c>
      <c r="EV303" s="7">
        <f>ROUND(40481.6599999999,2)</f>
        <v>40481.660000000003</v>
      </c>
    </row>
    <row r="304" spans="1:152">
      <c r="A304" s="4" t="s">
        <v>757</v>
      </c>
      <c r="B304" s="4"/>
      <c r="C304" s="5" t="s">
        <v>294</v>
      </c>
      <c r="D304" s="5" t="s">
        <v>758</v>
      </c>
      <c r="E304" s="5" t="s">
        <v>602</v>
      </c>
      <c r="F304" s="5" t="s">
        <v>0</v>
      </c>
      <c r="G304" s="5" t="s">
        <v>759</v>
      </c>
      <c r="H304" s="10">
        <v>1038.46</v>
      </c>
      <c r="I304" s="7">
        <f>ROUND(400,2)</f>
        <v>400</v>
      </c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7">
        <f>ROUND(103,2)</f>
        <v>103</v>
      </c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7">
        <f>ROUND(8,2)</f>
        <v>8</v>
      </c>
      <c r="BI304" s="6"/>
      <c r="BJ304" s="6"/>
      <c r="BK304" s="6"/>
      <c r="BL304" s="6"/>
      <c r="BM304" s="6"/>
      <c r="BN304" s="6"/>
      <c r="BO304" s="6"/>
      <c r="BP304" s="6"/>
      <c r="BQ304" s="6"/>
      <c r="BR304" s="7">
        <f>ROUND(16,2)</f>
        <v>16</v>
      </c>
      <c r="BS304" s="6"/>
      <c r="BT304" s="7">
        <f>ROUND(24,2)</f>
        <v>24</v>
      </c>
      <c r="BU304" s="6"/>
      <c r="BV304" s="6"/>
      <c r="BW304" s="6"/>
      <c r="BX304" s="6"/>
      <c r="BY304" s="7">
        <f>ROUND(80,2)</f>
        <v>80</v>
      </c>
      <c r="BZ304" s="6"/>
      <c r="CA304" s="6"/>
      <c r="CB304" s="7">
        <f>ROUND(631,2)</f>
        <v>631</v>
      </c>
      <c r="CC304" s="7">
        <f>ROUND(42576.8599999999,2)</f>
        <v>42576.86</v>
      </c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7">
        <f>ROUND(-500,2)</f>
        <v>-500</v>
      </c>
      <c r="ER304" s="6"/>
      <c r="ES304" s="6"/>
      <c r="ET304" s="6"/>
      <c r="EU304" s="6"/>
      <c r="EV304" s="7">
        <f>ROUND(42076.8599999999,2)</f>
        <v>42076.86</v>
      </c>
    </row>
    <row r="305" spans="1:152">
      <c r="A305" s="4" t="s">
        <v>760</v>
      </c>
      <c r="B305" s="4" t="s">
        <v>1058</v>
      </c>
      <c r="C305" s="5" t="s">
        <v>152</v>
      </c>
      <c r="D305" s="5" t="s">
        <v>761</v>
      </c>
      <c r="E305" s="5" t="s">
        <v>0</v>
      </c>
      <c r="F305" s="5" t="s">
        <v>0</v>
      </c>
      <c r="G305" s="5" t="s">
        <v>155</v>
      </c>
      <c r="H305" s="10">
        <v>30.4</v>
      </c>
      <c r="I305" s="6"/>
      <c r="J305" s="6"/>
      <c r="K305" s="6"/>
      <c r="L305" s="6"/>
      <c r="M305" s="7">
        <f>ROUND(87.67,2)</f>
        <v>87.67</v>
      </c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7">
        <f>ROUND(837.69,2)</f>
        <v>837.69</v>
      </c>
      <c r="AD305" s="7">
        <f>ROUND(40.09,2)</f>
        <v>40.090000000000003</v>
      </c>
      <c r="AE305" s="6"/>
      <c r="AF305" s="6"/>
      <c r="AG305" s="6"/>
      <c r="AH305" s="7">
        <f>ROUND(92,2)</f>
        <v>92</v>
      </c>
      <c r="AI305" s="6"/>
      <c r="AJ305" s="7">
        <f>ROUND(208,2)</f>
        <v>208</v>
      </c>
      <c r="AK305" s="6"/>
      <c r="AL305" s="7">
        <f>ROUND(8,2)</f>
        <v>8</v>
      </c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7">
        <f>ROUND(24,2)</f>
        <v>24</v>
      </c>
      <c r="BC305" s="7">
        <f>ROUND(504,2)</f>
        <v>504</v>
      </c>
      <c r="BD305" s="7">
        <f>ROUND(0.21,2)</f>
        <v>0.21</v>
      </c>
      <c r="BE305" s="7">
        <f>ROUND(4.75,2)</f>
        <v>4.75</v>
      </c>
      <c r="BF305" s="6"/>
      <c r="BG305" s="6"/>
      <c r="BH305" s="6"/>
      <c r="BI305" s="6"/>
      <c r="BJ305" s="7">
        <f>ROUND(8,2)</f>
        <v>8</v>
      </c>
      <c r="BK305" s="6"/>
      <c r="BL305" s="6"/>
      <c r="BM305" s="7">
        <f>ROUND(344,2)</f>
        <v>344</v>
      </c>
      <c r="BN305" s="6"/>
      <c r="BO305" s="7">
        <f>ROUND(40,2)</f>
        <v>40</v>
      </c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7">
        <f>ROUND(2198.41,2)</f>
        <v>2198.41</v>
      </c>
      <c r="CC305" s="6"/>
      <c r="CD305" s="6"/>
      <c r="CE305" s="6"/>
      <c r="CF305" s="6"/>
      <c r="CG305" s="7">
        <f>ROUND(2435.47,2)</f>
        <v>2435.4699999999998</v>
      </c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7">
        <f>ROUND(23728.42,2)</f>
        <v>23728.42</v>
      </c>
      <c r="CX305" s="7">
        <f>ROUND(1774.7,2)</f>
        <v>1774.7</v>
      </c>
      <c r="CY305" s="6"/>
      <c r="CZ305" s="6"/>
      <c r="DA305" s="6"/>
      <c r="DB305" s="6"/>
      <c r="DC305" s="7">
        <f>ROUND(2597.68,2)</f>
        <v>2597.6799999999998</v>
      </c>
      <c r="DD305" s="6"/>
      <c r="DE305" s="7">
        <f>ROUND(5883.04,2)</f>
        <v>5883.04</v>
      </c>
      <c r="DF305" s="6"/>
      <c r="DG305" s="6"/>
      <c r="DH305" s="6"/>
      <c r="DI305" s="7">
        <f>ROUND(222.24,2)</f>
        <v>222.24</v>
      </c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7">
        <f>ROUND(639.6,2)</f>
        <v>639.6</v>
      </c>
      <c r="ER305" s="6"/>
      <c r="ES305" s="6"/>
      <c r="ET305" s="6"/>
      <c r="EU305" s="6"/>
      <c r="EV305" s="7">
        <f>ROUND(37281.1499999999,2)</f>
        <v>37281.15</v>
      </c>
    </row>
    <row r="306" spans="1:152" ht="24">
      <c r="A306" s="4" t="s">
        <v>762</v>
      </c>
      <c r="B306" s="4"/>
      <c r="C306" s="5" t="s">
        <v>720</v>
      </c>
      <c r="D306" s="5" t="s">
        <v>763</v>
      </c>
      <c r="E306" s="5" t="s">
        <v>0</v>
      </c>
      <c r="F306" s="5" t="s">
        <v>0</v>
      </c>
      <c r="G306" s="5" t="s">
        <v>764</v>
      </c>
      <c r="H306" s="10">
        <v>18.04</v>
      </c>
      <c r="I306" s="7">
        <f>ROUND(1962,2)</f>
        <v>1962</v>
      </c>
      <c r="J306" s="7">
        <f>ROUND(243,2)</f>
        <v>243</v>
      </c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7">
        <f>ROUND(16,2)</f>
        <v>16</v>
      </c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7">
        <f>ROUND(32,2)</f>
        <v>32</v>
      </c>
      <c r="BU306" s="6"/>
      <c r="BV306" s="6"/>
      <c r="BW306" s="6"/>
      <c r="BX306" s="7">
        <f>ROUND(40,2)</f>
        <v>40</v>
      </c>
      <c r="BY306" s="7">
        <f>ROUND(40,2)</f>
        <v>40</v>
      </c>
      <c r="BZ306" s="6"/>
      <c r="CA306" s="6"/>
      <c r="CB306" s="7">
        <f>ROUND(2333,2)</f>
        <v>2333</v>
      </c>
      <c r="CC306" s="7">
        <f>ROUND(33678.16,2)</f>
        <v>33678.160000000003</v>
      </c>
      <c r="CD306" s="7">
        <f>ROUND(6236.08,2)</f>
        <v>6236.08</v>
      </c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7">
        <f>ROUND(272,2)</f>
        <v>272</v>
      </c>
      <c r="EE306" s="7">
        <f>ROUND(1731.84,2)</f>
        <v>1731.84</v>
      </c>
      <c r="EF306" s="6"/>
      <c r="EG306" s="7">
        <f>ROUND(552.319999999999,2)</f>
        <v>552.32000000000005</v>
      </c>
      <c r="EH306" s="6"/>
      <c r="EI306" s="6"/>
      <c r="EJ306" s="6"/>
      <c r="EK306" s="6"/>
      <c r="EL306" s="6"/>
      <c r="EM306" s="6"/>
      <c r="EN306" s="7">
        <f>ROUND(704.96,2)</f>
        <v>704.96</v>
      </c>
      <c r="EO306" s="6"/>
      <c r="EP306" s="6"/>
      <c r="EQ306" s="6"/>
      <c r="ER306" s="6"/>
      <c r="ES306" s="7">
        <f>ROUND(696.64,2)</f>
        <v>696.64</v>
      </c>
      <c r="ET306" s="6"/>
      <c r="EU306" s="6"/>
      <c r="EV306" s="7">
        <f>ROUND(43871.9999999999,2)</f>
        <v>43872</v>
      </c>
    </row>
    <row r="307" spans="1:152">
      <c r="A307" s="4" t="s">
        <v>765</v>
      </c>
      <c r="B307" s="4" t="s">
        <v>1058</v>
      </c>
      <c r="C307" s="5" t="s">
        <v>152</v>
      </c>
      <c r="D307" s="5" t="s">
        <v>739</v>
      </c>
      <c r="E307" s="5" t="s">
        <v>766</v>
      </c>
      <c r="F307" s="5" t="s">
        <v>0</v>
      </c>
      <c r="G307" s="5" t="s">
        <v>155</v>
      </c>
      <c r="H307" s="10">
        <v>30.4</v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7">
        <f>ROUND(8,2)</f>
        <v>8</v>
      </c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7">
        <f>ROUND(432,2)</f>
        <v>432</v>
      </c>
      <c r="BD307" s="6"/>
      <c r="BE307" s="6"/>
      <c r="BF307" s="6"/>
      <c r="BG307" s="6"/>
      <c r="BH307" s="7">
        <f>ROUND(16,2)</f>
        <v>16</v>
      </c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7">
        <f>ROUND(80,2)</f>
        <v>80</v>
      </c>
      <c r="CB307" s="7">
        <f>ROUND(536,2)</f>
        <v>536</v>
      </c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7">
        <f>ROUND(1250,2)</f>
        <v>1250</v>
      </c>
      <c r="ER307" s="6"/>
      <c r="ES307" s="6"/>
      <c r="ET307" s="6"/>
      <c r="EU307" s="7">
        <f>ROUND(2432,2)</f>
        <v>2432</v>
      </c>
      <c r="EV307" s="7">
        <f>ROUND(3682,2)</f>
        <v>3682</v>
      </c>
    </row>
    <row r="308" spans="1:152">
      <c r="A308" s="4" t="s">
        <v>767</v>
      </c>
      <c r="B308" s="4" t="s">
        <v>1058</v>
      </c>
      <c r="C308" s="5" t="s">
        <v>152</v>
      </c>
      <c r="D308" s="5" t="s">
        <v>478</v>
      </c>
      <c r="E308" s="5" t="s">
        <v>0</v>
      </c>
      <c r="F308" s="5" t="s">
        <v>0</v>
      </c>
      <c r="G308" s="5" t="s">
        <v>155</v>
      </c>
      <c r="H308" s="10">
        <v>30.4</v>
      </c>
      <c r="I308" s="6"/>
      <c r="J308" s="6"/>
      <c r="K308" s="6"/>
      <c r="L308" s="6"/>
      <c r="M308" s="7">
        <f>ROUND(1468.97,2)</f>
        <v>1468.97</v>
      </c>
      <c r="N308" s="6"/>
      <c r="O308" s="6"/>
      <c r="P308" s="7">
        <f>ROUND(251.809999999999,2)</f>
        <v>251.81</v>
      </c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7">
        <f>ROUND(90,2)</f>
        <v>90</v>
      </c>
      <c r="AI308" s="6"/>
      <c r="AJ308" s="7">
        <f>ROUND(176,2)</f>
        <v>176</v>
      </c>
      <c r="AK308" s="6"/>
      <c r="AL308" s="7">
        <f>ROUND(13,2)</f>
        <v>13</v>
      </c>
      <c r="AM308" s="7">
        <f>ROUND(2.4,2)</f>
        <v>2.4</v>
      </c>
      <c r="AN308" s="7">
        <f>ROUND(4,2)</f>
        <v>4</v>
      </c>
      <c r="AO308" s="6"/>
      <c r="AP308" s="7">
        <f>ROUND(47.86,2)</f>
        <v>47.86</v>
      </c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7">
        <f>ROUND(296,2)</f>
        <v>296</v>
      </c>
      <c r="BD308" s="7">
        <f>ROUND(0.07,2)</f>
        <v>7.0000000000000007E-2</v>
      </c>
      <c r="BE308" s="7">
        <f>ROUND(19.26,2)</f>
        <v>19.260000000000002</v>
      </c>
      <c r="BF308" s="7">
        <f>ROUND(12.07,2)</f>
        <v>12.07</v>
      </c>
      <c r="BG308" s="7">
        <f>ROUND(8,2)</f>
        <v>8</v>
      </c>
      <c r="BH308" s="6"/>
      <c r="BI308" s="6"/>
      <c r="BJ308" s="7">
        <f>ROUND(8,2)</f>
        <v>8</v>
      </c>
      <c r="BK308" s="6"/>
      <c r="BL308" s="6"/>
      <c r="BM308" s="7">
        <f>ROUND(8,2)</f>
        <v>8</v>
      </c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7">
        <f>ROUND(16,2)</f>
        <v>16</v>
      </c>
      <c r="CB308" s="7">
        <f>ROUND(2421.44,2)</f>
        <v>2421.44</v>
      </c>
      <c r="CC308" s="6"/>
      <c r="CD308" s="6"/>
      <c r="CE308" s="6"/>
      <c r="CF308" s="6"/>
      <c r="CG308" s="7">
        <f>ROUND(41444.65,2)</f>
        <v>41444.65</v>
      </c>
      <c r="CH308" s="6"/>
      <c r="CI308" s="6"/>
      <c r="CJ308" s="7">
        <f>ROUND(10808.9,2)</f>
        <v>10808.9</v>
      </c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7">
        <f>ROUND(2542.12,2)</f>
        <v>2542.12</v>
      </c>
      <c r="DD308" s="6"/>
      <c r="DE308" s="7">
        <f>ROUND(4931.19999999999,2)</f>
        <v>4931.2</v>
      </c>
      <c r="DF308" s="6"/>
      <c r="DG308" s="6"/>
      <c r="DH308" s="6"/>
      <c r="DI308" s="7">
        <f>ROUND(374.24,2)</f>
        <v>374.24</v>
      </c>
      <c r="DJ308" s="7">
        <f>ROUND(66.67,2)</f>
        <v>66.67</v>
      </c>
      <c r="DK308" s="7">
        <f>ROUND(182.4,2)</f>
        <v>182.4</v>
      </c>
      <c r="DL308" s="6"/>
      <c r="DM308" s="7">
        <f>ROUND(1329.56,2)</f>
        <v>1329.56</v>
      </c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7">
        <f>ROUND(222.24,2)</f>
        <v>222.24</v>
      </c>
      <c r="ED308" s="6"/>
      <c r="EE308" s="7">
        <f>ROUND(475,2)</f>
        <v>475</v>
      </c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7">
        <f>ROUND(1250,2)</f>
        <v>1250</v>
      </c>
      <c r="ER308" s="6"/>
      <c r="ES308" s="6"/>
      <c r="ET308" s="6"/>
      <c r="EU308" s="7">
        <f>ROUND(486.4,2)</f>
        <v>486.4</v>
      </c>
      <c r="EV308" s="7">
        <f>ROUND(64113.38,2)</f>
        <v>64113.38</v>
      </c>
    </row>
    <row r="309" spans="1:152" ht="24">
      <c r="A309" s="4" t="s">
        <v>768</v>
      </c>
      <c r="B309" s="4"/>
      <c r="C309" s="5" t="s">
        <v>720</v>
      </c>
      <c r="D309" s="5" t="s">
        <v>769</v>
      </c>
      <c r="E309" s="5" t="s">
        <v>0</v>
      </c>
      <c r="F309" s="5" t="s">
        <v>0</v>
      </c>
      <c r="G309" s="5" t="s">
        <v>770</v>
      </c>
      <c r="H309" s="10">
        <v>23.32</v>
      </c>
      <c r="I309" s="7">
        <f>ROUND(1768,2)</f>
        <v>1768</v>
      </c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7">
        <f>ROUND(8,2)</f>
        <v>8</v>
      </c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7">
        <f>ROUND(32,2)</f>
        <v>32</v>
      </c>
      <c r="BU309" s="6"/>
      <c r="BV309" s="6"/>
      <c r="BW309" s="6"/>
      <c r="BX309" s="7">
        <f>ROUND(32,2)</f>
        <v>32</v>
      </c>
      <c r="BY309" s="7">
        <f>ROUND(232,2)</f>
        <v>232</v>
      </c>
      <c r="BZ309" s="6"/>
      <c r="CA309" s="6"/>
      <c r="CB309" s="7">
        <f>ROUND(2072,2)</f>
        <v>2072</v>
      </c>
      <c r="CC309" s="7">
        <f>ROUND(39290.0399999999,2)</f>
        <v>39290.04</v>
      </c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7">
        <f>ROUND(175.82,2)</f>
        <v>175.82</v>
      </c>
      <c r="EE309" s="7">
        <f>ROUND(2238.72,2)</f>
        <v>2238.7199999999998</v>
      </c>
      <c r="EF309" s="6"/>
      <c r="EG309" s="7">
        <f>ROUND(714.02,2)</f>
        <v>714.02</v>
      </c>
      <c r="EH309" s="6"/>
      <c r="EI309" s="6"/>
      <c r="EJ309" s="6"/>
      <c r="EK309" s="6"/>
      <c r="EL309" s="6"/>
      <c r="EM309" s="6"/>
      <c r="EN309" s="7">
        <f>ROUND(724.76,2)</f>
        <v>724.76</v>
      </c>
      <c r="EO309" s="6"/>
      <c r="EP309" s="6"/>
      <c r="EQ309" s="6"/>
      <c r="ER309" s="6"/>
      <c r="ES309" s="7">
        <f>ROUND(5114.73999999999,2)</f>
        <v>5114.74</v>
      </c>
      <c r="ET309" s="6"/>
      <c r="EU309" s="6"/>
      <c r="EV309" s="7">
        <f>ROUND(48258.1,2)</f>
        <v>48258.1</v>
      </c>
    </row>
    <row r="310" spans="1:152">
      <c r="A310" s="4" t="s">
        <v>771</v>
      </c>
      <c r="B310" s="4" t="s">
        <v>1058</v>
      </c>
      <c r="C310" s="5" t="s">
        <v>152</v>
      </c>
      <c r="D310" s="5" t="s">
        <v>281</v>
      </c>
      <c r="E310" s="5" t="s">
        <v>0</v>
      </c>
      <c r="F310" s="5" t="s">
        <v>0</v>
      </c>
      <c r="G310" s="5" t="s">
        <v>155</v>
      </c>
      <c r="H310" s="10">
        <v>24.32</v>
      </c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7">
        <f>ROUND(10,2)</f>
        <v>10</v>
      </c>
      <c r="AI310" s="6"/>
      <c r="AJ310" s="6"/>
      <c r="AK310" s="6"/>
      <c r="AL310" s="7">
        <f>ROUND(218.95,2)</f>
        <v>218.95</v>
      </c>
      <c r="AM310" s="6"/>
      <c r="AN310" s="7">
        <f>ROUND(8.93,2)</f>
        <v>8.93</v>
      </c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7">
        <f>ROUND(0.05,2)</f>
        <v>0.05</v>
      </c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7">
        <f>ROUND(237.93,2)</f>
        <v>237.93</v>
      </c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7">
        <f>ROUND(175,2)</f>
        <v>175</v>
      </c>
      <c r="DD310" s="6"/>
      <c r="DE310" s="6"/>
      <c r="DF310" s="6"/>
      <c r="DG310" s="6"/>
      <c r="DH310" s="6"/>
      <c r="DI310" s="7">
        <f>ROUND(3831.63,2)</f>
        <v>3831.63</v>
      </c>
      <c r="DJ310" s="6"/>
      <c r="DK310" s="7">
        <f>ROUND(234.41,2)</f>
        <v>234.41</v>
      </c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7">
        <f>ROUND(4241.04,2)</f>
        <v>4241.04</v>
      </c>
    </row>
    <row r="311" spans="1:152" ht="24">
      <c r="A311" s="4" t="s">
        <v>772</v>
      </c>
      <c r="B311" s="4"/>
      <c r="C311" s="5" t="s">
        <v>285</v>
      </c>
      <c r="D311" s="5" t="s">
        <v>424</v>
      </c>
      <c r="E311" s="5" t="s">
        <v>0</v>
      </c>
      <c r="F311" s="5" t="s">
        <v>0</v>
      </c>
      <c r="G311" s="5" t="s">
        <v>773</v>
      </c>
      <c r="H311" s="10">
        <v>1344.89</v>
      </c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7">
        <f>ROUND(3,2)</f>
        <v>3</v>
      </c>
      <c r="AB311" s="7">
        <f>ROUND(19,2)</f>
        <v>19</v>
      </c>
      <c r="AC311" s="6"/>
      <c r="AD311" s="6"/>
      <c r="AE311" s="6"/>
      <c r="AF311" s="6"/>
      <c r="AG311" s="6"/>
      <c r="AH311" s="6"/>
      <c r="AI311" s="6"/>
      <c r="AJ311" s="6"/>
      <c r="AK311" s="7">
        <f>ROUND(32,2)</f>
        <v>32</v>
      </c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7">
        <f>ROUND(9,2)</f>
        <v>9</v>
      </c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7">
        <f>ROUND(32,2)</f>
        <v>32</v>
      </c>
      <c r="BU311" s="7">
        <f>ROUND(32,2)</f>
        <v>32</v>
      </c>
      <c r="BV311" s="6"/>
      <c r="BW311" s="6"/>
      <c r="BX311" s="6"/>
      <c r="BY311" s="7">
        <f>ROUND(104,2)</f>
        <v>104</v>
      </c>
      <c r="BZ311" s="6"/>
      <c r="CA311" s="6"/>
      <c r="CB311" s="7">
        <f>ROUND(231,2)</f>
        <v>231</v>
      </c>
      <c r="CC311" s="7">
        <f>ROUND(66611.26,2)</f>
        <v>66611.259999999995</v>
      </c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7">
        <f>ROUND(1125,2)</f>
        <v>1125</v>
      </c>
      <c r="CV311" s="7">
        <f>ROUND(7125,2)</f>
        <v>7125</v>
      </c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7">
        <f>ROUND(269.6,2)</f>
        <v>269.60000000000002</v>
      </c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7">
        <f>ROUND(3227.52,2)</f>
        <v>3227.52</v>
      </c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7">
        <f>ROUND(78358.38,2)</f>
        <v>78358.38</v>
      </c>
    </row>
    <row r="312" spans="1:152">
      <c r="A312" s="4" t="s">
        <v>774</v>
      </c>
      <c r="B312" s="4" t="s">
        <v>1058</v>
      </c>
      <c r="C312" s="5" t="s">
        <v>152</v>
      </c>
      <c r="D312" s="5" t="s">
        <v>455</v>
      </c>
      <c r="E312" s="5" t="s">
        <v>0</v>
      </c>
      <c r="F312" s="5" t="s">
        <v>0</v>
      </c>
      <c r="G312" s="5" t="s">
        <v>155</v>
      </c>
      <c r="H312" s="10">
        <v>30.4</v>
      </c>
      <c r="I312" s="6"/>
      <c r="J312" s="6"/>
      <c r="K312" s="6"/>
      <c r="L312" s="6"/>
      <c r="M312" s="7">
        <f>ROUND(1970.25,2)</f>
        <v>1970.25</v>
      </c>
      <c r="N312" s="6"/>
      <c r="O312" s="6"/>
      <c r="P312" s="7">
        <f>ROUND(515.73,2)</f>
        <v>515.73</v>
      </c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7">
        <f>ROUND(90,2)</f>
        <v>90</v>
      </c>
      <c r="AI312" s="6"/>
      <c r="AJ312" s="7">
        <f>ROUND(16,2)</f>
        <v>16</v>
      </c>
      <c r="AK312" s="6"/>
      <c r="AL312" s="7">
        <f>ROUND(8.5,2)</f>
        <v>8.5</v>
      </c>
      <c r="AM312" s="7">
        <f>ROUND(3.25,2)</f>
        <v>3.25</v>
      </c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7">
        <f>ROUND(1.75,2)</f>
        <v>1.75</v>
      </c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7">
        <f>ROUND(144,2)</f>
        <v>144</v>
      </c>
      <c r="CB312" s="7">
        <f>ROUND(2749.48,2)</f>
        <v>2749.48</v>
      </c>
      <c r="CC312" s="6"/>
      <c r="CD312" s="6"/>
      <c r="CE312" s="6"/>
      <c r="CF312" s="6"/>
      <c r="CG312" s="7">
        <f>ROUND(55512.7399999999,2)</f>
        <v>55512.74</v>
      </c>
      <c r="CH312" s="6"/>
      <c r="CI312" s="6"/>
      <c r="CJ312" s="7">
        <f>ROUND(21979.62,2)</f>
        <v>21979.62</v>
      </c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7">
        <f>ROUND(2542.12,2)</f>
        <v>2542.12</v>
      </c>
      <c r="DD312" s="6"/>
      <c r="DE312" s="7">
        <f>ROUND(465.44,2)</f>
        <v>465.44</v>
      </c>
      <c r="DF312" s="6"/>
      <c r="DG312" s="6"/>
      <c r="DH312" s="6"/>
      <c r="DI312" s="7">
        <f>ROUND(236.13,2)</f>
        <v>236.13</v>
      </c>
      <c r="DJ312" s="7">
        <f>ROUND(95.97,2)</f>
        <v>95.97</v>
      </c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7">
        <f>ROUND(2000,2)</f>
        <v>2000</v>
      </c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7">
        <f>ROUND(1250,2)</f>
        <v>1250</v>
      </c>
      <c r="ER312" s="6"/>
      <c r="ES312" s="6"/>
      <c r="ET312" s="6"/>
      <c r="EU312" s="7">
        <f>ROUND(4377.6,2)</f>
        <v>4377.6000000000004</v>
      </c>
      <c r="EV312" s="7">
        <f>ROUND(88459.6199999999,2)</f>
        <v>88459.62</v>
      </c>
    </row>
    <row r="313" spans="1:152" ht="24">
      <c r="A313" s="4" t="s">
        <v>775</v>
      </c>
      <c r="B313" s="4"/>
      <c r="C313" s="5" t="s">
        <v>233</v>
      </c>
      <c r="D313" s="5" t="s">
        <v>776</v>
      </c>
      <c r="E313" s="5" t="s">
        <v>154</v>
      </c>
      <c r="F313" s="5" t="s">
        <v>0</v>
      </c>
      <c r="G313" s="5" t="s">
        <v>248</v>
      </c>
      <c r="H313" s="10">
        <v>15</v>
      </c>
      <c r="I313" s="7">
        <f>ROUND(64.25,2)</f>
        <v>64.25</v>
      </c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7">
        <f>ROUND(64.25,2)</f>
        <v>64.25</v>
      </c>
      <c r="CC313" s="7">
        <f>ROUND(963.75,2)</f>
        <v>963.75</v>
      </c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7">
        <f>ROUND(963.75,2)</f>
        <v>963.75</v>
      </c>
    </row>
    <row r="314" spans="1:152">
      <c r="A314" s="4" t="s">
        <v>777</v>
      </c>
      <c r="B314" s="4" t="s">
        <v>1058</v>
      </c>
      <c r="C314" s="5" t="s">
        <v>211</v>
      </c>
      <c r="D314" s="5" t="s">
        <v>778</v>
      </c>
      <c r="E314" s="5" t="s">
        <v>0</v>
      </c>
      <c r="F314" s="5" t="s">
        <v>0</v>
      </c>
      <c r="G314" s="5" t="s">
        <v>218</v>
      </c>
      <c r="H314" s="10">
        <v>34</v>
      </c>
      <c r="I314" s="6"/>
      <c r="J314" s="6"/>
      <c r="K314" s="7">
        <f>ROUND(1856,2)</f>
        <v>1856</v>
      </c>
      <c r="L314" s="7">
        <f>ROUND(29.2899999999999,2)</f>
        <v>29.29</v>
      </c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7">
        <f>ROUND(88,2)</f>
        <v>88</v>
      </c>
      <c r="AI314" s="6"/>
      <c r="AJ314" s="7">
        <f>ROUND(80,2)</f>
        <v>80</v>
      </c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7">
        <f>ROUND(24,2)</f>
        <v>24</v>
      </c>
      <c r="BC314" s="7">
        <f>ROUND(32,2)</f>
        <v>32</v>
      </c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7">
        <f>ROUND(2109.29,2)</f>
        <v>2109.29</v>
      </c>
      <c r="CC314" s="6"/>
      <c r="CD314" s="6"/>
      <c r="CE314" s="7">
        <f>ROUND(58460.7999999999,2)</f>
        <v>58460.800000000003</v>
      </c>
      <c r="CF314" s="7">
        <f>ROUND(1409.66,2)</f>
        <v>1409.66</v>
      </c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7">
        <f>ROUND(2758,2)</f>
        <v>2758</v>
      </c>
      <c r="DD314" s="6"/>
      <c r="DE314" s="7">
        <f>ROUND(2486,2)</f>
        <v>2486</v>
      </c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7">
        <f>ROUND(500,2)</f>
        <v>500</v>
      </c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7">
        <f>ROUND(1250,2)</f>
        <v>1250</v>
      </c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7">
        <f>ROUND(1250,2)</f>
        <v>1250</v>
      </c>
      <c r="ER314" s="6"/>
      <c r="ES314" s="6"/>
      <c r="ET314" s="6"/>
      <c r="EU314" s="6"/>
      <c r="EV314" s="7">
        <f>ROUND(68114.4599999999,2)</f>
        <v>68114.460000000006</v>
      </c>
    </row>
    <row r="315" spans="1:152" ht="24">
      <c r="A315" s="4" t="s">
        <v>779</v>
      </c>
      <c r="B315" s="4"/>
      <c r="C315" s="5" t="s">
        <v>430</v>
      </c>
      <c r="D315" s="5" t="s">
        <v>780</v>
      </c>
      <c r="E315" s="5" t="s">
        <v>0</v>
      </c>
      <c r="F315" s="5" t="s">
        <v>0</v>
      </c>
      <c r="G315" s="5" t="s">
        <v>781</v>
      </c>
      <c r="H315" s="10">
        <v>1278.8499999999999</v>
      </c>
      <c r="I315" s="7">
        <f>ROUND(64,2)</f>
        <v>64</v>
      </c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7">
        <f>ROUND(8,2)</f>
        <v>8</v>
      </c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7">
        <f>ROUND(72,2)</f>
        <v>72</v>
      </c>
      <c r="CC315" s="7">
        <f>ROUND(8440.33,2)</f>
        <v>8440.33</v>
      </c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7">
        <f>ROUND(255.76,2)</f>
        <v>255.76</v>
      </c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7">
        <f>ROUND(225,2)</f>
        <v>225</v>
      </c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7">
        <f>ROUND(8921.09,2)</f>
        <v>8921.09</v>
      </c>
    </row>
    <row r="316" spans="1:152" ht="24">
      <c r="A316" s="4" t="s">
        <v>782</v>
      </c>
      <c r="B316" s="4"/>
      <c r="C316" s="5" t="s">
        <v>259</v>
      </c>
      <c r="D316" s="5" t="s">
        <v>783</v>
      </c>
      <c r="E316" s="5" t="s">
        <v>0</v>
      </c>
      <c r="F316" s="5" t="s">
        <v>0</v>
      </c>
      <c r="G316" s="5" t="s">
        <v>784</v>
      </c>
      <c r="H316" s="10">
        <v>16.39</v>
      </c>
      <c r="I316" s="7">
        <f>ROUND(1083.25,2)</f>
        <v>1083.25</v>
      </c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7">
        <f>ROUND(20,2)</f>
        <v>20</v>
      </c>
      <c r="BU316" s="6"/>
      <c r="BV316" s="6"/>
      <c r="BW316" s="6"/>
      <c r="BX316" s="6"/>
      <c r="BY316" s="6"/>
      <c r="BZ316" s="6"/>
      <c r="CA316" s="6"/>
      <c r="CB316" s="7">
        <f>ROUND(1103.25,2)</f>
        <v>1103.25</v>
      </c>
      <c r="CC316" s="7">
        <f>ROUND(16898.67,2)</f>
        <v>16898.669999999998</v>
      </c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7">
        <f>ROUND(786.72,2)</f>
        <v>786.72</v>
      </c>
      <c r="EF316" s="6"/>
      <c r="EG316" s="7">
        <f>ROUND(313.7,2)</f>
        <v>313.7</v>
      </c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7">
        <f>ROUND(17999.09,2)</f>
        <v>17999.09</v>
      </c>
    </row>
    <row r="317" spans="1:152" ht="24">
      <c r="A317" s="4" t="s">
        <v>785</v>
      </c>
      <c r="B317" s="4"/>
      <c r="C317" s="5" t="s">
        <v>233</v>
      </c>
      <c r="D317" s="5" t="s">
        <v>763</v>
      </c>
      <c r="E317" s="5" t="s">
        <v>0</v>
      </c>
      <c r="F317" s="5" t="s">
        <v>0</v>
      </c>
      <c r="G317" s="5" t="s">
        <v>236</v>
      </c>
      <c r="H317" s="10">
        <v>19.100000000000001</v>
      </c>
      <c r="I317" s="7">
        <f>ROUND(1944.5,2)</f>
        <v>1944.5</v>
      </c>
      <c r="J317" s="7">
        <f>ROUND(170.75,2)</f>
        <v>170.75</v>
      </c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7">
        <f>ROUND(16,2)</f>
        <v>16</v>
      </c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7">
        <f>ROUND(48,2)</f>
        <v>48</v>
      </c>
      <c r="BU317" s="6"/>
      <c r="BV317" s="6"/>
      <c r="BW317" s="6"/>
      <c r="BX317" s="6"/>
      <c r="BY317" s="7">
        <f>ROUND(20,2)</f>
        <v>20</v>
      </c>
      <c r="BZ317" s="6"/>
      <c r="CA317" s="6"/>
      <c r="CB317" s="7">
        <f>ROUND(2199.25,2)</f>
        <v>2199.25</v>
      </c>
      <c r="CC317" s="7">
        <f>ROUND(33049.8199999999,2)</f>
        <v>33049.82</v>
      </c>
      <c r="CD317" s="7">
        <f>ROUND(4472.22999999999,2)</f>
        <v>4472.2299999999996</v>
      </c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7">
        <f>ROUND(247.2,2)</f>
        <v>247.2</v>
      </c>
      <c r="EE317" s="7">
        <f>ROUND(1833.6,2)</f>
        <v>1833.6</v>
      </c>
      <c r="EF317" s="6"/>
      <c r="EG317" s="7">
        <f>ROUND(840.8,2)</f>
        <v>840.8</v>
      </c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7">
        <f>ROUND(333.72,2)</f>
        <v>333.72</v>
      </c>
      <c r="ET317" s="6"/>
      <c r="EU317" s="6"/>
      <c r="EV317" s="7">
        <f>ROUND(40777.3699999999,2)</f>
        <v>40777.370000000003</v>
      </c>
    </row>
    <row r="318" spans="1:152">
      <c r="A318" s="4" t="s">
        <v>786</v>
      </c>
      <c r="B318" s="4" t="s">
        <v>1058</v>
      </c>
      <c r="C318" s="5" t="s">
        <v>152</v>
      </c>
      <c r="D318" s="5" t="s">
        <v>424</v>
      </c>
      <c r="E318" s="5" t="s">
        <v>0</v>
      </c>
      <c r="F318" s="5" t="s">
        <v>0</v>
      </c>
      <c r="G318" s="5" t="s">
        <v>155</v>
      </c>
      <c r="H318" s="10">
        <v>30.4</v>
      </c>
      <c r="I318" s="6"/>
      <c r="J318" s="6"/>
      <c r="K318" s="6"/>
      <c r="L318" s="6"/>
      <c r="M318" s="7">
        <f>ROUND(1417.91999999999,2)</f>
        <v>1417.92</v>
      </c>
      <c r="N318" s="6"/>
      <c r="O318" s="6"/>
      <c r="P318" s="7">
        <f>ROUND(213.639999999999,2)</f>
        <v>213.64</v>
      </c>
      <c r="Q318" s="6"/>
      <c r="R318" s="6"/>
      <c r="S318" s="6"/>
      <c r="T318" s="7">
        <f>ROUND(0.17,2)</f>
        <v>0.17</v>
      </c>
      <c r="U318" s="7">
        <f>ROUND(31.97,2)</f>
        <v>31.97</v>
      </c>
      <c r="V318" s="7">
        <f>ROUND(12.45,2)</f>
        <v>12.45</v>
      </c>
      <c r="W318" s="7">
        <f>ROUND(4.29,2)</f>
        <v>4.29</v>
      </c>
      <c r="X318" s="7">
        <f>ROUND(4.63,2)</f>
        <v>4.63</v>
      </c>
      <c r="Y318" s="6"/>
      <c r="Z318" s="6"/>
      <c r="AA318" s="6"/>
      <c r="AB318" s="6"/>
      <c r="AC318" s="7">
        <f>ROUND(79.3,2)</f>
        <v>79.3</v>
      </c>
      <c r="AD318" s="7">
        <f>ROUND(8.7,2)</f>
        <v>8.6999999999999993</v>
      </c>
      <c r="AE318" s="6"/>
      <c r="AF318" s="7">
        <f>ROUND(367.549999999999,2)</f>
        <v>367.55</v>
      </c>
      <c r="AG318" s="7">
        <f>ROUND(38.3899999999999,2)</f>
        <v>38.39</v>
      </c>
      <c r="AH318" s="7">
        <f>ROUND(80,2)</f>
        <v>80</v>
      </c>
      <c r="AI318" s="6"/>
      <c r="AJ318" s="7">
        <f>ROUND(80,2)</f>
        <v>80</v>
      </c>
      <c r="AK318" s="6"/>
      <c r="AL318" s="7">
        <f>ROUND(16,2)</f>
        <v>16</v>
      </c>
      <c r="AM318" s="7">
        <f>ROUND(0.82,2)</f>
        <v>0.82</v>
      </c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7">
        <f>ROUND(0.17,2)</f>
        <v>0.17</v>
      </c>
      <c r="BE318" s="7">
        <f>ROUND(8,2)</f>
        <v>8</v>
      </c>
      <c r="BF318" s="6"/>
      <c r="BG318" s="6"/>
      <c r="BH318" s="7">
        <f>ROUND(8,2)</f>
        <v>8</v>
      </c>
      <c r="BI318" s="6"/>
      <c r="BJ318" s="6"/>
      <c r="BK318" s="6"/>
      <c r="BL318" s="6"/>
      <c r="BM318" s="7">
        <f>ROUND(8,2)</f>
        <v>8</v>
      </c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7">
        <f>ROUND(2380,2)</f>
        <v>2380</v>
      </c>
      <c r="CC318" s="6"/>
      <c r="CD318" s="6"/>
      <c r="CE318" s="6"/>
      <c r="CF318" s="6"/>
      <c r="CG318" s="7">
        <f>ROUND(36792.13,2)</f>
        <v>36792.129999999997</v>
      </c>
      <c r="CH318" s="6"/>
      <c r="CI318" s="6"/>
      <c r="CJ318" s="7">
        <f>ROUND(8407.15,2)</f>
        <v>8407.15</v>
      </c>
      <c r="CK318" s="6"/>
      <c r="CL318" s="6"/>
      <c r="CM318" s="6"/>
      <c r="CN318" s="7">
        <f>ROUND(8.5,2)</f>
        <v>8.5</v>
      </c>
      <c r="CO318" s="7">
        <f>ROUND(799.82,2)</f>
        <v>799.82</v>
      </c>
      <c r="CP318" s="7">
        <f>ROUND(469.229999999999,2)</f>
        <v>469.23</v>
      </c>
      <c r="CQ318" s="7">
        <f>ROUND(107.35,2)</f>
        <v>107.35</v>
      </c>
      <c r="CR318" s="7">
        <f>ROUND(173.739999999999,2)</f>
        <v>173.74</v>
      </c>
      <c r="CS318" s="6"/>
      <c r="CT318" s="6"/>
      <c r="CU318" s="6"/>
      <c r="CV318" s="6"/>
      <c r="CW318" s="7">
        <f>ROUND(1986.11,2)</f>
        <v>1986.11</v>
      </c>
      <c r="CX318" s="7">
        <f>ROUND(363.65,2)</f>
        <v>363.65</v>
      </c>
      <c r="CY318" s="6"/>
      <c r="CZ318" s="6"/>
      <c r="DA318" s="7">
        <f>ROUND(9301.73999999999,2)</f>
        <v>9301.74</v>
      </c>
      <c r="DB318" s="7">
        <f>ROUND(1459.22,2)</f>
        <v>1459.22</v>
      </c>
      <c r="DC318" s="7">
        <f>ROUND(2086.48,2)</f>
        <v>2086.48</v>
      </c>
      <c r="DD318" s="6"/>
      <c r="DE318" s="7">
        <f>ROUND(2043.28,2)</f>
        <v>2043.28</v>
      </c>
      <c r="DF318" s="6"/>
      <c r="DG318" s="6"/>
      <c r="DH318" s="6"/>
      <c r="DI318" s="7">
        <f>ROUND(443.21,2)</f>
        <v>443.21</v>
      </c>
      <c r="DJ318" s="7">
        <f>ROUND(20.5,2)</f>
        <v>20.5</v>
      </c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7">
        <f>ROUND(1425,2)</f>
        <v>1425</v>
      </c>
      <c r="EF318" s="6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7">
        <f>ROUND(1250,2)</f>
        <v>1250</v>
      </c>
      <c r="ER318" s="6"/>
      <c r="ES318" s="6"/>
      <c r="ET318" s="6"/>
      <c r="EU318" s="6"/>
      <c r="EV318" s="7">
        <f>ROUND(67137.11,2)</f>
        <v>67137.11</v>
      </c>
    </row>
    <row r="319" spans="1:152">
      <c r="A319" s="4" t="s">
        <v>787</v>
      </c>
      <c r="B319" s="4" t="s">
        <v>1058</v>
      </c>
      <c r="C319" s="5" t="s">
        <v>152</v>
      </c>
      <c r="D319" s="5" t="s">
        <v>546</v>
      </c>
      <c r="E319" s="5" t="s">
        <v>0</v>
      </c>
      <c r="F319" s="5" t="s">
        <v>0</v>
      </c>
      <c r="G319" s="5" t="s">
        <v>155</v>
      </c>
      <c r="H319" s="10">
        <v>30.4</v>
      </c>
      <c r="I319" s="6"/>
      <c r="J319" s="6"/>
      <c r="K319" s="6"/>
      <c r="L319" s="6"/>
      <c r="M319" s="7">
        <f>ROUND(726.64,2)</f>
        <v>726.64</v>
      </c>
      <c r="N319" s="6"/>
      <c r="O319" s="6"/>
      <c r="P319" s="7">
        <f>ROUND(77.0699999999999,2)</f>
        <v>77.069999999999993</v>
      </c>
      <c r="Q319" s="6"/>
      <c r="R319" s="6"/>
      <c r="S319" s="6"/>
      <c r="T319" s="6"/>
      <c r="U319" s="7">
        <f>ROUND(5.42,2)</f>
        <v>5.42</v>
      </c>
      <c r="V319" s="6"/>
      <c r="W319" s="7">
        <f>ROUND(0.66,2)</f>
        <v>0.66</v>
      </c>
      <c r="X319" s="6"/>
      <c r="Y319" s="6"/>
      <c r="Z319" s="6"/>
      <c r="AA319" s="6"/>
      <c r="AB319" s="6"/>
      <c r="AC319" s="7">
        <f>ROUND(594.37,2)</f>
        <v>594.37</v>
      </c>
      <c r="AD319" s="7">
        <f>ROUND(9.33,2)</f>
        <v>9.33</v>
      </c>
      <c r="AE319" s="6"/>
      <c r="AF319" s="7">
        <f>ROUND(438.349999999999,2)</f>
        <v>438.35</v>
      </c>
      <c r="AG319" s="7">
        <f>ROUND(28.35,2)</f>
        <v>28.35</v>
      </c>
      <c r="AH319" s="7">
        <f>ROUND(80,2)</f>
        <v>80</v>
      </c>
      <c r="AI319" s="6"/>
      <c r="AJ319" s="7">
        <f>ROUND(104,2)</f>
        <v>104</v>
      </c>
      <c r="AK319" s="6"/>
      <c r="AL319" s="7">
        <f>ROUND(8,2)</f>
        <v>8</v>
      </c>
      <c r="AM319" s="7">
        <f>ROUND(16,2)</f>
        <v>16</v>
      </c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7">
        <f>ROUND(32,2)</f>
        <v>32</v>
      </c>
      <c r="BC319" s="7">
        <f>ROUND(40,2)</f>
        <v>40</v>
      </c>
      <c r="BD319" s="7">
        <f>ROUND(11.92,2)</f>
        <v>11.92</v>
      </c>
      <c r="BE319" s="6"/>
      <c r="BF319" s="6"/>
      <c r="BG319" s="6"/>
      <c r="BH319" s="7">
        <f>ROUND(8,2)</f>
        <v>8</v>
      </c>
      <c r="BI319" s="6"/>
      <c r="BJ319" s="6"/>
      <c r="BK319" s="6"/>
      <c r="BL319" s="6"/>
      <c r="BM319" s="7">
        <f>ROUND(32,2)</f>
        <v>32</v>
      </c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7">
        <f>ROUND(16,2)</f>
        <v>16</v>
      </c>
      <c r="CB319" s="7">
        <f>ROUND(2228.10999999999,2)</f>
        <v>2228.11</v>
      </c>
      <c r="CC319" s="6"/>
      <c r="CD319" s="6"/>
      <c r="CE319" s="6"/>
      <c r="CF319" s="6"/>
      <c r="CG319" s="7">
        <f>ROUND(20320.55,2)</f>
        <v>20320.55</v>
      </c>
      <c r="CH319" s="6"/>
      <c r="CI319" s="6"/>
      <c r="CJ319" s="7">
        <f>ROUND(3245.57999999999,2)</f>
        <v>3245.58</v>
      </c>
      <c r="CK319" s="6"/>
      <c r="CL319" s="6"/>
      <c r="CM319" s="6"/>
      <c r="CN319" s="6"/>
      <c r="CO319" s="7">
        <f>ROUND(150.57,2)</f>
        <v>150.57</v>
      </c>
      <c r="CP319" s="6"/>
      <c r="CQ319" s="7">
        <f>ROUND(18.39,2)</f>
        <v>18.39</v>
      </c>
      <c r="CR319" s="6"/>
      <c r="CS319" s="6"/>
      <c r="CT319" s="6"/>
      <c r="CU319" s="6"/>
      <c r="CV319" s="6"/>
      <c r="CW319" s="7">
        <f>ROUND(17078.57,2)</f>
        <v>17078.57</v>
      </c>
      <c r="CX319" s="7">
        <f>ROUND(389.1,2)</f>
        <v>389.1</v>
      </c>
      <c r="CY319" s="6"/>
      <c r="CZ319" s="6"/>
      <c r="DA319" s="7">
        <f>ROUND(12214.59,2)</f>
        <v>12214.59</v>
      </c>
      <c r="DB319" s="7">
        <f>ROUND(1215.38,2)</f>
        <v>1215.3800000000001</v>
      </c>
      <c r="DC319" s="7">
        <f>ROUND(2264.32,2)</f>
        <v>2264.3200000000002</v>
      </c>
      <c r="DD319" s="6"/>
      <c r="DE319" s="7">
        <f>ROUND(2889.12,2)</f>
        <v>2889.12</v>
      </c>
      <c r="DF319" s="6"/>
      <c r="DG319" s="6"/>
      <c r="DH319" s="6"/>
      <c r="DI319" s="7">
        <f>ROUND(222.24,2)</f>
        <v>222.24</v>
      </c>
      <c r="DJ319" s="7">
        <f>ROUND(444.48,2)</f>
        <v>444.48</v>
      </c>
      <c r="DK319" s="6"/>
      <c r="DL319" s="6"/>
      <c r="DM319" s="6"/>
      <c r="DN319" s="6"/>
      <c r="DO319" s="6"/>
      <c r="DP319" s="6"/>
      <c r="DQ319" s="6"/>
      <c r="DR319" s="7">
        <f>ROUND(500,2)</f>
        <v>500</v>
      </c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7">
        <f>ROUND(650,2)</f>
        <v>650</v>
      </c>
      <c r="EF319" s="6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7">
        <f>ROUND(1250,2)</f>
        <v>1250</v>
      </c>
      <c r="ER319" s="6"/>
      <c r="ES319" s="6"/>
      <c r="ET319" s="6"/>
      <c r="EU319" s="7">
        <f>ROUND(486.4,2)</f>
        <v>486.4</v>
      </c>
      <c r="EV319" s="7">
        <f>ROUND(63339.2899999999,2)</f>
        <v>63339.29</v>
      </c>
    </row>
    <row r="320" spans="1:152">
      <c r="A320" s="4" t="s">
        <v>788</v>
      </c>
      <c r="B320" s="4" t="s">
        <v>1058</v>
      </c>
      <c r="C320" s="5" t="s">
        <v>152</v>
      </c>
      <c r="D320" s="5" t="s">
        <v>677</v>
      </c>
      <c r="E320" s="5" t="s">
        <v>0</v>
      </c>
      <c r="F320" s="5" t="s">
        <v>0</v>
      </c>
      <c r="G320" s="5" t="s">
        <v>155</v>
      </c>
      <c r="H320" s="10">
        <v>30.4</v>
      </c>
      <c r="I320" s="6"/>
      <c r="J320" s="6"/>
      <c r="K320" s="6"/>
      <c r="L320" s="6"/>
      <c r="M320" s="7">
        <f>ROUND(1393.01999999999,2)</f>
        <v>1393.02</v>
      </c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7">
        <f>ROUND(40,2)</f>
        <v>40</v>
      </c>
      <c r="AI320" s="6"/>
      <c r="AJ320" s="7">
        <f>ROUND(45,2)</f>
        <v>45</v>
      </c>
      <c r="AK320" s="6"/>
      <c r="AL320" s="7">
        <f>ROUND(8,2)</f>
        <v>8</v>
      </c>
      <c r="AM320" s="6"/>
      <c r="AN320" s="6"/>
      <c r="AO320" s="6"/>
      <c r="AP320" s="7">
        <f>ROUND(15.7,2)</f>
        <v>15.7</v>
      </c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7">
        <f>ROUND(5,2)</f>
        <v>5</v>
      </c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7">
        <f>ROUND(30,2)</f>
        <v>30</v>
      </c>
      <c r="CB320" s="7">
        <f>ROUND(1536.71999999999,2)</f>
        <v>1536.72</v>
      </c>
      <c r="CC320" s="6"/>
      <c r="CD320" s="6"/>
      <c r="CE320" s="6"/>
      <c r="CF320" s="6"/>
      <c r="CG320" s="7">
        <f>ROUND(39220.43,2)</f>
        <v>39220.43</v>
      </c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7">
        <f>ROUND(1137.4,2)</f>
        <v>1137.4000000000001</v>
      </c>
      <c r="DD320" s="6"/>
      <c r="DE320" s="7">
        <f>ROUND(1250.1,2)</f>
        <v>1250.0999999999999</v>
      </c>
      <c r="DF320" s="6"/>
      <c r="DG320" s="6"/>
      <c r="DH320" s="6"/>
      <c r="DI320" s="7">
        <f>ROUND(222.24,2)</f>
        <v>222.24</v>
      </c>
      <c r="DJ320" s="6"/>
      <c r="DK320" s="6"/>
      <c r="DL320" s="6"/>
      <c r="DM320" s="7">
        <f>ROUND(436.15,2)</f>
        <v>436.15</v>
      </c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7">
        <f>ROUND(750,2)</f>
        <v>750</v>
      </c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7">
        <f>ROUND(625,2)</f>
        <v>625</v>
      </c>
      <c r="ER320" s="6"/>
      <c r="ES320" s="6"/>
      <c r="ET320" s="6"/>
      <c r="EU320" s="7">
        <f>ROUND(912,2)</f>
        <v>912</v>
      </c>
      <c r="EV320" s="7">
        <f>ROUND(44553.32,2)</f>
        <v>44553.32</v>
      </c>
    </row>
    <row r="321" spans="1:152" ht="24">
      <c r="A321" s="4" t="s">
        <v>789</v>
      </c>
      <c r="B321" s="4"/>
      <c r="C321" s="5" t="s">
        <v>720</v>
      </c>
      <c r="D321" s="5" t="s">
        <v>790</v>
      </c>
      <c r="E321" s="5" t="s">
        <v>0</v>
      </c>
      <c r="F321" s="5" t="s">
        <v>0</v>
      </c>
      <c r="G321" s="5" t="s">
        <v>791</v>
      </c>
      <c r="H321" s="10">
        <v>29.66</v>
      </c>
      <c r="I321" s="7">
        <f>ROUND(1929.5,2)</f>
        <v>1929.5</v>
      </c>
      <c r="J321" s="7">
        <f>ROUND(548.25,2)</f>
        <v>548.25</v>
      </c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7">
        <f>ROUND(24,2)</f>
        <v>24</v>
      </c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7">
        <f>ROUND(32,2)</f>
        <v>32</v>
      </c>
      <c r="BU321" s="7">
        <f>ROUND(32,2)</f>
        <v>32</v>
      </c>
      <c r="BV321" s="6"/>
      <c r="BW321" s="6"/>
      <c r="BX321" s="6"/>
      <c r="BY321" s="7">
        <f>ROUND(72,2)</f>
        <v>72</v>
      </c>
      <c r="BZ321" s="6"/>
      <c r="CA321" s="6"/>
      <c r="CB321" s="7">
        <f>ROUND(2637.75,2)</f>
        <v>2637.75</v>
      </c>
      <c r="CC321" s="7">
        <f>ROUND(54476.82,2)</f>
        <v>54476.82</v>
      </c>
      <c r="CD321" s="7">
        <f>ROUND(23256.57,2)</f>
        <v>23256.57</v>
      </c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7">
        <f>ROUND(671.04,2)</f>
        <v>671.04</v>
      </c>
      <c r="EE321" s="7">
        <f>ROUND(2847.36,2)</f>
        <v>2847.36</v>
      </c>
      <c r="EF321" s="6"/>
      <c r="EG321" s="7">
        <f>ROUND(908.319999999999,2)</f>
        <v>908.32</v>
      </c>
      <c r="EH321" s="7">
        <f>ROUND(894.72,2)</f>
        <v>894.72</v>
      </c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7">
        <f>ROUND(2081.12,2)</f>
        <v>2081.12</v>
      </c>
      <c r="ET321" s="6"/>
      <c r="EU321" s="6"/>
      <c r="EV321" s="7">
        <f>ROUND(85135.95,2)</f>
        <v>85135.95</v>
      </c>
    </row>
    <row r="322" spans="1:152">
      <c r="A322" s="4" t="s">
        <v>792</v>
      </c>
      <c r="B322" s="4" t="s">
        <v>1058</v>
      </c>
      <c r="C322" s="5" t="s">
        <v>152</v>
      </c>
      <c r="D322" s="5" t="s">
        <v>281</v>
      </c>
      <c r="E322" s="5" t="s">
        <v>793</v>
      </c>
      <c r="F322" s="5" t="s">
        <v>0</v>
      </c>
      <c r="G322" s="5" t="s">
        <v>155</v>
      </c>
      <c r="H322" s="10">
        <v>17.5</v>
      </c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7">
        <f>ROUND(40,2)</f>
        <v>40</v>
      </c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7">
        <f>ROUND(5,2)</f>
        <v>5</v>
      </c>
      <c r="BI322" s="6"/>
      <c r="BJ322" s="6"/>
      <c r="BK322" s="6"/>
      <c r="BL322" s="6"/>
      <c r="BM322" s="7">
        <f>ROUND(25,2)</f>
        <v>25</v>
      </c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7">
        <f>ROUND(70,2)</f>
        <v>70</v>
      </c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7">
        <f>ROUND(700,2)</f>
        <v>700</v>
      </c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7">
        <f>ROUND(700,2)</f>
        <v>700</v>
      </c>
    </row>
    <row r="323" spans="1:152">
      <c r="A323" s="4" t="s">
        <v>794</v>
      </c>
      <c r="B323" s="4" t="s">
        <v>1058</v>
      </c>
      <c r="C323" s="5" t="s">
        <v>152</v>
      </c>
      <c r="D323" s="5" t="s">
        <v>424</v>
      </c>
      <c r="E323" s="5" t="s">
        <v>0</v>
      </c>
      <c r="F323" s="5" t="s">
        <v>0</v>
      </c>
      <c r="G323" s="5" t="s">
        <v>155</v>
      </c>
      <c r="H323" s="10">
        <v>30.4</v>
      </c>
      <c r="I323" s="6"/>
      <c r="J323" s="6"/>
      <c r="K323" s="6"/>
      <c r="L323" s="6"/>
      <c r="M323" s="7">
        <f>ROUND(1236.8,2)</f>
        <v>1236.8</v>
      </c>
      <c r="N323" s="6"/>
      <c r="O323" s="6"/>
      <c r="P323" s="7">
        <f>ROUND(204.81,2)</f>
        <v>204.81</v>
      </c>
      <c r="Q323" s="6"/>
      <c r="R323" s="6"/>
      <c r="S323" s="6"/>
      <c r="T323" s="6"/>
      <c r="U323" s="7">
        <f>ROUND(51.51,2)</f>
        <v>51.51</v>
      </c>
      <c r="V323" s="7">
        <f>ROUND(1.45,2)</f>
        <v>1.45</v>
      </c>
      <c r="W323" s="7">
        <f>ROUND(10.23,2)</f>
        <v>10.23</v>
      </c>
      <c r="X323" s="7">
        <f>ROUND(2.58,2)</f>
        <v>2.58</v>
      </c>
      <c r="Y323" s="6"/>
      <c r="Z323" s="6"/>
      <c r="AA323" s="6"/>
      <c r="AB323" s="6"/>
      <c r="AC323" s="7">
        <f>ROUND(105.83,2)</f>
        <v>105.83</v>
      </c>
      <c r="AD323" s="7">
        <f>ROUND(4.08,2)</f>
        <v>4.08</v>
      </c>
      <c r="AE323" s="6"/>
      <c r="AF323" s="7">
        <f>ROUND(392.619999999999,2)</f>
        <v>392.62</v>
      </c>
      <c r="AG323" s="7">
        <f>ROUND(24.41,2)</f>
        <v>24.41</v>
      </c>
      <c r="AH323" s="7">
        <f>ROUND(72,2)</f>
        <v>72</v>
      </c>
      <c r="AI323" s="6"/>
      <c r="AJ323" s="7">
        <f>ROUND(72,2)</f>
        <v>72</v>
      </c>
      <c r="AK323" s="6"/>
      <c r="AL323" s="7">
        <f>ROUND(16.5,2)</f>
        <v>16.5</v>
      </c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7">
        <f>ROUND(116,2)</f>
        <v>116</v>
      </c>
      <c r="BD323" s="7">
        <f>ROUND(1.2,2)</f>
        <v>1.2</v>
      </c>
      <c r="BE323" s="6"/>
      <c r="BF323" s="7">
        <f>ROUND(16,2)</f>
        <v>16</v>
      </c>
      <c r="BG323" s="6"/>
      <c r="BH323" s="6"/>
      <c r="BI323" s="6"/>
      <c r="BJ323" s="7">
        <f>ROUND(8,2)</f>
        <v>8</v>
      </c>
      <c r="BK323" s="6"/>
      <c r="BL323" s="6"/>
      <c r="BM323" s="7">
        <f>ROUND(11.3799999999999,2)</f>
        <v>11.38</v>
      </c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7">
        <f>ROUND(8,2)</f>
        <v>8</v>
      </c>
      <c r="CB323" s="7">
        <f>ROUND(2355.4,2)</f>
        <v>2355.4</v>
      </c>
      <c r="CC323" s="6"/>
      <c r="CD323" s="6"/>
      <c r="CE323" s="6"/>
      <c r="CF323" s="6"/>
      <c r="CG323" s="7">
        <f>ROUND(32256.83,2)</f>
        <v>32256.83</v>
      </c>
      <c r="CH323" s="6"/>
      <c r="CI323" s="6"/>
      <c r="CJ323" s="7">
        <f>ROUND(8103.94,2)</f>
        <v>8103.94</v>
      </c>
      <c r="CK323" s="6"/>
      <c r="CL323" s="6"/>
      <c r="CM323" s="6"/>
      <c r="CN323" s="6"/>
      <c r="CO323" s="7">
        <f>ROUND(1287.8,2)</f>
        <v>1287.8</v>
      </c>
      <c r="CP323" s="7">
        <f>ROUND(54.38,2)</f>
        <v>54.38</v>
      </c>
      <c r="CQ323" s="7">
        <f>ROUND(256.15,2)</f>
        <v>256.14999999999998</v>
      </c>
      <c r="CR323" s="7">
        <f>ROUND(96.77,2)</f>
        <v>96.77</v>
      </c>
      <c r="CS323" s="6"/>
      <c r="CT323" s="6"/>
      <c r="CU323" s="6"/>
      <c r="CV323" s="6"/>
      <c r="CW323" s="7">
        <f>ROUND(2646.39,2)</f>
        <v>2646.39</v>
      </c>
      <c r="CX323" s="7">
        <f>ROUND(153.92,2)</f>
        <v>153.91999999999999</v>
      </c>
      <c r="CY323" s="6"/>
      <c r="CZ323" s="6"/>
      <c r="DA323" s="7">
        <f>ROUND(9934.49999999999,2)</f>
        <v>9934.5</v>
      </c>
      <c r="DB323" s="7">
        <f>ROUND(932.44,2)</f>
        <v>932.44</v>
      </c>
      <c r="DC323" s="7">
        <f>ROUND(1886.47,2)</f>
        <v>1886.47</v>
      </c>
      <c r="DD323" s="6"/>
      <c r="DE323" s="7">
        <f>ROUND(1800.08,2)</f>
        <v>1800.08</v>
      </c>
      <c r="DF323" s="6"/>
      <c r="DG323" s="6"/>
      <c r="DH323" s="6"/>
      <c r="DI323" s="7">
        <f>ROUND(455.71,2)</f>
        <v>455.71</v>
      </c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7">
        <f>ROUND(775,2)</f>
        <v>775</v>
      </c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7">
        <f>ROUND(1250,2)</f>
        <v>1250</v>
      </c>
      <c r="ER323" s="6"/>
      <c r="ES323" s="6"/>
      <c r="ET323" s="6"/>
      <c r="EU323" s="7">
        <f>ROUND(243.2,2)</f>
        <v>243.2</v>
      </c>
      <c r="EV323" s="7">
        <f>ROUND(62133.58,2)</f>
        <v>62133.58</v>
      </c>
    </row>
    <row r="324" spans="1:152">
      <c r="A324" s="4" t="s">
        <v>795</v>
      </c>
      <c r="B324" s="4" t="s">
        <v>1058</v>
      </c>
      <c r="C324" s="5" t="s">
        <v>152</v>
      </c>
      <c r="D324" s="5" t="s">
        <v>689</v>
      </c>
      <c r="E324" s="5" t="s">
        <v>0</v>
      </c>
      <c r="F324" s="5" t="s">
        <v>0</v>
      </c>
      <c r="G324" s="5" t="s">
        <v>155</v>
      </c>
      <c r="H324" s="10">
        <v>30.4</v>
      </c>
      <c r="I324" s="6"/>
      <c r="J324" s="6"/>
      <c r="K324" s="6"/>
      <c r="L324" s="6"/>
      <c r="M324" s="7">
        <f>ROUND(1737.3,2)</f>
        <v>1737.3</v>
      </c>
      <c r="N324" s="6"/>
      <c r="O324" s="6"/>
      <c r="P324" s="7">
        <f>ROUND(192.96,2)</f>
        <v>192.96</v>
      </c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7">
        <f>ROUND(38.7,2)</f>
        <v>38.700000000000003</v>
      </c>
      <c r="AD324" s="7">
        <f>ROUND(41.3,2)</f>
        <v>41.3</v>
      </c>
      <c r="AE324" s="6"/>
      <c r="AF324" s="6"/>
      <c r="AG324" s="6"/>
      <c r="AH324" s="7">
        <f>ROUND(96,2)</f>
        <v>96</v>
      </c>
      <c r="AI324" s="6"/>
      <c r="AJ324" s="7">
        <f>ROUND(200,2)</f>
        <v>200</v>
      </c>
      <c r="AK324" s="6"/>
      <c r="AL324" s="7">
        <f>ROUND(8,2)</f>
        <v>8</v>
      </c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7">
        <f>ROUND(2314.25999999999,2)</f>
        <v>2314.2600000000002</v>
      </c>
      <c r="CC324" s="6"/>
      <c r="CD324" s="6"/>
      <c r="CE324" s="6"/>
      <c r="CF324" s="6"/>
      <c r="CG324" s="7">
        <f>ROUND(48890.9899999999,2)</f>
        <v>48890.99</v>
      </c>
      <c r="CH324" s="6"/>
      <c r="CI324" s="6"/>
      <c r="CJ324" s="7">
        <f>ROUND(8171.46,2)</f>
        <v>8171.46</v>
      </c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7">
        <f>ROUND(1075.09,2)</f>
        <v>1075.0899999999999</v>
      </c>
      <c r="CX324" s="7">
        <f>ROUND(1720.97,2)</f>
        <v>1720.97</v>
      </c>
      <c r="CY324" s="6"/>
      <c r="CZ324" s="6"/>
      <c r="DA324" s="6"/>
      <c r="DB324" s="6"/>
      <c r="DC324" s="7">
        <f>ROUND(2708.79999999999,2)</f>
        <v>2708.8</v>
      </c>
      <c r="DD324" s="6"/>
      <c r="DE324" s="7">
        <f>ROUND(5618.87999999999,2)</f>
        <v>5618.88</v>
      </c>
      <c r="DF324" s="6"/>
      <c r="DG324" s="6"/>
      <c r="DH324" s="6"/>
      <c r="DI324" s="7">
        <f>ROUND(222.24,2)</f>
        <v>222.24</v>
      </c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7">
        <f>ROUND(2000,2)</f>
        <v>2000</v>
      </c>
      <c r="EF324" s="6"/>
      <c r="EG324" s="6"/>
      <c r="EH324" s="6"/>
      <c r="EI324" s="6"/>
      <c r="EJ324" s="6"/>
      <c r="EK324" s="6"/>
      <c r="EL324" s="6"/>
      <c r="EM324" s="6"/>
      <c r="EN324" s="6"/>
      <c r="EO324" s="6"/>
      <c r="EP324" s="6"/>
      <c r="EQ324" s="7">
        <f>ROUND(1250,2)</f>
        <v>1250</v>
      </c>
      <c r="ER324" s="6"/>
      <c r="ES324" s="6"/>
      <c r="ET324" s="6"/>
      <c r="EU324" s="6"/>
      <c r="EV324" s="7">
        <f>ROUND(71658.43,2)</f>
        <v>71658.429999999993</v>
      </c>
    </row>
    <row r="325" spans="1:152" ht="24">
      <c r="A325" s="4" t="s">
        <v>796</v>
      </c>
      <c r="B325" s="4"/>
      <c r="C325" s="5" t="s">
        <v>285</v>
      </c>
      <c r="D325" s="5" t="s">
        <v>153</v>
      </c>
      <c r="E325" s="5" t="s">
        <v>0</v>
      </c>
      <c r="F325" s="5" t="s">
        <v>0</v>
      </c>
      <c r="G325" s="5" t="s">
        <v>300</v>
      </c>
      <c r="H325" s="10">
        <v>1250</v>
      </c>
      <c r="I325" s="6"/>
      <c r="J325" s="6"/>
      <c r="K325" s="6"/>
      <c r="L325" s="6"/>
      <c r="M325" s="7">
        <f>ROUND(1067.91,2)</f>
        <v>1067.9100000000001</v>
      </c>
      <c r="N325" s="6"/>
      <c r="O325" s="6"/>
      <c r="P325" s="7">
        <f>ROUND(212.75,2)</f>
        <v>212.75</v>
      </c>
      <c r="Q325" s="6"/>
      <c r="R325" s="6"/>
      <c r="S325" s="6"/>
      <c r="T325" s="6"/>
      <c r="U325" s="7">
        <f>ROUND(59.16,2)</f>
        <v>59.16</v>
      </c>
      <c r="V325" s="7">
        <f>ROUND(68.88,2)</f>
        <v>68.88</v>
      </c>
      <c r="W325" s="7">
        <f>ROUND(10.36,2)</f>
        <v>10.36</v>
      </c>
      <c r="X325" s="7">
        <f>ROUND(2.15,2)</f>
        <v>2.15</v>
      </c>
      <c r="Y325" s="6"/>
      <c r="Z325" s="6"/>
      <c r="AA325" s="6"/>
      <c r="AB325" s="7">
        <f>ROUND(1,2)</f>
        <v>1</v>
      </c>
      <c r="AC325" s="7">
        <f>ROUND(158.89,2)</f>
        <v>158.88999999999999</v>
      </c>
      <c r="AD325" s="7">
        <f>ROUND(15.77,2)</f>
        <v>15.77</v>
      </c>
      <c r="AE325" s="6"/>
      <c r="AF325" s="7">
        <f>ROUND(444.15,2)</f>
        <v>444.15</v>
      </c>
      <c r="AG325" s="7">
        <f>ROUND(140.38,2)</f>
        <v>140.38</v>
      </c>
      <c r="AH325" s="7">
        <f>ROUND(72,2)</f>
        <v>72</v>
      </c>
      <c r="AI325" s="6"/>
      <c r="AJ325" s="7">
        <f>ROUND(48,2)</f>
        <v>48</v>
      </c>
      <c r="AK325" s="6"/>
      <c r="AL325" s="7">
        <f>ROUND(8,2)</f>
        <v>8</v>
      </c>
      <c r="AM325" s="6"/>
      <c r="AN325" s="6"/>
      <c r="AO325" s="6"/>
      <c r="AP325" s="6"/>
      <c r="AQ325" s="6"/>
      <c r="AR325" s="6"/>
      <c r="AS325" s="6"/>
      <c r="AT325" s="6"/>
      <c r="AU325" s="6"/>
      <c r="AV325" s="7">
        <f>ROUND(5.25,2)</f>
        <v>5.25</v>
      </c>
      <c r="AW325" s="7">
        <f>ROUND(5.5,2)</f>
        <v>5.5</v>
      </c>
      <c r="AX325" s="6"/>
      <c r="AY325" s="6"/>
      <c r="AZ325" s="6"/>
      <c r="BA325" s="6"/>
      <c r="BB325" s="7">
        <f>ROUND(16,2)</f>
        <v>16</v>
      </c>
      <c r="BC325" s="6"/>
      <c r="BD325" s="6"/>
      <c r="BE325" s="6"/>
      <c r="BF325" s="6"/>
      <c r="BG325" s="6"/>
      <c r="BH325" s="7">
        <f>ROUND(9,2)</f>
        <v>9</v>
      </c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7">
        <f>ROUND(8,2)</f>
        <v>8</v>
      </c>
      <c r="BU325" s="6"/>
      <c r="BV325" s="6"/>
      <c r="BW325" s="6"/>
      <c r="BX325" s="6"/>
      <c r="BY325" s="6"/>
      <c r="BZ325" s="6"/>
      <c r="CA325" s="6"/>
      <c r="CB325" s="7">
        <f>ROUND(2353.15,2)</f>
        <v>2353.15</v>
      </c>
      <c r="CC325" s="7">
        <f>ROUND(6250,2)</f>
        <v>6250</v>
      </c>
      <c r="CD325" s="6"/>
      <c r="CE325" s="6"/>
      <c r="CF325" s="6"/>
      <c r="CG325" s="7">
        <f>ROUND(25296.64,2)</f>
        <v>25296.639999999999</v>
      </c>
      <c r="CH325" s="6"/>
      <c r="CI325" s="6"/>
      <c r="CJ325" s="7">
        <f>ROUND(7465.18,2)</f>
        <v>7465.18</v>
      </c>
      <c r="CK325" s="6"/>
      <c r="CL325" s="6"/>
      <c r="CM325" s="6"/>
      <c r="CN325" s="6"/>
      <c r="CO325" s="7">
        <f>ROUND(1383.72,2)</f>
        <v>1383.72</v>
      </c>
      <c r="CP325" s="7">
        <f>ROUND(2418.77,2)</f>
        <v>2418.77</v>
      </c>
      <c r="CQ325" s="7">
        <f>ROUND(242.579999999999,2)</f>
        <v>242.58</v>
      </c>
      <c r="CR325" s="7">
        <f>ROUND(75.32,2)</f>
        <v>75.319999999999993</v>
      </c>
      <c r="CS325" s="6"/>
      <c r="CT325" s="6"/>
      <c r="CU325" s="6"/>
      <c r="CV325" s="7">
        <f>ROUND(375,2)</f>
        <v>375</v>
      </c>
      <c r="CW325" s="7">
        <f>ROUND(3794.45,2)</f>
        <v>3794.45</v>
      </c>
      <c r="CX325" s="7">
        <f>ROUND(560.16,2)</f>
        <v>560.16</v>
      </c>
      <c r="CY325" s="6"/>
      <c r="CZ325" s="6"/>
      <c r="DA325" s="7">
        <f>ROUND(10787.18,2)</f>
        <v>10787.18</v>
      </c>
      <c r="DB325" s="7">
        <f>ROUND(4987.73,2)</f>
        <v>4987.7299999999996</v>
      </c>
      <c r="DC325" s="7">
        <f>ROUND(1680.12,2)</f>
        <v>1680.12</v>
      </c>
      <c r="DD325" s="6"/>
      <c r="DE325" s="7">
        <f>ROUND(1176.6,2)</f>
        <v>1176.5999999999999</v>
      </c>
      <c r="DF325" s="6"/>
      <c r="DG325" s="6"/>
      <c r="DH325" s="6"/>
      <c r="DI325" s="7">
        <f>ROUND(186.68,2)</f>
        <v>186.68</v>
      </c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7">
        <f>ROUND(122.51,2)</f>
        <v>122.51</v>
      </c>
      <c r="DX325" s="7">
        <f>ROUND(192.51,2)</f>
        <v>192.51</v>
      </c>
      <c r="DY325" s="6"/>
      <c r="DZ325" s="6"/>
      <c r="EA325" s="6"/>
      <c r="EB325" s="6"/>
      <c r="EC325" s="6"/>
      <c r="ED325" s="6"/>
      <c r="EE325" s="7">
        <f>ROUND(1400,2)</f>
        <v>1400</v>
      </c>
      <c r="EF325" s="6"/>
      <c r="EG325" s="6"/>
      <c r="EH325" s="6"/>
      <c r="EI325" s="6"/>
      <c r="EJ325" s="6"/>
      <c r="EK325" s="6"/>
      <c r="EL325" s="6"/>
      <c r="EM325" s="6"/>
      <c r="EN325" s="6"/>
      <c r="EO325" s="6"/>
      <c r="EP325" s="6"/>
      <c r="EQ325" s="7">
        <f>ROUND(1250,2)</f>
        <v>1250</v>
      </c>
      <c r="ER325" s="6"/>
      <c r="ES325" s="6"/>
      <c r="ET325" s="6"/>
      <c r="EU325" s="7">
        <f>ROUND(972.8,2)</f>
        <v>972.8</v>
      </c>
      <c r="EV325" s="7">
        <f>ROUND(70617.95,2)</f>
        <v>70617.95</v>
      </c>
    </row>
    <row r="326" spans="1:152" ht="24">
      <c r="A326" s="4" t="s">
        <v>797</v>
      </c>
      <c r="B326" s="4"/>
      <c r="C326" s="5" t="s">
        <v>285</v>
      </c>
      <c r="D326" s="5" t="s">
        <v>656</v>
      </c>
      <c r="E326" s="5" t="s">
        <v>0</v>
      </c>
      <c r="F326" s="5" t="s">
        <v>0</v>
      </c>
      <c r="G326" s="5" t="s">
        <v>435</v>
      </c>
      <c r="H326" s="10">
        <v>1183.31</v>
      </c>
      <c r="I326" s="7">
        <f>ROUND(400,2)</f>
        <v>400</v>
      </c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7">
        <f>ROUND(40,2)</f>
        <v>40</v>
      </c>
      <c r="AC326" s="6"/>
      <c r="AD326" s="6"/>
      <c r="AE326" s="6"/>
      <c r="AF326" s="6"/>
      <c r="AG326" s="6"/>
      <c r="AH326" s="6"/>
      <c r="AI326" s="6"/>
      <c r="AJ326" s="6"/>
      <c r="AK326" s="7">
        <f>ROUND(128,2)</f>
        <v>128</v>
      </c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7">
        <f>ROUND(32,2)</f>
        <v>32</v>
      </c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7">
        <f>ROUND(32,2)</f>
        <v>32</v>
      </c>
      <c r="BU326" s="6"/>
      <c r="BV326" s="6"/>
      <c r="BW326" s="6"/>
      <c r="BX326" s="6"/>
      <c r="BY326" s="7">
        <f>ROUND(80,2)</f>
        <v>80</v>
      </c>
      <c r="BZ326" s="6"/>
      <c r="CA326" s="6"/>
      <c r="CB326" s="7">
        <f>ROUND(712,2)</f>
        <v>712</v>
      </c>
      <c r="CC326" s="7">
        <f>ROUND(57459.2599999999,2)</f>
        <v>57459.26</v>
      </c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7">
        <f>ROUND(15000,2)</f>
        <v>15000</v>
      </c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7">
        <f>ROUND(2839.68,2)</f>
        <v>2839.68</v>
      </c>
      <c r="EF326" s="6"/>
      <c r="EG326" s="6"/>
      <c r="EH326" s="6"/>
      <c r="EI326" s="6"/>
      <c r="EJ326" s="6"/>
      <c r="EK326" s="6"/>
      <c r="EL326" s="6"/>
      <c r="EM326" s="6"/>
      <c r="EN326" s="6"/>
      <c r="EO326" s="6"/>
      <c r="EP326" s="6"/>
      <c r="EQ326" s="6"/>
      <c r="ER326" s="6"/>
      <c r="ES326" s="6"/>
      <c r="ET326" s="6"/>
      <c r="EU326" s="6"/>
      <c r="EV326" s="7">
        <f>ROUND(75298.9399999999,2)</f>
        <v>75298.94</v>
      </c>
    </row>
    <row r="327" spans="1:152">
      <c r="A327" s="4" t="s">
        <v>798</v>
      </c>
      <c r="B327" s="4" t="s">
        <v>1058</v>
      </c>
      <c r="C327" s="5" t="s">
        <v>152</v>
      </c>
      <c r="D327" s="5" t="s">
        <v>160</v>
      </c>
      <c r="E327" s="5" t="s">
        <v>0</v>
      </c>
      <c r="F327" s="5" t="s">
        <v>0</v>
      </c>
      <c r="G327" s="5" t="s">
        <v>155</v>
      </c>
      <c r="H327" s="10">
        <v>25.84</v>
      </c>
      <c r="I327" s="6"/>
      <c r="J327" s="6"/>
      <c r="K327" s="6"/>
      <c r="L327" s="6"/>
      <c r="M327" s="7">
        <f>ROUND(561.939999999999,2)</f>
        <v>561.94000000000005</v>
      </c>
      <c r="N327" s="6"/>
      <c r="O327" s="6"/>
      <c r="P327" s="7">
        <f>ROUND(63.62,2)</f>
        <v>63.62</v>
      </c>
      <c r="Q327" s="6"/>
      <c r="R327" s="6"/>
      <c r="S327" s="6"/>
      <c r="T327" s="6"/>
      <c r="U327" s="6"/>
      <c r="V327" s="6"/>
      <c r="W327" s="7">
        <f>ROUND(5.24,2)</f>
        <v>5.24</v>
      </c>
      <c r="X327" s="7">
        <f>ROUND(0.799999999999999,2)</f>
        <v>0.8</v>
      </c>
      <c r="Y327" s="6"/>
      <c r="Z327" s="6"/>
      <c r="AA327" s="6"/>
      <c r="AB327" s="6"/>
      <c r="AC327" s="7">
        <f>ROUND(65.47,2)</f>
        <v>65.47</v>
      </c>
      <c r="AD327" s="6"/>
      <c r="AE327" s="6"/>
      <c r="AF327" s="7">
        <f>ROUND(229.17,2)</f>
        <v>229.17</v>
      </c>
      <c r="AG327" s="7">
        <f>ROUND(34.93,2)</f>
        <v>34.93</v>
      </c>
      <c r="AH327" s="7">
        <f>ROUND(42,2)</f>
        <v>42</v>
      </c>
      <c r="AI327" s="6"/>
      <c r="AJ327" s="6"/>
      <c r="AK327" s="6"/>
      <c r="AL327" s="7">
        <f>ROUND(262.75,2)</f>
        <v>262.75</v>
      </c>
      <c r="AM327" s="6"/>
      <c r="AN327" s="7">
        <f>ROUND(11.85,2)</f>
        <v>11.85</v>
      </c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7">
        <f>ROUND(5,2)</f>
        <v>5</v>
      </c>
      <c r="BF327" s="6"/>
      <c r="BG327" s="6"/>
      <c r="BH327" s="6"/>
      <c r="BI327" s="6"/>
      <c r="BJ327" s="6"/>
      <c r="BK327" s="6"/>
      <c r="BL327" s="6"/>
      <c r="BM327" s="7">
        <f>ROUND(2,2)</f>
        <v>2</v>
      </c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7">
        <f>ROUND(24,2)</f>
        <v>24</v>
      </c>
      <c r="CB327" s="7">
        <f>ROUND(1308.77,2)</f>
        <v>1308.77</v>
      </c>
      <c r="CC327" s="6"/>
      <c r="CD327" s="6"/>
      <c r="CE327" s="6"/>
      <c r="CF327" s="6"/>
      <c r="CG327" s="7">
        <f>ROUND(12490.91,2)</f>
        <v>12490.91</v>
      </c>
      <c r="CH327" s="6"/>
      <c r="CI327" s="6"/>
      <c r="CJ327" s="7">
        <f>ROUND(2205.98,2)</f>
        <v>2205.98</v>
      </c>
      <c r="CK327" s="6"/>
      <c r="CL327" s="6"/>
      <c r="CM327" s="6"/>
      <c r="CN327" s="6"/>
      <c r="CO327" s="6"/>
      <c r="CP327" s="6"/>
      <c r="CQ327" s="7">
        <f>ROUND(112.82,2)</f>
        <v>112.82</v>
      </c>
      <c r="CR327" s="7">
        <f>ROUND(31.0099999999999,2)</f>
        <v>31.01</v>
      </c>
      <c r="CS327" s="6"/>
      <c r="CT327" s="6"/>
      <c r="CU327" s="6"/>
      <c r="CV327" s="6"/>
      <c r="CW327" s="7">
        <f>ROUND(1428.79,2)</f>
        <v>1428.79</v>
      </c>
      <c r="CX327" s="6"/>
      <c r="CY327" s="6"/>
      <c r="CZ327" s="6"/>
      <c r="DA327" s="7">
        <f>ROUND(5130.44,2)</f>
        <v>5130.4399999999996</v>
      </c>
      <c r="DB327" s="7">
        <f>ROUND(1248.3,2)</f>
        <v>1248.3</v>
      </c>
      <c r="DC327" s="7">
        <f>ROUND(862.18,2)</f>
        <v>862.18</v>
      </c>
      <c r="DD327" s="6"/>
      <c r="DE327" s="6"/>
      <c r="DF327" s="6"/>
      <c r="DG327" s="6"/>
      <c r="DH327" s="6"/>
      <c r="DI327" s="7">
        <f>ROUND(4598.13,2)</f>
        <v>4598.13</v>
      </c>
      <c r="DJ327" s="6"/>
      <c r="DK327" s="7">
        <f>ROUND(311.07,2)</f>
        <v>311.07</v>
      </c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7">
        <f>ROUND(250,2)</f>
        <v>250</v>
      </c>
      <c r="EF327" s="6"/>
      <c r="EG327" s="6"/>
      <c r="EH327" s="6"/>
      <c r="EI327" s="6"/>
      <c r="EJ327" s="6"/>
      <c r="EK327" s="6"/>
      <c r="EL327" s="6"/>
      <c r="EM327" s="6"/>
      <c r="EN327" s="6"/>
      <c r="EO327" s="6"/>
      <c r="EP327" s="6"/>
      <c r="EQ327" s="7">
        <f>ROUND(1651.28,2)</f>
        <v>1651.28</v>
      </c>
      <c r="ER327" s="6"/>
      <c r="ES327" s="6"/>
      <c r="ET327" s="6"/>
      <c r="EU327" s="7">
        <f>ROUND(620.16,2)</f>
        <v>620.16</v>
      </c>
      <c r="EV327" s="7">
        <f>ROUND(30941.07,2)</f>
        <v>30941.07</v>
      </c>
    </row>
    <row r="328" spans="1:152">
      <c r="A328" s="4" t="s">
        <v>799</v>
      </c>
      <c r="B328" s="4" t="s">
        <v>1058</v>
      </c>
      <c r="C328" s="5" t="s">
        <v>152</v>
      </c>
      <c r="D328" s="5" t="s">
        <v>800</v>
      </c>
      <c r="E328" s="5" t="s">
        <v>801</v>
      </c>
      <c r="F328" s="5" t="s">
        <v>0</v>
      </c>
      <c r="G328" s="5" t="s">
        <v>155</v>
      </c>
      <c r="H328" s="10">
        <v>27.78</v>
      </c>
      <c r="I328" s="6"/>
      <c r="J328" s="6"/>
      <c r="K328" s="6"/>
      <c r="L328" s="6"/>
      <c r="M328" s="7">
        <f>ROUND(464,2)</f>
        <v>464</v>
      </c>
      <c r="N328" s="6"/>
      <c r="O328" s="6"/>
      <c r="P328" s="7">
        <f>ROUND(71.37,2)</f>
        <v>71.37</v>
      </c>
      <c r="Q328" s="6"/>
      <c r="R328" s="6"/>
      <c r="S328" s="6"/>
      <c r="T328" s="6"/>
      <c r="U328" s="6"/>
      <c r="V328" s="7">
        <f>ROUND(10.5,2)</f>
        <v>10.5</v>
      </c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7">
        <f>ROUND(2.33,2)</f>
        <v>2.33</v>
      </c>
      <c r="AH328" s="7">
        <f>ROUND(40,2)</f>
        <v>40</v>
      </c>
      <c r="AI328" s="6"/>
      <c r="AJ328" s="7">
        <f>ROUND(204,2)</f>
        <v>204</v>
      </c>
      <c r="AK328" s="6"/>
      <c r="AL328" s="6"/>
      <c r="AM328" s="7">
        <f>ROUND(2.33,2)</f>
        <v>2.33</v>
      </c>
      <c r="AN328" s="6"/>
      <c r="AO328" s="6"/>
      <c r="AP328" s="7">
        <f>ROUND(36.25,2)</f>
        <v>36.25</v>
      </c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7">
        <f>ROUND(8,2)</f>
        <v>8</v>
      </c>
      <c r="BC328" s="6"/>
      <c r="BD328" s="6"/>
      <c r="BE328" s="7">
        <f>ROUND(8,2)</f>
        <v>8</v>
      </c>
      <c r="BF328" s="6"/>
      <c r="BG328" s="6"/>
      <c r="BH328" s="7">
        <f>ROUND(10,2)</f>
        <v>10</v>
      </c>
      <c r="BI328" s="6"/>
      <c r="BJ328" s="6"/>
      <c r="BK328" s="6"/>
      <c r="BL328" s="6"/>
      <c r="BM328" s="7">
        <f>ROUND(14,2)</f>
        <v>14</v>
      </c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7">
        <f>ROUND(870.78,2)</f>
        <v>870.78</v>
      </c>
      <c r="CC328" s="6"/>
      <c r="CD328" s="6"/>
      <c r="CE328" s="6"/>
      <c r="CF328" s="6"/>
      <c r="CG328" s="7">
        <f>ROUND(12889.92,2)</f>
        <v>12889.92</v>
      </c>
      <c r="CH328" s="6"/>
      <c r="CI328" s="6"/>
      <c r="CJ328" s="7">
        <f>ROUND(2973.99999999999,2)</f>
        <v>2974</v>
      </c>
      <c r="CK328" s="6"/>
      <c r="CL328" s="6"/>
      <c r="CM328" s="6"/>
      <c r="CN328" s="6"/>
      <c r="CO328" s="6"/>
      <c r="CP328" s="7">
        <f>ROUND(437.54,2)</f>
        <v>437.54</v>
      </c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7">
        <f>ROUND(97.1,2)</f>
        <v>97.1</v>
      </c>
      <c r="DC328" s="7">
        <f>ROUND(1111.2,2)</f>
        <v>1111.2</v>
      </c>
      <c r="DD328" s="6"/>
      <c r="DE328" s="7">
        <f>ROUND(5667.12,2)</f>
        <v>5667.12</v>
      </c>
      <c r="DF328" s="6"/>
      <c r="DG328" s="6"/>
      <c r="DH328" s="6"/>
      <c r="DI328" s="6"/>
      <c r="DJ328" s="7">
        <f>ROUND(64.73,2)</f>
        <v>64.73</v>
      </c>
      <c r="DK328" s="6"/>
      <c r="DL328" s="6"/>
      <c r="DM328" s="7">
        <f>ROUND(1007.03,2)</f>
        <v>1007.03</v>
      </c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7">
        <f>ROUND(475,2)</f>
        <v>475</v>
      </c>
      <c r="EF328" s="6"/>
      <c r="EG328" s="6"/>
      <c r="EH328" s="6"/>
      <c r="EI328" s="6"/>
      <c r="EJ328" s="6"/>
      <c r="EK328" s="6"/>
      <c r="EL328" s="6"/>
      <c r="EM328" s="6"/>
      <c r="EN328" s="6"/>
      <c r="EO328" s="6"/>
      <c r="EP328" s="6"/>
      <c r="EQ328" s="6"/>
      <c r="ER328" s="6"/>
      <c r="ES328" s="6"/>
      <c r="ET328" s="6"/>
      <c r="EU328" s="6"/>
      <c r="EV328" s="7">
        <f>ROUND(24723.64,2)</f>
        <v>24723.64</v>
      </c>
    </row>
    <row r="329" spans="1:152">
      <c r="A329" s="4" t="s">
        <v>802</v>
      </c>
      <c r="B329" s="4" t="s">
        <v>1058</v>
      </c>
      <c r="C329" s="5" t="s">
        <v>211</v>
      </c>
      <c r="D329" s="5" t="s">
        <v>320</v>
      </c>
      <c r="E329" s="5" t="s">
        <v>0</v>
      </c>
      <c r="F329" s="5" t="s">
        <v>0</v>
      </c>
      <c r="G329" s="5" t="s">
        <v>213</v>
      </c>
      <c r="H329" s="10">
        <v>22.4</v>
      </c>
      <c r="I329" s="6"/>
      <c r="J329" s="6"/>
      <c r="K329" s="6"/>
      <c r="L329" s="6"/>
      <c r="M329" s="6"/>
      <c r="N329" s="6"/>
      <c r="O329" s="6"/>
      <c r="P329" s="6"/>
      <c r="Q329" s="7">
        <f>ROUND(367.78,2)</f>
        <v>367.78</v>
      </c>
      <c r="R329" s="7">
        <f>ROUND(52.32,2)</f>
        <v>52.32</v>
      </c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7">
        <f>ROUND(24,2)</f>
        <v>24</v>
      </c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7">
        <f>ROUND(8,2)</f>
        <v>8</v>
      </c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7">
        <f>ROUND(452.1,2)</f>
        <v>452.1</v>
      </c>
      <c r="CC329" s="6"/>
      <c r="CD329" s="6"/>
      <c r="CE329" s="6"/>
      <c r="CF329" s="6"/>
      <c r="CG329" s="6"/>
      <c r="CH329" s="6"/>
      <c r="CI329" s="6"/>
      <c r="CJ329" s="6"/>
      <c r="CK329" s="7">
        <f>ROUND(6491.32,2)</f>
        <v>6491.32</v>
      </c>
      <c r="CL329" s="7">
        <f>ROUND(1385.16999999999,2)</f>
        <v>1385.17</v>
      </c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7">
        <f>ROUND(420,2)</f>
        <v>420</v>
      </c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7">
        <f>ROUND(125,2)</f>
        <v>125</v>
      </c>
      <c r="EF329" s="6"/>
      <c r="EG329" s="6"/>
      <c r="EH329" s="6"/>
      <c r="EI329" s="6"/>
      <c r="EJ329" s="6"/>
      <c r="EK329" s="6"/>
      <c r="EL329" s="6"/>
      <c r="EM329" s="6"/>
      <c r="EN329" s="6"/>
      <c r="EO329" s="6"/>
      <c r="EP329" s="6"/>
      <c r="EQ329" s="7">
        <f>ROUND(147.6,2)</f>
        <v>147.6</v>
      </c>
      <c r="ER329" s="6"/>
      <c r="ES329" s="6"/>
      <c r="ET329" s="6"/>
      <c r="EU329" s="6"/>
      <c r="EV329" s="7">
        <f>ROUND(8569.08999999999,2)</f>
        <v>8569.09</v>
      </c>
    </row>
    <row r="330" spans="1:152">
      <c r="A330" s="4" t="s">
        <v>803</v>
      </c>
      <c r="B330" s="4" t="s">
        <v>1058</v>
      </c>
      <c r="C330" s="5" t="s">
        <v>152</v>
      </c>
      <c r="D330" s="5" t="s">
        <v>804</v>
      </c>
      <c r="E330" s="5" t="s">
        <v>0</v>
      </c>
      <c r="F330" s="5" t="s">
        <v>0</v>
      </c>
      <c r="G330" s="5" t="s">
        <v>155</v>
      </c>
      <c r="H330" s="10">
        <v>30.4</v>
      </c>
      <c r="I330" s="6"/>
      <c r="J330" s="6"/>
      <c r="K330" s="6"/>
      <c r="L330" s="6"/>
      <c r="M330" s="7">
        <f>ROUND(161.25,2)</f>
        <v>161.25</v>
      </c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7">
        <f>ROUND(1512.85,2)</f>
        <v>1512.85</v>
      </c>
      <c r="AD330" s="7">
        <f>ROUND(269.409999999999,2)</f>
        <v>269.41000000000003</v>
      </c>
      <c r="AE330" s="6"/>
      <c r="AF330" s="6"/>
      <c r="AG330" s="6"/>
      <c r="AH330" s="7">
        <f>ROUND(84,2)</f>
        <v>84</v>
      </c>
      <c r="AI330" s="6"/>
      <c r="AJ330" s="7">
        <f>ROUND(200,2)</f>
        <v>200</v>
      </c>
      <c r="AK330" s="6"/>
      <c r="AL330" s="7">
        <f>ROUND(8,2)</f>
        <v>8</v>
      </c>
      <c r="AM330" s="6"/>
      <c r="AN330" s="6"/>
      <c r="AO330" s="6"/>
      <c r="AP330" s="7">
        <f>ROUND(39,2)</f>
        <v>39</v>
      </c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7">
        <f>ROUND(16,2)</f>
        <v>16</v>
      </c>
      <c r="BC330" s="7">
        <f>ROUND(40,2)</f>
        <v>40</v>
      </c>
      <c r="BD330" s="7">
        <f>ROUND(5,2)</f>
        <v>5</v>
      </c>
      <c r="BE330" s="7">
        <f>ROUND(32,2)</f>
        <v>32</v>
      </c>
      <c r="BF330" s="6"/>
      <c r="BG330" s="6"/>
      <c r="BH330" s="6"/>
      <c r="BI330" s="6"/>
      <c r="BJ330" s="6"/>
      <c r="BK330" s="6"/>
      <c r="BL330" s="6"/>
      <c r="BM330" s="6"/>
      <c r="BN330" s="6"/>
      <c r="BO330" s="7">
        <f>ROUND(40,2)</f>
        <v>40</v>
      </c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7">
        <f>ROUND(2407.50999999999,2)</f>
        <v>2407.5100000000002</v>
      </c>
      <c r="CC330" s="6"/>
      <c r="CD330" s="6"/>
      <c r="CE330" s="6"/>
      <c r="CF330" s="6"/>
      <c r="CG330" s="7">
        <f>ROUND(4479.55,2)</f>
        <v>4479.55</v>
      </c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7">
        <f>ROUND(42571.96,2)</f>
        <v>42571.96</v>
      </c>
      <c r="CX330" s="7">
        <f>ROUND(11490.37,2)</f>
        <v>11490.37</v>
      </c>
      <c r="CY330" s="6"/>
      <c r="CZ330" s="6"/>
      <c r="DA330" s="6"/>
      <c r="DB330" s="6"/>
      <c r="DC330" s="7">
        <f>ROUND(2396.4,2)</f>
        <v>2396.4</v>
      </c>
      <c r="DD330" s="6"/>
      <c r="DE330" s="7">
        <f>ROUND(5824.32,2)</f>
        <v>5824.32</v>
      </c>
      <c r="DF330" s="6"/>
      <c r="DG330" s="6"/>
      <c r="DH330" s="6"/>
      <c r="DI330" s="7">
        <f>ROUND(222.24,2)</f>
        <v>222.24</v>
      </c>
      <c r="DJ330" s="6"/>
      <c r="DK330" s="6"/>
      <c r="DL330" s="6"/>
      <c r="DM330" s="7">
        <f>ROUND(1083.42,2)</f>
        <v>1083.42</v>
      </c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7">
        <f>ROUND(1200,2)</f>
        <v>1200</v>
      </c>
      <c r="EF330" s="6"/>
      <c r="EG330" s="6"/>
      <c r="EH330" s="6"/>
      <c r="EI330" s="6"/>
      <c r="EJ330" s="6"/>
      <c r="EK330" s="6"/>
      <c r="EL330" s="6"/>
      <c r="EM330" s="6"/>
      <c r="EN330" s="6"/>
      <c r="EO330" s="6"/>
      <c r="EP330" s="6"/>
      <c r="EQ330" s="7">
        <f>ROUND(1250,2)</f>
        <v>1250</v>
      </c>
      <c r="ER330" s="6"/>
      <c r="ES330" s="6"/>
      <c r="ET330" s="6"/>
      <c r="EU330" s="6"/>
      <c r="EV330" s="7">
        <f>ROUND(70518.2599999999,2)</f>
        <v>70518.259999999995</v>
      </c>
    </row>
    <row r="331" spans="1:152">
      <c r="A331" s="4" t="s">
        <v>805</v>
      </c>
      <c r="B331" s="4" t="s">
        <v>1058</v>
      </c>
      <c r="C331" s="5" t="s">
        <v>152</v>
      </c>
      <c r="D331" s="5" t="s">
        <v>183</v>
      </c>
      <c r="E331" s="5" t="s">
        <v>0</v>
      </c>
      <c r="F331" s="5" t="s">
        <v>0</v>
      </c>
      <c r="G331" s="5" t="s">
        <v>155</v>
      </c>
      <c r="H331" s="10">
        <v>30.4</v>
      </c>
      <c r="I331" s="6"/>
      <c r="J331" s="6"/>
      <c r="K331" s="6"/>
      <c r="L331" s="6"/>
      <c r="M331" s="7">
        <f>ROUND(1300.83,2)</f>
        <v>1300.83</v>
      </c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7">
        <f>ROUND(35,2)</f>
        <v>35</v>
      </c>
      <c r="AI331" s="6"/>
      <c r="AJ331" s="7">
        <f>ROUND(65,2)</f>
        <v>65</v>
      </c>
      <c r="AK331" s="6"/>
      <c r="AL331" s="7">
        <f>ROUND(8,2)</f>
        <v>8</v>
      </c>
      <c r="AM331" s="7">
        <f>ROUND(1.5,2)</f>
        <v>1.5</v>
      </c>
      <c r="AN331" s="6"/>
      <c r="AO331" s="6"/>
      <c r="AP331" s="7">
        <f>ROUND(30,2)</f>
        <v>30</v>
      </c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7">
        <f>ROUND(45,2)</f>
        <v>45</v>
      </c>
      <c r="BF331" s="6"/>
      <c r="BG331" s="6"/>
      <c r="BH331" s="7">
        <f>ROUND(5,2)</f>
        <v>5</v>
      </c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7">
        <f>ROUND(1490.33,2)</f>
        <v>1490.33</v>
      </c>
      <c r="CC331" s="6"/>
      <c r="CD331" s="6"/>
      <c r="CE331" s="6"/>
      <c r="CF331" s="6"/>
      <c r="CG331" s="7">
        <f>ROUND(36570.52,2)</f>
        <v>36570.519999999997</v>
      </c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7">
        <f>ROUND(998.5,2)</f>
        <v>998.5</v>
      </c>
      <c r="DD331" s="6"/>
      <c r="DE331" s="7">
        <f>ROUND(1845,2)</f>
        <v>1845</v>
      </c>
      <c r="DF331" s="6"/>
      <c r="DG331" s="6"/>
      <c r="DH331" s="6"/>
      <c r="DI331" s="7">
        <f>ROUND(222.24,2)</f>
        <v>222.24</v>
      </c>
      <c r="DJ331" s="7">
        <f>ROUND(41.67,2)</f>
        <v>41.67</v>
      </c>
      <c r="DK331" s="6"/>
      <c r="DL331" s="6"/>
      <c r="DM331" s="7">
        <f>ROUND(833.4,2)</f>
        <v>833.4</v>
      </c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7">
        <f>ROUND(650,2)</f>
        <v>650</v>
      </c>
      <c r="EF331" s="6"/>
      <c r="EG331" s="6"/>
      <c r="EH331" s="6"/>
      <c r="EI331" s="6"/>
      <c r="EJ331" s="6"/>
      <c r="EK331" s="6"/>
      <c r="EL331" s="6"/>
      <c r="EM331" s="6"/>
      <c r="EN331" s="6"/>
      <c r="EO331" s="6"/>
      <c r="EP331" s="6"/>
      <c r="EQ331" s="7">
        <f>ROUND(625,2)</f>
        <v>625</v>
      </c>
      <c r="ER331" s="6"/>
      <c r="ES331" s="6"/>
      <c r="ET331" s="6"/>
      <c r="EU331" s="6"/>
      <c r="EV331" s="7">
        <f>ROUND(41786.3299999999,2)</f>
        <v>41786.33</v>
      </c>
    </row>
    <row r="332" spans="1:152">
      <c r="A332" s="4" t="s">
        <v>806</v>
      </c>
      <c r="B332" s="4" t="s">
        <v>1058</v>
      </c>
      <c r="C332" s="5" t="s">
        <v>152</v>
      </c>
      <c r="D332" s="5" t="s">
        <v>164</v>
      </c>
      <c r="E332" s="5" t="s">
        <v>807</v>
      </c>
      <c r="F332" s="5" t="s">
        <v>0</v>
      </c>
      <c r="G332" s="5" t="s">
        <v>155</v>
      </c>
      <c r="H332" s="10">
        <v>20.84</v>
      </c>
      <c r="I332" s="6"/>
      <c r="J332" s="6"/>
      <c r="K332" s="6"/>
      <c r="L332" s="6"/>
      <c r="M332" s="7">
        <f>ROUND(243.709999999999,2)</f>
        <v>243.71</v>
      </c>
      <c r="N332" s="6"/>
      <c r="O332" s="6"/>
      <c r="P332" s="6"/>
      <c r="Q332" s="6"/>
      <c r="R332" s="6"/>
      <c r="S332" s="6"/>
      <c r="T332" s="6"/>
      <c r="U332" s="6"/>
      <c r="V332" s="6"/>
      <c r="W332" s="7">
        <f>ROUND(0.55,2)</f>
        <v>0.55000000000000004</v>
      </c>
      <c r="X332" s="6"/>
      <c r="Y332" s="6"/>
      <c r="Z332" s="6"/>
      <c r="AA332" s="6"/>
      <c r="AB332" s="6"/>
      <c r="AC332" s="6"/>
      <c r="AD332" s="6"/>
      <c r="AE332" s="6"/>
      <c r="AF332" s="7">
        <f>ROUND(1.82,2)</f>
        <v>1.82</v>
      </c>
      <c r="AG332" s="6"/>
      <c r="AH332" s="7">
        <f>ROUND(5,2)</f>
        <v>5</v>
      </c>
      <c r="AI332" s="6"/>
      <c r="AJ332" s="6"/>
      <c r="AK332" s="6"/>
      <c r="AL332" s="7">
        <f>ROUND(319.45,2)</f>
        <v>319.45</v>
      </c>
      <c r="AM332" s="6"/>
      <c r="AN332" s="7">
        <f>ROUND(23.63,2)</f>
        <v>23.63</v>
      </c>
      <c r="AO332" s="7">
        <f>ROUND(1.58,2)</f>
        <v>1.58</v>
      </c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7">
        <f>ROUND(5,2)</f>
        <v>5</v>
      </c>
      <c r="BF332" s="6"/>
      <c r="BG332" s="6"/>
      <c r="BH332" s="6"/>
      <c r="BI332" s="6"/>
      <c r="BJ332" s="6"/>
      <c r="BK332" s="6"/>
      <c r="BL332" s="6"/>
      <c r="BM332" s="7">
        <f>ROUND(29.92,2)</f>
        <v>29.92</v>
      </c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7">
        <f>ROUND(630.66,2)</f>
        <v>630.66</v>
      </c>
      <c r="CC332" s="6"/>
      <c r="CD332" s="6"/>
      <c r="CE332" s="6"/>
      <c r="CF332" s="6"/>
      <c r="CG332" s="7">
        <f>ROUND(5077.71,2)</f>
        <v>5077.71</v>
      </c>
      <c r="CH332" s="6"/>
      <c r="CI332" s="6"/>
      <c r="CJ332" s="6"/>
      <c r="CK332" s="6"/>
      <c r="CL332" s="6"/>
      <c r="CM332" s="6"/>
      <c r="CN332" s="6"/>
      <c r="CO332" s="6"/>
      <c r="CP332" s="6"/>
      <c r="CQ332" s="7">
        <f>ROUND(9.63,2)</f>
        <v>9.6300000000000008</v>
      </c>
      <c r="CR332" s="6"/>
      <c r="CS332" s="6"/>
      <c r="CT332" s="6"/>
      <c r="CU332" s="6"/>
      <c r="CV332" s="6"/>
      <c r="CW332" s="6"/>
      <c r="CX332" s="6"/>
      <c r="CY332" s="6"/>
      <c r="CZ332" s="6"/>
      <c r="DA332" s="7">
        <f>ROUND(37.92,2)</f>
        <v>37.92</v>
      </c>
      <c r="DB332" s="6"/>
      <c r="DC332" s="7">
        <f>ROUND(104.18,2)</f>
        <v>104.18</v>
      </c>
      <c r="DD332" s="6"/>
      <c r="DE332" s="6"/>
      <c r="DF332" s="6"/>
      <c r="DG332" s="6"/>
      <c r="DH332" s="6"/>
      <c r="DI332" s="7">
        <f>ROUND(5590.38,2)</f>
        <v>5590.38</v>
      </c>
      <c r="DJ332" s="6"/>
      <c r="DK332" s="7">
        <f>ROUND(620.29,2)</f>
        <v>620.29</v>
      </c>
      <c r="DL332" s="7">
        <f>ROUND(61.46,2)</f>
        <v>61.46</v>
      </c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  <c r="EH332" s="6"/>
      <c r="EI332" s="6"/>
      <c r="EJ332" s="6"/>
      <c r="EK332" s="6"/>
      <c r="EL332" s="6"/>
      <c r="EM332" s="6"/>
      <c r="EN332" s="6"/>
      <c r="EO332" s="6"/>
      <c r="EP332" s="6"/>
      <c r="EQ332" s="6"/>
      <c r="ER332" s="6"/>
      <c r="ES332" s="6"/>
      <c r="ET332" s="6"/>
      <c r="EU332" s="6"/>
      <c r="EV332" s="7">
        <f>ROUND(11501.5699999999,2)</f>
        <v>11501.57</v>
      </c>
    </row>
    <row r="333" spans="1:152">
      <c r="A333" s="4" t="s">
        <v>808</v>
      </c>
      <c r="B333" s="4" t="s">
        <v>1058</v>
      </c>
      <c r="C333" s="5" t="s">
        <v>152</v>
      </c>
      <c r="D333" s="5" t="s">
        <v>365</v>
      </c>
      <c r="E333" s="5" t="s">
        <v>0</v>
      </c>
      <c r="F333" s="5" t="s">
        <v>0</v>
      </c>
      <c r="G333" s="5" t="s">
        <v>155</v>
      </c>
      <c r="H333" s="10">
        <v>30.4</v>
      </c>
      <c r="I333" s="6"/>
      <c r="J333" s="6"/>
      <c r="K333" s="6"/>
      <c r="L333" s="6"/>
      <c r="M333" s="7">
        <f>ROUND(1629.75,2)</f>
        <v>1629.75</v>
      </c>
      <c r="N333" s="6"/>
      <c r="O333" s="6"/>
      <c r="P333" s="7">
        <f>ROUND(297.099999999999,2)</f>
        <v>297.10000000000002</v>
      </c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7">
        <f>ROUND(199.079999999999,2)</f>
        <v>199.08</v>
      </c>
      <c r="AD333" s="7">
        <f>ROUND(8,2)</f>
        <v>8</v>
      </c>
      <c r="AE333" s="6"/>
      <c r="AF333" s="6"/>
      <c r="AG333" s="6"/>
      <c r="AH333" s="7">
        <f>ROUND(90,2)</f>
        <v>90</v>
      </c>
      <c r="AI333" s="6"/>
      <c r="AJ333" s="7">
        <f>ROUND(152,2)</f>
        <v>152</v>
      </c>
      <c r="AK333" s="6"/>
      <c r="AL333" s="7">
        <f>ROUND(8,2)</f>
        <v>8</v>
      </c>
      <c r="AM333" s="7">
        <f>ROUND(1.17,2)</f>
        <v>1.17</v>
      </c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7">
        <f>ROUND(2385.1,2)</f>
        <v>2385.1</v>
      </c>
      <c r="CC333" s="6"/>
      <c r="CD333" s="6"/>
      <c r="CE333" s="6"/>
      <c r="CF333" s="6"/>
      <c r="CG333" s="7">
        <f>ROUND(45777.5,2)</f>
        <v>45777.5</v>
      </c>
      <c r="CH333" s="6"/>
      <c r="CI333" s="6"/>
      <c r="CJ333" s="7">
        <f>ROUND(12455.62,2)</f>
        <v>12455.62</v>
      </c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7">
        <f>ROUND(5551.41,2)</f>
        <v>5551.41</v>
      </c>
      <c r="CX333" s="7">
        <f>ROUND(364.8,2)</f>
        <v>364.8</v>
      </c>
      <c r="CY333" s="6"/>
      <c r="CZ333" s="6"/>
      <c r="DA333" s="6"/>
      <c r="DB333" s="6"/>
      <c r="DC333" s="7">
        <f>ROUND(2584.03999999999,2)</f>
        <v>2584.04</v>
      </c>
      <c r="DD333" s="6"/>
      <c r="DE333" s="7">
        <f>ROUND(4348.32,2)</f>
        <v>4348.32</v>
      </c>
      <c r="DF333" s="6"/>
      <c r="DG333" s="6"/>
      <c r="DH333" s="6"/>
      <c r="DI333" s="7">
        <f>ROUND(222.24,2)</f>
        <v>222.24</v>
      </c>
      <c r="DJ333" s="7">
        <f>ROUND(32.5,2)</f>
        <v>32.5</v>
      </c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7">
        <f>ROUND(2000,2)</f>
        <v>2000</v>
      </c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7">
        <f>ROUND(1250,2)</f>
        <v>1250</v>
      </c>
      <c r="ER333" s="6"/>
      <c r="ES333" s="6"/>
      <c r="ET333" s="6"/>
      <c r="EU333" s="6"/>
      <c r="EV333" s="7">
        <f>ROUND(74586.4299999999,2)</f>
        <v>74586.429999999993</v>
      </c>
    </row>
    <row r="334" spans="1:152" ht="24">
      <c r="A334" s="4" t="s">
        <v>809</v>
      </c>
      <c r="B334" s="4"/>
      <c r="C334" s="5" t="s">
        <v>810</v>
      </c>
      <c r="D334" s="5" t="s">
        <v>281</v>
      </c>
      <c r="E334" s="5" t="s">
        <v>0</v>
      </c>
      <c r="F334" s="5" t="s">
        <v>0</v>
      </c>
      <c r="G334" s="5" t="s">
        <v>236</v>
      </c>
      <c r="H334" s="10">
        <v>18</v>
      </c>
      <c r="I334" s="7">
        <f>ROUND(183,2)</f>
        <v>183</v>
      </c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7">
        <f>ROUND(183,2)</f>
        <v>183</v>
      </c>
      <c r="CC334" s="7">
        <f>ROUND(3294,2)</f>
        <v>3294</v>
      </c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7">
        <f>ROUND(225,2)</f>
        <v>225</v>
      </c>
      <c r="EF334" s="6"/>
      <c r="EG334" s="6"/>
      <c r="EH334" s="6"/>
      <c r="EI334" s="6"/>
      <c r="EJ334" s="6"/>
      <c r="EK334" s="6"/>
      <c r="EL334" s="6"/>
      <c r="EM334" s="6"/>
      <c r="EN334" s="6"/>
      <c r="EO334" s="6"/>
      <c r="EP334" s="6"/>
      <c r="EQ334" s="6"/>
      <c r="ER334" s="6"/>
      <c r="ES334" s="6"/>
      <c r="ET334" s="6"/>
      <c r="EU334" s="6"/>
      <c r="EV334" s="7">
        <f>ROUND(3519,2)</f>
        <v>3519</v>
      </c>
    </row>
    <row r="335" spans="1:152">
      <c r="A335" s="4" t="s">
        <v>811</v>
      </c>
      <c r="B335" s="4" t="s">
        <v>1058</v>
      </c>
      <c r="C335" s="5" t="s">
        <v>152</v>
      </c>
      <c r="D335" s="5" t="s">
        <v>190</v>
      </c>
      <c r="E335" s="5" t="s">
        <v>0</v>
      </c>
      <c r="F335" s="5" t="s">
        <v>0</v>
      </c>
      <c r="G335" s="5" t="s">
        <v>155</v>
      </c>
      <c r="H335" s="10">
        <v>30.4</v>
      </c>
      <c r="I335" s="6"/>
      <c r="J335" s="6"/>
      <c r="K335" s="6"/>
      <c r="L335" s="6"/>
      <c r="M335" s="7">
        <f>ROUND(1369.86,2)</f>
        <v>1369.86</v>
      </c>
      <c r="N335" s="6"/>
      <c r="O335" s="6"/>
      <c r="P335" s="7">
        <f>ROUND(297.249999999999,2)</f>
        <v>297.25</v>
      </c>
      <c r="Q335" s="6"/>
      <c r="R335" s="6"/>
      <c r="S335" s="6"/>
      <c r="T335" s="6"/>
      <c r="U335" s="7">
        <f>ROUND(32.32,2)</f>
        <v>32.32</v>
      </c>
      <c r="V335" s="6"/>
      <c r="W335" s="7">
        <f>ROUND(8.79,2)</f>
        <v>8.7899999999999991</v>
      </c>
      <c r="X335" s="7">
        <f>ROUND(4.43,2)</f>
        <v>4.43</v>
      </c>
      <c r="Y335" s="6"/>
      <c r="Z335" s="6"/>
      <c r="AA335" s="6"/>
      <c r="AB335" s="6"/>
      <c r="AC335" s="7">
        <f>ROUND(104.82,2)</f>
        <v>104.82</v>
      </c>
      <c r="AD335" s="7">
        <f>ROUND(6.43,2)</f>
        <v>6.43</v>
      </c>
      <c r="AE335" s="6"/>
      <c r="AF335" s="7">
        <f>ROUND(406.45,2)</f>
        <v>406.45</v>
      </c>
      <c r="AG335" s="7">
        <f>ROUND(41.57,2)</f>
        <v>41.57</v>
      </c>
      <c r="AH335" s="7">
        <f>ROUND(88,2)</f>
        <v>88</v>
      </c>
      <c r="AI335" s="6"/>
      <c r="AJ335" s="7">
        <f>ROUND(56,2)</f>
        <v>56</v>
      </c>
      <c r="AK335" s="6"/>
      <c r="AL335" s="7">
        <f>ROUND(8.5,2)</f>
        <v>8.5</v>
      </c>
      <c r="AM335" s="6"/>
      <c r="AN335" s="6"/>
      <c r="AO335" s="6"/>
      <c r="AP335" s="7">
        <f>ROUND(30.05,2)</f>
        <v>30.05</v>
      </c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7">
        <f>ROUND(1.42,2)</f>
        <v>1.42</v>
      </c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7">
        <f>ROUND(24,2)</f>
        <v>24</v>
      </c>
      <c r="CB335" s="7">
        <f>ROUND(2479.89,2)</f>
        <v>2479.89</v>
      </c>
      <c r="CC335" s="6"/>
      <c r="CD335" s="6"/>
      <c r="CE335" s="6"/>
      <c r="CF335" s="6"/>
      <c r="CG335" s="7">
        <f>ROUND(38725.66,2)</f>
        <v>38725.660000000003</v>
      </c>
      <c r="CH335" s="6"/>
      <c r="CI335" s="6"/>
      <c r="CJ335" s="7">
        <f>ROUND(12644.91,2)</f>
        <v>12644.91</v>
      </c>
      <c r="CK335" s="6"/>
      <c r="CL335" s="6"/>
      <c r="CM335" s="6"/>
      <c r="CN335" s="6"/>
      <c r="CO335" s="7">
        <f>ROUND(897.85,2)</f>
        <v>897.85</v>
      </c>
      <c r="CP335" s="6"/>
      <c r="CQ335" s="7">
        <f>ROUND(245.799999999999,2)</f>
        <v>245.8</v>
      </c>
      <c r="CR335" s="7">
        <f>ROUND(184.6,2)</f>
        <v>184.6</v>
      </c>
      <c r="CS335" s="6"/>
      <c r="CT335" s="6"/>
      <c r="CU335" s="6"/>
      <c r="CV335" s="6"/>
      <c r="CW335" s="7">
        <f>ROUND(2913.63999999999,2)</f>
        <v>2913.64</v>
      </c>
      <c r="CX335" s="7">
        <f>ROUND(268.8,2)</f>
        <v>268.8</v>
      </c>
      <c r="CY335" s="6"/>
      <c r="CZ335" s="6"/>
      <c r="DA335" s="7">
        <f>ROUND(11380.13,2)</f>
        <v>11380.13</v>
      </c>
      <c r="DB335" s="7">
        <f>ROUND(1737.91,2)</f>
        <v>1737.91</v>
      </c>
      <c r="DC335" s="7">
        <f>ROUND(2486.56,2)</f>
        <v>2486.56</v>
      </c>
      <c r="DD335" s="6"/>
      <c r="DE335" s="7">
        <f>ROUND(1576.64,2)</f>
        <v>1576.64</v>
      </c>
      <c r="DF335" s="6"/>
      <c r="DG335" s="6"/>
      <c r="DH335" s="6"/>
      <c r="DI335" s="7">
        <f>ROUND(236.13,2)</f>
        <v>236.13</v>
      </c>
      <c r="DJ335" s="6"/>
      <c r="DK335" s="6"/>
      <c r="DL335" s="6"/>
      <c r="DM335" s="7">
        <f>ROUND(834.79,2)</f>
        <v>834.79</v>
      </c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7">
        <f>ROUND(1200,2)</f>
        <v>1200</v>
      </c>
      <c r="EF335" s="6"/>
      <c r="EG335" s="6"/>
      <c r="EH335" s="6"/>
      <c r="EI335" s="6"/>
      <c r="EJ335" s="6"/>
      <c r="EK335" s="6"/>
      <c r="EL335" s="6"/>
      <c r="EM335" s="6"/>
      <c r="EN335" s="6"/>
      <c r="EO335" s="6"/>
      <c r="EP335" s="6"/>
      <c r="EQ335" s="7">
        <f>ROUND(1250,2)</f>
        <v>1250</v>
      </c>
      <c r="ER335" s="6"/>
      <c r="ES335" s="6"/>
      <c r="ET335" s="6"/>
      <c r="EU335" s="7">
        <f>ROUND(729.6,2)</f>
        <v>729.6</v>
      </c>
      <c r="EV335" s="7">
        <f>ROUND(77313.02,2)</f>
        <v>77313.02</v>
      </c>
    </row>
    <row r="336" spans="1:152">
      <c r="A336" s="4" t="s">
        <v>812</v>
      </c>
      <c r="B336" s="4" t="s">
        <v>1058</v>
      </c>
      <c r="C336" s="5" t="s">
        <v>152</v>
      </c>
      <c r="D336" s="5" t="s">
        <v>349</v>
      </c>
      <c r="E336" s="5" t="s">
        <v>0</v>
      </c>
      <c r="F336" s="5" t="s">
        <v>0</v>
      </c>
      <c r="G336" s="5" t="s">
        <v>155</v>
      </c>
      <c r="H336" s="10">
        <v>30.4</v>
      </c>
      <c r="I336" s="6"/>
      <c r="J336" s="6"/>
      <c r="K336" s="6"/>
      <c r="L336" s="6"/>
      <c r="M336" s="7">
        <f>ROUND(1550.38999999999,2)</f>
        <v>1550.39</v>
      </c>
      <c r="N336" s="6"/>
      <c r="O336" s="6"/>
      <c r="P336" s="7">
        <f>ROUND(471.2,2)</f>
        <v>471.2</v>
      </c>
      <c r="Q336" s="6"/>
      <c r="R336" s="6"/>
      <c r="S336" s="6"/>
      <c r="T336" s="6"/>
      <c r="U336" s="7">
        <f>ROUND(17.41,2)</f>
        <v>17.41</v>
      </c>
      <c r="V336" s="7">
        <f>ROUND(13.8,2)</f>
        <v>13.8</v>
      </c>
      <c r="W336" s="7">
        <f>ROUND(8.36,2)</f>
        <v>8.36</v>
      </c>
      <c r="X336" s="7">
        <f>ROUND(0.33,2)</f>
        <v>0.33</v>
      </c>
      <c r="Y336" s="6"/>
      <c r="Z336" s="6"/>
      <c r="AA336" s="6"/>
      <c r="AB336" s="6"/>
      <c r="AC336" s="7">
        <f>ROUND(42.62,2)</f>
        <v>42.62</v>
      </c>
      <c r="AD336" s="7">
        <f>ROUND(10.8,2)</f>
        <v>10.8</v>
      </c>
      <c r="AE336" s="6"/>
      <c r="AF336" s="7">
        <f>ROUND(277.21,2)</f>
        <v>277.20999999999998</v>
      </c>
      <c r="AG336" s="7">
        <f>ROUND(42.8599999999999,2)</f>
        <v>42.86</v>
      </c>
      <c r="AH336" s="7">
        <f>ROUND(88,2)</f>
        <v>88</v>
      </c>
      <c r="AI336" s="6"/>
      <c r="AJ336" s="7">
        <f>ROUND(104,2)</f>
        <v>104</v>
      </c>
      <c r="AK336" s="6"/>
      <c r="AL336" s="7">
        <f>ROUND(8,2)</f>
        <v>8</v>
      </c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7">
        <f>ROUND(8,2)</f>
        <v>8</v>
      </c>
      <c r="BC336" s="6"/>
      <c r="BD336" s="7">
        <f>ROUND(2.08,2)</f>
        <v>2.08</v>
      </c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7">
        <f>ROUND(16,2)</f>
        <v>16</v>
      </c>
      <c r="CB336" s="7">
        <f>ROUND(2661.05999999999,2)</f>
        <v>2661.06</v>
      </c>
      <c r="CC336" s="6"/>
      <c r="CD336" s="6"/>
      <c r="CE336" s="6"/>
      <c r="CF336" s="6"/>
      <c r="CG336" s="7">
        <f>ROUND(43719.5499999999,2)</f>
        <v>43719.55</v>
      </c>
      <c r="CH336" s="6"/>
      <c r="CI336" s="6"/>
      <c r="CJ336" s="7">
        <f>ROUND(20016.01,2)</f>
        <v>20016.009999999998</v>
      </c>
      <c r="CK336" s="6"/>
      <c r="CL336" s="6"/>
      <c r="CM336" s="6"/>
      <c r="CN336" s="6"/>
      <c r="CO336" s="7">
        <f>ROUND(499.05,2)</f>
        <v>499.05</v>
      </c>
      <c r="CP336" s="7">
        <f>ROUND(578.15,2)</f>
        <v>578.15</v>
      </c>
      <c r="CQ336" s="7">
        <f>ROUND(246.65,2)</f>
        <v>246.65</v>
      </c>
      <c r="CR336" s="7">
        <f>ROUND(13.75,2)</f>
        <v>13.75</v>
      </c>
      <c r="CS336" s="6"/>
      <c r="CT336" s="6"/>
      <c r="CU336" s="6"/>
      <c r="CV336" s="6"/>
      <c r="CW336" s="7">
        <f>ROUND(1193.96,2)</f>
        <v>1193.96</v>
      </c>
      <c r="CX336" s="7">
        <f>ROUND(451.11,2)</f>
        <v>451.11</v>
      </c>
      <c r="CY336" s="6"/>
      <c r="CZ336" s="6"/>
      <c r="DA336" s="7">
        <f>ROUND(7730.67999999999,2)</f>
        <v>7730.68</v>
      </c>
      <c r="DB336" s="7">
        <f>ROUND(1795.31,2)</f>
        <v>1795.31</v>
      </c>
      <c r="DC336" s="7">
        <f>ROUND(2486.56,2)</f>
        <v>2486.56</v>
      </c>
      <c r="DD336" s="6"/>
      <c r="DE336" s="7">
        <f>ROUND(2931.04,2)</f>
        <v>2931.04</v>
      </c>
      <c r="DF336" s="6"/>
      <c r="DG336" s="6"/>
      <c r="DH336" s="6"/>
      <c r="DI336" s="7">
        <f>ROUND(222.24,2)</f>
        <v>222.24</v>
      </c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7">
        <f>ROUND(1275,2)</f>
        <v>1275</v>
      </c>
      <c r="EF336" s="6"/>
      <c r="EG336" s="6"/>
      <c r="EH336" s="6"/>
      <c r="EI336" s="6"/>
      <c r="EJ336" s="6"/>
      <c r="EK336" s="6"/>
      <c r="EL336" s="6"/>
      <c r="EM336" s="6"/>
      <c r="EN336" s="6"/>
      <c r="EO336" s="6"/>
      <c r="EP336" s="6"/>
      <c r="EQ336" s="7">
        <f>ROUND(1250,2)</f>
        <v>1250</v>
      </c>
      <c r="ER336" s="6"/>
      <c r="ES336" s="6"/>
      <c r="ET336" s="6"/>
      <c r="EU336" s="7">
        <f>ROUND(486.4,2)</f>
        <v>486.4</v>
      </c>
      <c r="EV336" s="7">
        <f>ROUND(84895.4599999999,2)</f>
        <v>84895.46</v>
      </c>
    </row>
    <row r="337" spans="1:152">
      <c r="A337" s="4" t="s">
        <v>813</v>
      </c>
      <c r="B337" s="4" t="s">
        <v>1058</v>
      </c>
      <c r="C337" s="5" t="s">
        <v>152</v>
      </c>
      <c r="D337" s="5" t="s">
        <v>171</v>
      </c>
      <c r="E337" s="5" t="s">
        <v>0</v>
      </c>
      <c r="F337" s="5" t="s">
        <v>0</v>
      </c>
      <c r="G337" s="5" t="s">
        <v>155</v>
      </c>
      <c r="H337" s="10">
        <v>27.36</v>
      </c>
      <c r="I337" s="6"/>
      <c r="J337" s="6"/>
      <c r="K337" s="6"/>
      <c r="L337" s="6"/>
      <c r="M337" s="7">
        <f>ROUND(1323.05,2)</f>
        <v>1323.05</v>
      </c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7">
        <f>ROUND(6,2)</f>
        <v>6</v>
      </c>
      <c r="AD337" s="6"/>
      <c r="AE337" s="6"/>
      <c r="AF337" s="6"/>
      <c r="AG337" s="6"/>
      <c r="AH337" s="7">
        <f>ROUND(25,2)</f>
        <v>25</v>
      </c>
      <c r="AI337" s="6"/>
      <c r="AJ337" s="7">
        <f>ROUND(25,2)</f>
        <v>25</v>
      </c>
      <c r="AK337" s="6"/>
      <c r="AL337" s="7">
        <f>ROUND(2,2)</f>
        <v>2</v>
      </c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7">
        <f>ROUND(21.67,2)</f>
        <v>21.67</v>
      </c>
      <c r="BA337" s="6"/>
      <c r="BB337" s="7">
        <f>ROUND(15,2)</f>
        <v>15</v>
      </c>
      <c r="BC337" s="7">
        <f>ROUND(10,2)</f>
        <v>10</v>
      </c>
      <c r="BD337" s="6"/>
      <c r="BE337" s="7">
        <f>ROUND(8.33,2)</f>
        <v>8.33</v>
      </c>
      <c r="BF337" s="6"/>
      <c r="BG337" s="6"/>
      <c r="BH337" s="7">
        <f>ROUND(10,2)</f>
        <v>10</v>
      </c>
      <c r="BI337" s="6"/>
      <c r="BJ337" s="6"/>
      <c r="BK337" s="6"/>
      <c r="BL337" s="6"/>
      <c r="BM337" s="7">
        <f>ROUND(5,2)</f>
        <v>5</v>
      </c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7">
        <f>ROUND(1451.05,2)</f>
        <v>1451.05</v>
      </c>
      <c r="CC337" s="6"/>
      <c r="CD337" s="6"/>
      <c r="CE337" s="6"/>
      <c r="CF337" s="6"/>
      <c r="CG337" s="7">
        <f>ROUND(28610.2899999999,2)</f>
        <v>28610.29</v>
      </c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7">
        <f>ROUND(164.16,2)</f>
        <v>164.16</v>
      </c>
      <c r="CX337" s="6"/>
      <c r="CY337" s="6"/>
      <c r="CZ337" s="6"/>
      <c r="DA337" s="6"/>
      <c r="DB337" s="6"/>
      <c r="DC337" s="7">
        <f>ROUND(586.14,2)</f>
        <v>586.14</v>
      </c>
      <c r="DD337" s="6"/>
      <c r="DE337" s="7">
        <f>ROUND(586.13,2)</f>
        <v>586.13</v>
      </c>
      <c r="DF337" s="6"/>
      <c r="DG337" s="6"/>
      <c r="DH337" s="6"/>
      <c r="DI337" s="7">
        <f>ROUND(41.67,2)</f>
        <v>41.67</v>
      </c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Y337" s="6"/>
      <c r="DZ337" s="6"/>
      <c r="EA337" s="7">
        <f>ROUND(592.89,2)</f>
        <v>592.89</v>
      </c>
      <c r="EB337" s="6"/>
      <c r="EC337" s="6"/>
      <c r="ED337" s="6"/>
      <c r="EE337" s="7">
        <f>ROUND(1675,2)</f>
        <v>1675</v>
      </c>
      <c r="EF337" s="6"/>
      <c r="EG337" s="6"/>
      <c r="EH337" s="6"/>
      <c r="EI337" s="6"/>
      <c r="EJ337" s="6"/>
      <c r="EK337" s="6"/>
      <c r="EL337" s="6"/>
      <c r="EM337" s="6"/>
      <c r="EN337" s="6"/>
      <c r="EO337" s="6"/>
      <c r="EP337" s="6"/>
      <c r="EQ337" s="7">
        <f>ROUND(1500,2)</f>
        <v>1500</v>
      </c>
      <c r="ER337" s="6"/>
      <c r="ES337" s="6"/>
      <c r="ET337" s="6"/>
      <c r="EU337" s="6"/>
      <c r="EV337" s="7">
        <f>ROUND(33756.2799999999,2)</f>
        <v>33756.28</v>
      </c>
    </row>
    <row r="338" spans="1:152">
      <c r="A338" s="4" t="s">
        <v>814</v>
      </c>
      <c r="B338" s="4" t="s">
        <v>1058</v>
      </c>
      <c r="C338" s="5" t="s">
        <v>211</v>
      </c>
      <c r="D338" s="5" t="s">
        <v>815</v>
      </c>
      <c r="E338" s="5" t="s">
        <v>0</v>
      </c>
      <c r="F338" s="5" t="s">
        <v>0</v>
      </c>
      <c r="G338" s="5" t="s">
        <v>213</v>
      </c>
      <c r="H338" s="10">
        <v>28</v>
      </c>
      <c r="I338" s="6"/>
      <c r="J338" s="6"/>
      <c r="K338" s="6"/>
      <c r="L338" s="6"/>
      <c r="M338" s="6"/>
      <c r="N338" s="6"/>
      <c r="O338" s="6"/>
      <c r="P338" s="6"/>
      <c r="Q338" s="7">
        <f>ROUND(1783.1,2)</f>
        <v>1783.1</v>
      </c>
      <c r="R338" s="7">
        <f>ROUND(160,2)</f>
        <v>160</v>
      </c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7">
        <f>ROUND(80,2)</f>
        <v>80</v>
      </c>
      <c r="AI338" s="6"/>
      <c r="AJ338" s="7">
        <f>ROUND(80,2)</f>
        <v>80</v>
      </c>
      <c r="AK338" s="6"/>
      <c r="AL338" s="6"/>
      <c r="AM338" s="6"/>
      <c r="AN338" s="6"/>
      <c r="AO338" s="6"/>
      <c r="AP338" s="7">
        <f>ROUND(24,2)</f>
        <v>24</v>
      </c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7">
        <f>ROUND(24,2)</f>
        <v>24</v>
      </c>
      <c r="BC338" s="6"/>
      <c r="BD338" s="7">
        <f>ROUND(0.9,2)</f>
        <v>0.9</v>
      </c>
      <c r="BE338" s="7">
        <f>ROUND(8,2)</f>
        <v>8</v>
      </c>
      <c r="BF338" s="6"/>
      <c r="BG338" s="6"/>
      <c r="BH338" s="6"/>
      <c r="BI338" s="7">
        <f>ROUND(80,2)</f>
        <v>80</v>
      </c>
      <c r="BJ338" s="7">
        <f>ROUND(24,2)</f>
        <v>24</v>
      </c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7">
        <f>ROUND(2264,2)</f>
        <v>2264</v>
      </c>
      <c r="CC338" s="6"/>
      <c r="CD338" s="6"/>
      <c r="CE338" s="6"/>
      <c r="CF338" s="6"/>
      <c r="CG338" s="6"/>
      <c r="CH338" s="6"/>
      <c r="CI338" s="6"/>
      <c r="CJ338" s="6"/>
      <c r="CK338" s="7">
        <f>ROUND(43810.99,2)</f>
        <v>43810.99</v>
      </c>
      <c r="CL338" s="7">
        <f>ROUND(5901.48,2)</f>
        <v>5901.48</v>
      </c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7">
        <f>ROUND(2005.91999999999,2)</f>
        <v>2005.92</v>
      </c>
      <c r="DD338" s="6"/>
      <c r="DE338" s="7">
        <f>ROUND(1905.6,2)</f>
        <v>1905.6</v>
      </c>
      <c r="DF338" s="6"/>
      <c r="DG338" s="6"/>
      <c r="DH338" s="6"/>
      <c r="DI338" s="6"/>
      <c r="DJ338" s="6"/>
      <c r="DK338" s="6"/>
      <c r="DL338" s="6"/>
      <c r="DM338" s="7">
        <f>ROUND(571.68,2)</f>
        <v>571.67999999999995</v>
      </c>
      <c r="DN338" s="7">
        <f>ROUND(293.72,2)</f>
        <v>293.72000000000003</v>
      </c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7">
        <f>ROUND(975,2)</f>
        <v>975</v>
      </c>
      <c r="EF338" s="6"/>
      <c r="EG338" s="6"/>
      <c r="EH338" s="6"/>
      <c r="EI338" s="6"/>
      <c r="EJ338" s="6"/>
      <c r="EK338" s="6"/>
      <c r="EL338" s="6"/>
      <c r="EM338" s="6"/>
      <c r="EN338" s="6"/>
      <c r="EO338" s="6"/>
      <c r="EP338" s="6"/>
      <c r="EQ338" s="7">
        <f>ROUND(1250,2)</f>
        <v>1250</v>
      </c>
      <c r="ER338" s="6"/>
      <c r="ES338" s="6"/>
      <c r="ET338" s="6"/>
      <c r="EU338" s="6"/>
      <c r="EV338" s="7">
        <f>ROUND(56714.39,2)</f>
        <v>56714.39</v>
      </c>
    </row>
    <row r="339" spans="1:152" ht="24">
      <c r="A339" s="4" t="s">
        <v>816</v>
      </c>
      <c r="B339" s="4"/>
      <c r="C339" s="5" t="s">
        <v>233</v>
      </c>
      <c r="D339" s="5" t="s">
        <v>763</v>
      </c>
      <c r="E339" s="5" t="s">
        <v>817</v>
      </c>
      <c r="F339" s="5" t="s">
        <v>0</v>
      </c>
      <c r="G339" s="5" t="s">
        <v>236</v>
      </c>
      <c r="H339" s="10">
        <v>15.3</v>
      </c>
      <c r="I339" s="7">
        <f>ROUND(504.25,2)</f>
        <v>504.25</v>
      </c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7">
        <f>ROUND(504.25,2)</f>
        <v>504.25</v>
      </c>
      <c r="CC339" s="7">
        <f>ROUND(7715.08,2)</f>
        <v>7715.08</v>
      </c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  <c r="EG339" s="6"/>
      <c r="EH339" s="6"/>
      <c r="EI339" s="6"/>
      <c r="EJ339" s="6"/>
      <c r="EK339" s="6"/>
      <c r="EL339" s="6"/>
      <c r="EM339" s="6"/>
      <c r="EN339" s="6"/>
      <c r="EO339" s="6"/>
      <c r="EP339" s="6"/>
      <c r="EQ339" s="6"/>
      <c r="ER339" s="6"/>
      <c r="ES339" s="6"/>
      <c r="ET339" s="6"/>
      <c r="EU339" s="6"/>
      <c r="EV339" s="7">
        <f>ROUND(7715.08,2)</f>
        <v>7715.08</v>
      </c>
    </row>
    <row r="340" spans="1:152" ht="24">
      <c r="A340" s="4" t="s">
        <v>818</v>
      </c>
      <c r="B340" s="4"/>
      <c r="C340" s="5" t="s">
        <v>259</v>
      </c>
      <c r="D340" s="5" t="s">
        <v>819</v>
      </c>
      <c r="E340" s="5" t="s">
        <v>0</v>
      </c>
      <c r="F340" s="5" t="s">
        <v>819</v>
      </c>
      <c r="G340" s="5" t="s">
        <v>820</v>
      </c>
      <c r="H340" s="10">
        <v>2825.01</v>
      </c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7">
        <f>ROUND(24,2)</f>
        <v>24</v>
      </c>
      <c r="BI340" s="6"/>
      <c r="BJ340" s="6"/>
      <c r="BK340" s="6"/>
      <c r="BL340" s="6"/>
      <c r="BM340" s="6"/>
      <c r="BN340" s="6"/>
      <c r="BO340" s="6"/>
      <c r="BP340" s="6"/>
      <c r="BQ340" s="6"/>
      <c r="BR340" s="7">
        <f>ROUND(40,2)</f>
        <v>40</v>
      </c>
      <c r="BS340" s="6"/>
      <c r="BT340" s="7">
        <f>ROUND(32,2)</f>
        <v>32</v>
      </c>
      <c r="BU340" s="7">
        <f>ROUND(24,2)</f>
        <v>24</v>
      </c>
      <c r="BV340" s="6"/>
      <c r="BW340" s="6"/>
      <c r="BX340" s="6"/>
      <c r="BY340" s="7">
        <f>ROUND(72,2)</f>
        <v>72</v>
      </c>
      <c r="BZ340" s="6"/>
      <c r="CA340" s="6"/>
      <c r="CB340" s="7">
        <f>ROUND(192,2)</f>
        <v>192</v>
      </c>
      <c r="CC340" s="7">
        <f>ROUND(139920.44,2)</f>
        <v>139920.44</v>
      </c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7">
        <f>ROUND(6780.48,2)</f>
        <v>6780.48</v>
      </c>
      <c r="EF340" s="6"/>
      <c r="EG340" s="6"/>
      <c r="EH340" s="6"/>
      <c r="EI340" s="6"/>
      <c r="EJ340" s="6"/>
      <c r="EK340" s="6"/>
      <c r="EL340" s="6"/>
      <c r="EM340" s="6"/>
      <c r="EN340" s="6"/>
      <c r="EO340" s="6"/>
      <c r="EP340" s="6"/>
      <c r="EQ340" s="6"/>
      <c r="ER340" s="6"/>
      <c r="ES340" s="7">
        <f>ROUND(5325.7,2)</f>
        <v>5325.7</v>
      </c>
      <c r="ET340" s="6"/>
      <c r="EU340" s="6"/>
      <c r="EV340" s="7">
        <f>ROUND(152026.62,2)</f>
        <v>152026.62</v>
      </c>
    </row>
    <row r="341" spans="1:152">
      <c r="A341" s="4" t="s">
        <v>821</v>
      </c>
      <c r="B341" s="4" t="s">
        <v>1058</v>
      </c>
      <c r="C341" s="5" t="s">
        <v>152</v>
      </c>
      <c r="D341" s="5" t="s">
        <v>224</v>
      </c>
      <c r="E341" s="5" t="s">
        <v>0</v>
      </c>
      <c r="F341" s="5" t="s">
        <v>0</v>
      </c>
      <c r="G341" s="5" t="s">
        <v>155</v>
      </c>
      <c r="H341" s="10">
        <v>30.4</v>
      </c>
      <c r="I341" s="6"/>
      <c r="J341" s="6"/>
      <c r="K341" s="6"/>
      <c r="L341" s="6"/>
      <c r="M341" s="7">
        <f>ROUND(1372.31,2)</f>
        <v>1372.31</v>
      </c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7">
        <f>ROUND(32,2)</f>
        <v>32</v>
      </c>
      <c r="AD341" s="6"/>
      <c r="AE341" s="6"/>
      <c r="AF341" s="6"/>
      <c r="AG341" s="6"/>
      <c r="AH341" s="7">
        <f>ROUND(40,2)</f>
        <v>40</v>
      </c>
      <c r="AI341" s="6"/>
      <c r="AJ341" s="7">
        <f>ROUND(35,2)</f>
        <v>35</v>
      </c>
      <c r="AK341" s="6"/>
      <c r="AL341" s="7">
        <f>ROUND(8,2)</f>
        <v>8</v>
      </c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7">
        <f>ROUND(5,2)</f>
        <v>5</v>
      </c>
      <c r="BK341" s="6"/>
      <c r="BL341" s="6"/>
      <c r="BM341" s="7">
        <f>ROUND(5,2)</f>
        <v>5</v>
      </c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7">
        <f>ROUND(1497.31,2)</f>
        <v>1497.31</v>
      </c>
      <c r="CC341" s="6"/>
      <c r="CD341" s="6"/>
      <c r="CE341" s="6"/>
      <c r="CF341" s="6"/>
      <c r="CG341" s="7">
        <f>ROUND(34215.2099999999,2)</f>
        <v>34215.21</v>
      </c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7">
        <f>ROUND(773.36,2)</f>
        <v>773.36</v>
      </c>
      <c r="CX341" s="6"/>
      <c r="CY341" s="6"/>
      <c r="CZ341" s="6"/>
      <c r="DA341" s="6"/>
      <c r="DB341" s="6"/>
      <c r="DC341" s="7">
        <f>ROUND(1060.2,2)</f>
        <v>1060.2</v>
      </c>
      <c r="DD341" s="6"/>
      <c r="DE341" s="7">
        <f>ROUND(1001.68,2)</f>
        <v>1001.68</v>
      </c>
      <c r="DF341" s="6"/>
      <c r="DG341" s="6"/>
      <c r="DH341" s="6"/>
      <c r="DI341" s="7">
        <f>ROUND(193.34,2)</f>
        <v>193.34</v>
      </c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7">
        <f>ROUND(775,2)</f>
        <v>775</v>
      </c>
      <c r="EF341" s="6"/>
      <c r="EG341" s="6"/>
      <c r="EH341" s="6"/>
      <c r="EI341" s="6"/>
      <c r="EJ341" s="6"/>
      <c r="EK341" s="6"/>
      <c r="EL341" s="6"/>
      <c r="EM341" s="6"/>
      <c r="EN341" s="6"/>
      <c r="EO341" s="6"/>
      <c r="EP341" s="6"/>
      <c r="EQ341" s="7">
        <f>ROUND(625,2)</f>
        <v>625</v>
      </c>
      <c r="ER341" s="6"/>
      <c r="ES341" s="6"/>
      <c r="ET341" s="6"/>
      <c r="EU341" s="6"/>
      <c r="EV341" s="7">
        <f>ROUND(38643.7899999999,2)</f>
        <v>38643.79</v>
      </c>
    </row>
    <row r="342" spans="1:152" ht="24">
      <c r="A342" s="4" t="s">
        <v>822</v>
      </c>
      <c r="B342" s="4"/>
      <c r="C342" s="5" t="s">
        <v>233</v>
      </c>
      <c r="D342" s="5" t="s">
        <v>171</v>
      </c>
      <c r="E342" s="5" t="s">
        <v>823</v>
      </c>
      <c r="F342" s="5" t="s">
        <v>0</v>
      </c>
      <c r="G342" s="5" t="s">
        <v>236</v>
      </c>
      <c r="H342" s="10">
        <v>15</v>
      </c>
      <c r="I342" s="7">
        <f>ROUND(266.5,2)</f>
        <v>266.5</v>
      </c>
      <c r="J342" s="7">
        <f>ROUND(0.5,2)</f>
        <v>0.5</v>
      </c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7">
        <f>ROUND(8,2)</f>
        <v>8</v>
      </c>
      <c r="BU342" s="6"/>
      <c r="BV342" s="6"/>
      <c r="BW342" s="6"/>
      <c r="BX342" s="6"/>
      <c r="BY342" s="6"/>
      <c r="BZ342" s="6"/>
      <c r="CA342" s="6"/>
      <c r="CB342" s="7">
        <f>ROUND(275,2)</f>
        <v>275</v>
      </c>
      <c r="CC342" s="7">
        <f>ROUND(3997.5,2)</f>
        <v>3997.5</v>
      </c>
      <c r="CD342" s="7">
        <f>ROUND(11.25,2)</f>
        <v>11.25</v>
      </c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7">
        <f>ROUND(120,2)</f>
        <v>120</v>
      </c>
      <c r="EH342" s="6"/>
      <c r="EI342" s="6"/>
      <c r="EJ342" s="6"/>
      <c r="EK342" s="6"/>
      <c r="EL342" s="6"/>
      <c r="EM342" s="6"/>
      <c r="EN342" s="6"/>
      <c r="EO342" s="6"/>
      <c r="EP342" s="6"/>
      <c r="EQ342" s="6"/>
      <c r="ER342" s="6"/>
      <c r="ES342" s="6"/>
      <c r="ET342" s="6"/>
      <c r="EU342" s="6"/>
      <c r="EV342" s="7">
        <f>ROUND(4128.75,2)</f>
        <v>4128.75</v>
      </c>
    </row>
    <row r="343" spans="1:152">
      <c r="A343" s="4" t="s">
        <v>824</v>
      </c>
      <c r="B343" s="4" t="s">
        <v>1058</v>
      </c>
      <c r="C343" s="5" t="s">
        <v>152</v>
      </c>
      <c r="D343" s="5" t="s">
        <v>825</v>
      </c>
      <c r="E343" s="5" t="s">
        <v>230</v>
      </c>
      <c r="F343" s="5" t="s">
        <v>826</v>
      </c>
      <c r="G343" s="5" t="s">
        <v>155</v>
      </c>
      <c r="H343" s="10">
        <v>27.78</v>
      </c>
      <c r="I343" s="6"/>
      <c r="J343" s="6"/>
      <c r="K343" s="6"/>
      <c r="L343" s="6"/>
      <c r="M343" s="7">
        <f>ROUND(119.09,2)</f>
        <v>119.09</v>
      </c>
      <c r="N343" s="6"/>
      <c r="O343" s="6"/>
      <c r="P343" s="7">
        <f>ROUND(4.23,2)</f>
        <v>4.2300000000000004</v>
      </c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7">
        <f>ROUND(16,2)</f>
        <v>16</v>
      </c>
      <c r="AD343" s="6"/>
      <c r="AE343" s="6"/>
      <c r="AF343" s="6"/>
      <c r="AG343" s="6"/>
      <c r="AH343" s="7">
        <f>ROUND(24,2)</f>
        <v>24</v>
      </c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7">
        <f>ROUND(8,2)</f>
        <v>8</v>
      </c>
      <c r="BC343" s="7">
        <f>ROUND(272,2)</f>
        <v>272</v>
      </c>
      <c r="BD343" s="6"/>
      <c r="BE343" s="6"/>
      <c r="BF343" s="6"/>
      <c r="BG343" s="6"/>
      <c r="BH343" s="6"/>
      <c r="BI343" s="6"/>
      <c r="BJ343" s="6"/>
      <c r="BK343" s="6"/>
      <c r="BL343" s="6"/>
      <c r="BM343" s="7">
        <f>ROUND(72,2)</f>
        <v>72</v>
      </c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7">
        <f>ROUND(515.32,2)</f>
        <v>515.32000000000005</v>
      </c>
      <c r="CC343" s="6"/>
      <c r="CD343" s="6"/>
      <c r="CE343" s="6"/>
      <c r="CF343" s="6"/>
      <c r="CG343" s="7">
        <f>ROUND(3310.97,2)</f>
        <v>3310.97</v>
      </c>
      <c r="CH343" s="6"/>
      <c r="CI343" s="6"/>
      <c r="CJ343" s="7">
        <f>ROUND(176.26,2)</f>
        <v>176.26</v>
      </c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7">
        <f>ROUND(444.48,2)</f>
        <v>444.48</v>
      </c>
      <c r="CX343" s="6"/>
      <c r="CY343" s="6"/>
      <c r="CZ343" s="6"/>
      <c r="DA343" s="6"/>
      <c r="DB343" s="6"/>
      <c r="DC343" s="7">
        <f>ROUND(666.72,2)</f>
        <v>666.72</v>
      </c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  <c r="EH343" s="6"/>
      <c r="EI343" s="6"/>
      <c r="EJ343" s="6"/>
      <c r="EK343" s="6"/>
      <c r="EL343" s="6"/>
      <c r="EM343" s="6"/>
      <c r="EN343" s="6"/>
      <c r="EO343" s="6"/>
      <c r="EP343" s="6"/>
      <c r="EQ343" s="6"/>
      <c r="ER343" s="6"/>
      <c r="ES343" s="6"/>
      <c r="ET343" s="6"/>
      <c r="EU343" s="6"/>
      <c r="EV343" s="7">
        <f>ROUND(4598.42999999999,2)</f>
        <v>4598.43</v>
      </c>
    </row>
    <row r="344" spans="1:152">
      <c r="A344" s="4" t="s">
        <v>827</v>
      </c>
      <c r="B344" s="4" t="s">
        <v>1058</v>
      </c>
      <c r="C344" s="5" t="s">
        <v>211</v>
      </c>
      <c r="D344" s="5" t="s">
        <v>828</v>
      </c>
      <c r="E344" s="5" t="s">
        <v>0</v>
      </c>
      <c r="F344" s="5" t="s">
        <v>0</v>
      </c>
      <c r="G344" s="5" t="s">
        <v>218</v>
      </c>
      <c r="H344" s="10">
        <v>34.1</v>
      </c>
      <c r="I344" s="6"/>
      <c r="J344" s="6"/>
      <c r="K344" s="7">
        <f>ROUND(1912,2)</f>
        <v>1912</v>
      </c>
      <c r="L344" s="7">
        <f>ROUND(373.37,2)</f>
        <v>373.37</v>
      </c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7">
        <f>ROUND(88,2)</f>
        <v>88</v>
      </c>
      <c r="AI344" s="6"/>
      <c r="AJ344" s="7">
        <f>ROUND(80,2)</f>
        <v>80</v>
      </c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7">
        <f>ROUND(2453.37,2)</f>
        <v>2453.37</v>
      </c>
      <c r="CC344" s="6"/>
      <c r="CD344" s="6"/>
      <c r="CE344" s="7">
        <f>ROUND(60169.96,2)</f>
        <v>60169.96</v>
      </c>
      <c r="CF344" s="7">
        <f>ROUND(17467.69,2)</f>
        <v>17467.689999999999</v>
      </c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7">
        <f>ROUND(2792.8,2)</f>
        <v>2792.8</v>
      </c>
      <c r="DD344" s="6"/>
      <c r="DE344" s="7">
        <f>ROUND(2572,2)</f>
        <v>2572</v>
      </c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7">
        <f>ROUND(2000,2)</f>
        <v>2000</v>
      </c>
      <c r="EF344" s="6"/>
      <c r="EG344" s="6"/>
      <c r="EH344" s="6"/>
      <c r="EI344" s="6"/>
      <c r="EJ344" s="6"/>
      <c r="EK344" s="6"/>
      <c r="EL344" s="6"/>
      <c r="EM344" s="6"/>
      <c r="EN344" s="6"/>
      <c r="EO344" s="6"/>
      <c r="EP344" s="6"/>
      <c r="EQ344" s="7">
        <f>ROUND(1250,2)</f>
        <v>1250</v>
      </c>
      <c r="ER344" s="6"/>
      <c r="ES344" s="6"/>
      <c r="ET344" s="6"/>
      <c r="EU344" s="6"/>
      <c r="EV344" s="7">
        <f>ROUND(86252.45,2)</f>
        <v>86252.45</v>
      </c>
    </row>
    <row r="345" spans="1:152" ht="24">
      <c r="A345" s="4" t="s">
        <v>829</v>
      </c>
      <c r="B345" s="4"/>
      <c r="C345" s="5" t="s">
        <v>233</v>
      </c>
      <c r="D345" s="5" t="s">
        <v>830</v>
      </c>
      <c r="E345" s="5" t="s">
        <v>0</v>
      </c>
      <c r="F345" s="5" t="s">
        <v>0</v>
      </c>
      <c r="G345" s="5" t="s">
        <v>831</v>
      </c>
      <c r="H345" s="10">
        <v>1281.56</v>
      </c>
      <c r="I345" s="7">
        <f>ROUND(1341,2)</f>
        <v>1341</v>
      </c>
      <c r="J345" s="7">
        <f>ROUND(29.25,2)</f>
        <v>29.25</v>
      </c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7">
        <f>ROUND(16,2)</f>
        <v>16</v>
      </c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7">
        <f>ROUND(32,2)</f>
        <v>32</v>
      </c>
      <c r="BU345" s="7">
        <f>ROUND(32,2)</f>
        <v>32</v>
      </c>
      <c r="BV345" s="6"/>
      <c r="BW345" s="6"/>
      <c r="BX345" s="7">
        <f>ROUND(28,2)</f>
        <v>28</v>
      </c>
      <c r="BY345" s="7">
        <f>ROUND(80,2)</f>
        <v>80</v>
      </c>
      <c r="BZ345" s="6"/>
      <c r="CA345" s="6"/>
      <c r="CB345" s="7">
        <f>ROUND(1558.25,2)</f>
        <v>1558.25</v>
      </c>
      <c r="CC345" s="7">
        <f>ROUND(46149.19,2)</f>
        <v>46149.19</v>
      </c>
      <c r="CD345" s="7">
        <f>ROUND(826.05,2)</f>
        <v>826.05</v>
      </c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7">
        <f>ROUND(296.64,2)</f>
        <v>296.64</v>
      </c>
      <c r="EE345" s="7">
        <f>ROUND(3075.84,2)</f>
        <v>3075.84</v>
      </c>
      <c r="EF345" s="6"/>
      <c r="EG345" s="7">
        <f>ROUND(308.32,2)</f>
        <v>308.32</v>
      </c>
      <c r="EH345" s="7">
        <f>ROUND(593.28,2)</f>
        <v>593.28</v>
      </c>
      <c r="EI345" s="6"/>
      <c r="EJ345" s="6"/>
      <c r="EK345" s="6"/>
      <c r="EL345" s="6"/>
      <c r="EM345" s="6"/>
      <c r="EN345" s="7">
        <f>ROUND(524.96,2)</f>
        <v>524.96</v>
      </c>
      <c r="EO345" s="6"/>
      <c r="EP345" s="6"/>
      <c r="EQ345" s="6"/>
      <c r="ER345" s="6"/>
      <c r="ES345" s="7">
        <f>ROUND(1541.6,2)</f>
        <v>1541.6</v>
      </c>
      <c r="ET345" s="6"/>
      <c r="EU345" s="6"/>
      <c r="EV345" s="7">
        <f>ROUND(53315.88,2)</f>
        <v>53315.88</v>
      </c>
    </row>
    <row r="346" spans="1:152">
      <c r="A346" s="4" t="s">
        <v>832</v>
      </c>
      <c r="B346" s="4"/>
      <c r="C346" s="5" t="s">
        <v>259</v>
      </c>
      <c r="D346" s="5" t="s">
        <v>833</v>
      </c>
      <c r="E346" s="5" t="s">
        <v>0</v>
      </c>
      <c r="F346" s="5" t="s">
        <v>0</v>
      </c>
      <c r="G346" s="5" t="s">
        <v>834</v>
      </c>
      <c r="H346" s="10">
        <v>16</v>
      </c>
      <c r="I346" s="7">
        <f>ROUND(42.75,2)</f>
        <v>42.75</v>
      </c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7">
        <f>ROUND(42.75,2)</f>
        <v>42.75</v>
      </c>
      <c r="CC346" s="7">
        <f>ROUND(684,2)</f>
        <v>684</v>
      </c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  <c r="EG346" s="6"/>
      <c r="EH346" s="6"/>
      <c r="EI346" s="6"/>
      <c r="EJ346" s="6"/>
      <c r="EK346" s="6"/>
      <c r="EL346" s="6"/>
      <c r="EM346" s="6"/>
      <c r="EN346" s="6"/>
      <c r="EO346" s="6"/>
      <c r="EP346" s="6"/>
      <c r="EQ346" s="6"/>
      <c r="ER346" s="6"/>
      <c r="ES346" s="6"/>
      <c r="ET346" s="6"/>
      <c r="EU346" s="6"/>
      <c r="EV346" s="7">
        <f>ROUND(684,2)</f>
        <v>684</v>
      </c>
    </row>
    <row r="347" spans="1:152">
      <c r="A347" s="4" t="s">
        <v>835</v>
      </c>
      <c r="B347" s="4" t="s">
        <v>1058</v>
      </c>
      <c r="C347" s="5" t="s">
        <v>152</v>
      </c>
      <c r="D347" s="5" t="s">
        <v>836</v>
      </c>
      <c r="E347" s="5" t="s">
        <v>0</v>
      </c>
      <c r="F347" s="5" t="s">
        <v>0</v>
      </c>
      <c r="G347" s="5" t="s">
        <v>155</v>
      </c>
      <c r="H347" s="10">
        <v>30.4</v>
      </c>
      <c r="I347" s="6"/>
      <c r="J347" s="6"/>
      <c r="K347" s="6"/>
      <c r="L347" s="6"/>
      <c r="M347" s="7">
        <f>ROUND(1816.17,2)</f>
        <v>1816.17</v>
      </c>
      <c r="N347" s="6"/>
      <c r="O347" s="6"/>
      <c r="P347" s="7">
        <f>ROUND(217.28,2)</f>
        <v>217.28</v>
      </c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7">
        <f>ROUND(100,2)</f>
        <v>100</v>
      </c>
      <c r="AI347" s="6"/>
      <c r="AJ347" s="7">
        <f>ROUND(120,2)</f>
        <v>120</v>
      </c>
      <c r="AK347" s="6"/>
      <c r="AL347" s="7">
        <f>ROUND(8.5,2)</f>
        <v>8.5</v>
      </c>
      <c r="AM347" s="6"/>
      <c r="AN347" s="6"/>
      <c r="AO347" s="6"/>
      <c r="AP347" s="7">
        <f>ROUND(42.5,2)</f>
        <v>42.5</v>
      </c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7">
        <f>ROUND(16,2)</f>
        <v>16</v>
      </c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7">
        <f>ROUND(136,2)</f>
        <v>136</v>
      </c>
      <c r="CB347" s="7">
        <f>ROUND(2456.44999999999,2)</f>
        <v>2456.4499999999998</v>
      </c>
      <c r="CC347" s="6"/>
      <c r="CD347" s="6"/>
      <c r="CE347" s="6"/>
      <c r="CF347" s="6"/>
      <c r="CG347" s="7">
        <f>ROUND(50977.1999999999,2)</f>
        <v>50977.2</v>
      </c>
      <c r="CH347" s="6"/>
      <c r="CI347" s="6"/>
      <c r="CJ347" s="7">
        <f>ROUND(9135.61,2)</f>
        <v>9135.61</v>
      </c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7">
        <f>ROUND(2819.92,2)</f>
        <v>2819.92</v>
      </c>
      <c r="DD347" s="6"/>
      <c r="DE347" s="7">
        <f>ROUND(3459.36,2)</f>
        <v>3459.36</v>
      </c>
      <c r="DF347" s="6"/>
      <c r="DG347" s="6"/>
      <c r="DH347" s="6"/>
      <c r="DI347" s="7">
        <f>ROUND(236.13,2)</f>
        <v>236.13</v>
      </c>
      <c r="DJ347" s="6"/>
      <c r="DK347" s="6"/>
      <c r="DL347" s="6"/>
      <c r="DM347" s="7">
        <f>ROUND(1225.19,2)</f>
        <v>1225.19</v>
      </c>
      <c r="DN347" s="6"/>
      <c r="DO347" s="6"/>
      <c r="DP347" s="6"/>
      <c r="DQ347" s="6"/>
      <c r="DR347" s="6"/>
      <c r="DS347" s="6"/>
      <c r="DT347" s="6"/>
      <c r="DU347" s="6"/>
      <c r="DV347" s="6"/>
      <c r="DW347" s="6"/>
      <c r="DX347" s="6"/>
      <c r="DY347" s="6"/>
      <c r="DZ347" s="6"/>
      <c r="EA347" s="6"/>
      <c r="EB347" s="6"/>
      <c r="EC347" s="6"/>
      <c r="ED347" s="6"/>
      <c r="EE347" s="7">
        <f>ROUND(1275,2)</f>
        <v>1275</v>
      </c>
      <c r="EF347" s="6"/>
      <c r="EG347" s="6"/>
      <c r="EH347" s="6"/>
      <c r="EI347" s="6"/>
      <c r="EJ347" s="6"/>
      <c r="EK347" s="6"/>
      <c r="EL347" s="6"/>
      <c r="EM347" s="6"/>
      <c r="EN347" s="6"/>
      <c r="EO347" s="6"/>
      <c r="EP347" s="6"/>
      <c r="EQ347" s="7">
        <f>ROUND(1250,2)</f>
        <v>1250</v>
      </c>
      <c r="ER347" s="6"/>
      <c r="ES347" s="6"/>
      <c r="ET347" s="6"/>
      <c r="EU347" s="7">
        <f>ROUND(4134.4,2)</f>
        <v>4134.3999999999996</v>
      </c>
      <c r="EV347" s="7">
        <f>ROUND(74512.81,2)</f>
        <v>74512.81</v>
      </c>
    </row>
    <row r="348" spans="1:152">
      <c r="A348" s="4" t="s">
        <v>837</v>
      </c>
      <c r="B348" s="4" t="s">
        <v>1058</v>
      </c>
      <c r="C348" s="5" t="s">
        <v>152</v>
      </c>
      <c r="D348" s="5" t="s">
        <v>153</v>
      </c>
      <c r="E348" s="5" t="s">
        <v>838</v>
      </c>
      <c r="F348" s="5" t="s">
        <v>839</v>
      </c>
      <c r="G348" s="5" t="s">
        <v>155</v>
      </c>
      <c r="H348" s="10">
        <v>23.34</v>
      </c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7">
        <f>ROUND(8,2)</f>
        <v>8</v>
      </c>
      <c r="BI348" s="6"/>
      <c r="BJ348" s="6"/>
      <c r="BK348" s="7">
        <f>ROUND(96,2)</f>
        <v>96</v>
      </c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7">
        <f>ROUND(104,2)</f>
        <v>104</v>
      </c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6"/>
      <c r="DJ348" s="6"/>
      <c r="DK348" s="6"/>
      <c r="DL348" s="6"/>
      <c r="DM348" s="6"/>
      <c r="DN348" s="6"/>
      <c r="DO348" s="6"/>
      <c r="DP348" s="6"/>
      <c r="DQ348" s="6"/>
      <c r="DR348" s="6"/>
      <c r="DS348" s="6"/>
      <c r="DT348" s="6"/>
      <c r="DU348" s="6"/>
      <c r="DV348" s="6"/>
      <c r="DW348" s="6"/>
      <c r="DX348" s="6"/>
      <c r="DY348" s="6"/>
      <c r="DZ348" s="6"/>
      <c r="EA348" s="6"/>
      <c r="EB348" s="6"/>
      <c r="EC348" s="6"/>
      <c r="ED348" s="6"/>
      <c r="EE348" s="6"/>
      <c r="EF348" s="6"/>
      <c r="EG348" s="6"/>
      <c r="EH348" s="6"/>
      <c r="EI348" s="6"/>
      <c r="EJ348" s="6"/>
      <c r="EK348" s="6"/>
      <c r="EL348" s="6"/>
      <c r="EM348" s="6"/>
      <c r="EN348" s="6"/>
      <c r="EO348" s="6"/>
      <c r="EP348" s="6"/>
      <c r="EQ348" s="6"/>
      <c r="ER348" s="6"/>
      <c r="ES348" s="6"/>
      <c r="ET348" s="6"/>
      <c r="EU348" s="6"/>
      <c r="EV348" s="6"/>
    </row>
    <row r="349" spans="1:152">
      <c r="A349" s="4" t="s">
        <v>840</v>
      </c>
      <c r="B349" s="4" t="s">
        <v>1058</v>
      </c>
      <c r="C349" s="5" t="s">
        <v>152</v>
      </c>
      <c r="D349" s="5" t="s">
        <v>160</v>
      </c>
      <c r="E349" s="5" t="s">
        <v>497</v>
      </c>
      <c r="F349" s="5" t="s">
        <v>0</v>
      </c>
      <c r="G349" s="5" t="s">
        <v>155</v>
      </c>
      <c r="H349" s="10">
        <v>17.5</v>
      </c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7">
        <f>ROUND(40,2)</f>
        <v>40</v>
      </c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7">
        <f>ROUND(40,2)</f>
        <v>40</v>
      </c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7">
        <f>ROUND(700,2)</f>
        <v>700</v>
      </c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  <c r="DV349" s="6"/>
      <c r="DW349" s="6"/>
      <c r="DX349" s="6"/>
      <c r="DY349" s="6"/>
      <c r="DZ349" s="6"/>
      <c r="EA349" s="6"/>
      <c r="EB349" s="6"/>
      <c r="EC349" s="6"/>
      <c r="ED349" s="6"/>
      <c r="EE349" s="6"/>
      <c r="EF349" s="6"/>
      <c r="EG349" s="6"/>
      <c r="EH349" s="6"/>
      <c r="EI349" s="6"/>
      <c r="EJ349" s="6"/>
      <c r="EK349" s="6"/>
      <c r="EL349" s="6"/>
      <c r="EM349" s="6"/>
      <c r="EN349" s="6"/>
      <c r="EO349" s="6"/>
      <c r="EP349" s="6"/>
      <c r="EQ349" s="6"/>
      <c r="ER349" s="6"/>
      <c r="ES349" s="6"/>
      <c r="ET349" s="6"/>
      <c r="EU349" s="6"/>
      <c r="EV349" s="7">
        <f>ROUND(700,2)</f>
        <v>700</v>
      </c>
    </row>
    <row r="350" spans="1:152">
      <c r="A350" s="4" t="s">
        <v>841</v>
      </c>
      <c r="B350" s="4" t="s">
        <v>1058</v>
      </c>
      <c r="C350" s="5" t="s">
        <v>152</v>
      </c>
      <c r="D350" s="5" t="s">
        <v>157</v>
      </c>
      <c r="E350" s="5" t="s">
        <v>0</v>
      </c>
      <c r="F350" s="5" t="s">
        <v>0</v>
      </c>
      <c r="G350" s="5" t="s">
        <v>155</v>
      </c>
      <c r="H350" s="10">
        <v>30.4</v>
      </c>
      <c r="I350" s="6"/>
      <c r="J350" s="6"/>
      <c r="K350" s="6"/>
      <c r="L350" s="6"/>
      <c r="M350" s="7">
        <f>ROUND(107.26,2)</f>
        <v>107.26</v>
      </c>
      <c r="N350" s="6"/>
      <c r="O350" s="6"/>
      <c r="P350" s="7">
        <f>ROUND(9.6,2)</f>
        <v>9.6</v>
      </c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7">
        <f>ROUND(1436.95,2)</f>
        <v>1436.95</v>
      </c>
      <c r="AD350" s="7">
        <f>ROUND(136.239999999999,2)</f>
        <v>136.24</v>
      </c>
      <c r="AE350" s="6"/>
      <c r="AF350" s="6"/>
      <c r="AG350" s="6"/>
      <c r="AH350" s="7">
        <f>ROUND(80,2)</f>
        <v>80</v>
      </c>
      <c r="AI350" s="6"/>
      <c r="AJ350" s="7">
        <f>ROUND(184,2)</f>
        <v>184</v>
      </c>
      <c r="AK350" s="6"/>
      <c r="AL350" s="7">
        <f>ROUND(8,2)</f>
        <v>8</v>
      </c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7">
        <f>ROUND(24,2)</f>
        <v>24</v>
      </c>
      <c r="BC350" s="7">
        <f>ROUND(56,2)</f>
        <v>56</v>
      </c>
      <c r="BD350" s="7">
        <f>ROUND(10.92,2)</f>
        <v>10.92</v>
      </c>
      <c r="BE350" s="7">
        <f>ROUND(5.33,2)</f>
        <v>5.33</v>
      </c>
      <c r="BF350" s="7">
        <f>ROUND(8,2)</f>
        <v>8</v>
      </c>
      <c r="BG350" s="7">
        <f>ROUND(24,2)</f>
        <v>24</v>
      </c>
      <c r="BH350" s="7">
        <f>ROUND(8,2)</f>
        <v>8</v>
      </c>
      <c r="BI350" s="6"/>
      <c r="BJ350" s="7">
        <f>ROUND(56,2)</f>
        <v>56</v>
      </c>
      <c r="BK350" s="6"/>
      <c r="BL350" s="6"/>
      <c r="BM350" s="7">
        <f>ROUND(64,2)</f>
        <v>64</v>
      </c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7">
        <f>ROUND(8,2)</f>
        <v>8</v>
      </c>
      <c r="CB350" s="7">
        <f>ROUND(2226.3,2)</f>
        <v>2226.3000000000002</v>
      </c>
      <c r="CC350" s="6"/>
      <c r="CD350" s="6"/>
      <c r="CE350" s="6"/>
      <c r="CF350" s="6"/>
      <c r="CG350" s="7">
        <f>ROUND(2979.68,2)</f>
        <v>2979.68</v>
      </c>
      <c r="CH350" s="6"/>
      <c r="CI350" s="6"/>
      <c r="CJ350" s="7">
        <f>ROUND(400.039999999999,2)</f>
        <v>400.04</v>
      </c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7">
        <f>ROUND(40558.53,2)</f>
        <v>40558.53</v>
      </c>
      <c r="CX350" s="7">
        <f>ROUND(5712.72,2)</f>
        <v>5712.72</v>
      </c>
      <c r="CY350" s="6"/>
      <c r="CZ350" s="6"/>
      <c r="DA350" s="6"/>
      <c r="DB350" s="6"/>
      <c r="DC350" s="7">
        <f>ROUND(2285.28,2)</f>
        <v>2285.2800000000002</v>
      </c>
      <c r="DD350" s="6"/>
      <c r="DE350" s="7">
        <f>ROUND(5111.51999999999,2)</f>
        <v>5111.5200000000004</v>
      </c>
      <c r="DF350" s="6"/>
      <c r="DG350" s="6"/>
      <c r="DH350" s="6"/>
      <c r="DI350" s="7">
        <f>ROUND(222.24,2)</f>
        <v>222.24</v>
      </c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  <c r="DV350" s="6"/>
      <c r="DW350" s="6"/>
      <c r="DX350" s="6"/>
      <c r="DY350" s="6"/>
      <c r="DZ350" s="6"/>
      <c r="EA350" s="6"/>
      <c r="EB350" s="6"/>
      <c r="EC350" s="7">
        <f>ROUND(222.24,2)</f>
        <v>222.24</v>
      </c>
      <c r="ED350" s="6"/>
      <c r="EE350" s="7">
        <f>ROUND(150,2)</f>
        <v>150</v>
      </c>
      <c r="EF350" s="6"/>
      <c r="EG350" s="6"/>
      <c r="EH350" s="6"/>
      <c r="EI350" s="6"/>
      <c r="EJ350" s="6"/>
      <c r="EK350" s="6"/>
      <c r="EL350" s="6"/>
      <c r="EM350" s="6"/>
      <c r="EN350" s="6"/>
      <c r="EO350" s="6"/>
      <c r="EP350" s="6"/>
      <c r="EQ350" s="7">
        <f>ROUND(1250,2)</f>
        <v>1250</v>
      </c>
      <c r="ER350" s="6"/>
      <c r="ES350" s="6"/>
      <c r="ET350" s="6"/>
      <c r="EU350" s="7">
        <f>ROUND(243.2,2)</f>
        <v>243.2</v>
      </c>
      <c r="EV350" s="7">
        <f>ROUND(59135.45,2)</f>
        <v>59135.45</v>
      </c>
    </row>
    <row r="351" spans="1:152">
      <c r="A351" s="4" t="s">
        <v>842</v>
      </c>
      <c r="B351" s="4" t="s">
        <v>1058</v>
      </c>
      <c r="C351" s="5" t="s">
        <v>152</v>
      </c>
      <c r="D351" s="5" t="s">
        <v>270</v>
      </c>
      <c r="E351" s="5" t="s">
        <v>0</v>
      </c>
      <c r="F351" s="5" t="s">
        <v>0</v>
      </c>
      <c r="G351" s="5" t="s">
        <v>155</v>
      </c>
      <c r="H351" s="10">
        <v>28.88</v>
      </c>
      <c r="I351" s="6"/>
      <c r="J351" s="6"/>
      <c r="K351" s="6"/>
      <c r="L351" s="6"/>
      <c r="M351" s="7">
        <f>ROUND(1119.52,2)</f>
        <v>1119.52</v>
      </c>
      <c r="N351" s="6"/>
      <c r="O351" s="6"/>
      <c r="P351" s="7">
        <f>ROUND(182.579999999999,2)</f>
        <v>182.58</v>
      </c>
      <c r="Q351" s="6"/>
      <c r="R351" s="6"/>
      <c r="S351" s="6"/>
      <c r="T351" s="6"/>
      <c r="U351" s="7">
        <f>ROUND(48.16,2)</f>
        <v>48.16</v>
      </c>
      <c r="V351" s="7">
        <f>ROUND(8.28,2)</f>
        <v>8.2799999999999994</v>
      </c>
      <c r="W351" s="7">
        <f>ROUND(11.91,2)</f>
        <v>11.91</v>
      </c>
      <c r="X351" s="7">
        <f>ROUND(0.33,2)</f>
        <v>0.33</v>
      </c>
      <c r="Y351" s="6"/>
      <c r="Z351" s="7">
        <f>ROUND(0.25,2)</f>
        <v>0.25</v>
      </c>
      <c r="AA351" s="6"/>
      <c r="AB351" s="6"/>
      <c r="AC351" s="7">
        <f>ROUND(137.43,2)</f>
        <v>137.43</v>
      </c>
      <c r="AD351" s="6"/>
      <c r="AE351" s="6"/>
      <c r="AF351" s="7">
        <f>ROUND(541.17,2)</f>
        <v>541.16999999999996</v>
      </c>
      <c r="AG351" s="7">
        <f>ROUND(77.4299999999999,2)</f>
        <v>77.430000000000007</v>
      </c>
      <c r="AH351" s="7">
        <f>ROUND(80,2)</f>
        <v>80</v>
      </c>
      <c r="AI351" s="6"/>
      <c r="AJ351" s="7">
        <f>ROUND(40,2)</f>
        <v>40</v>
      </c>
      <c r="AK351" s="6"/>
      <c r="AL351" s="7">
        <f>ROUND(8,2)</f>
        <v>8</v>
      </c>
      <c r="AM351" s="6"/>
      <c r="AN351" s="6"/>
      <c r="AO351" s="6"/>
      <c r="AP351" s="6"/>
      <c r="AQ351" s="6"/>
      <c r="AR351" s="7">
        <f>ROUND(4,2)</f>
        <v>4</v>
      </c>
      <c r="AS351" s="6"/>
      <c r="AT351" s="6"/>
      <c r="AU351" s="6"/>
      <c r="AV351" s="7">
        <f>ROUND(0.67,2)</f>
        <v>0.67</v>
      </c>
      <c r="AW351" s="7">
        <f>ROUND(2.25,2)</f>
        <v>2.25</v>
      </c>
      <c r="AX351" s="7">
        <f>ROUND(3,2)</f>
        <v>3</v>
      </c>
      <c r="AY351" s="7">
        <f>ROUND(7.2,2)</f>
        <v>7.2</v>
      </c>
      <c r="AZ351" s="6"/>
      <c r="BA351" s="6"/>
      <c r="BB351" s="7">
        <f>ROUND(24,2)</f>
        <v>24</v>
      </c>
      <c r="BC351" s="7">
        <f>ROUND(8,2)</f>
        <v>8</v>
      </c>
      <c r="BD351" s="7">
        <f>ROUND(1.5,2)</f>
        <v>1.5</v>
      </c>
      <c r="BE351" s="7">
        <f>ROUND(8,2)</f>
        <v>8</v>
      </c>
      <c r="BF351" s="6"/>
      <c r="BG351" s="6"/>
      <c r="BH351" s="6"/>
      <c r="BI351" s="6"/>
      <c r="BJ351" s="7">
        <f>ROUND(72,2)</f>
        <v>72</v>
      </c>
      <c r="BK351" s="6"/>
      <c r="BL351" s="6"/>
      <c r="BM351" s="7">
        <f>ROUND(30,2)</f>
        <v>30</v>
      </c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7">
        <f>ROUND(2415.68,2)</f>
        <v>2415.6799999999998</v>
      </c>
      <c r="CC351" s="6"/>
      <c r="CD351" s="6"/>
      <c r="CE351" s="6"/>
      <c r="CF351" s="6"/>
      <c r="CG351" s="7">
        <f>ROUND(25094.43,2)</f>
        <v>25094.43</v>
      </c>
      <c r="CH351" s="6"/>
      <c r="CI351" s="6"/>
      <c r="CJ351" s="7">
        <f>ROUND(6025.56,2)</f>
        <v>6025.56</v>
      </c>
      <c r="CK351" s="6"/>
      <c r="CL351" s="6"/>
      <c r="CM351" s="6"/>
      <c r="CN351" s="6"/>
      <c r="CO351" s="7">
        <f>ROUND(1008.7,2)</f>
        <v>1008.7</v>
      </c>
      <c r="CP351" s="7">
        <f>ROUND(258.77,2)</f>
        <v>258.77</v>
      </c>
      <c r="CQ351" s="7">
        <f>ROUND(249.08,2)</f>
        <v>249.08</v>
      </c>
      <c r="CR351" s="7">
        <f>ROUND(10.39,2)</f>
        <v>10.39</v>
      </c>
      <c r="CS351" s="6"/>
      <c r="CT351" s="7">
        <f>ROUND(10.42,2)</f>
        <v>10.42</v>
      </c>
      <c r="CU351" s="6"/>
      <c r="CV351" s="6"/>
      <c r="CW351" s="7">
        <f>ROUND(2865,2)</f>
        <v>2865</v>
      </c>
      <c r="CX351" s="6"/>
      <c r="CY351" s="6"/>
      <c r="CZ351" s="6"/>
      <c r="DA351" s="7">
        <f>ROUND(11318.8699999999,2)</f>
        <v>11318.87</v>
      </c>
      <c r="DB351" s="7">
        <f>ROUND(2424.93999999999,2)</f>
        <v>2424.94</v>
      </c>
      <c r="DC351" s="7">
        <f>ROUND(1771.2,2)</f>
        <v>1771.2</v>
      </c>
      <c r="DD351" s="6"/>
      <c r="DE351" s="7">
        <f>ROUND(833.4,2)</f>
        <v>833.4</v>
      </c>
      <c r="DF351" s="6"/>
      <c r="DG351" s="6"/>
      <c r="DH351" s="6"/>
      <c r="DI351" s="7">
        <f>ROUND(166.68,2)</f>
        <v>166.68</v>
      </c>
      <c r="DJ351" s="6"/>
      <c r="DK351" s="6"/>
      <c r="DL351" s="6"/>
      <c r="DM351" s="6"/>
      <c r="DN351" s="6"/>
      <c r="DO351" s="6"/>
      <c r="DP351" s="7">
        <f>ROUND(83.64,2)</f>
        <v>83.64</v>
      </c>
      <c r="DQ351" s="6"/>
      <c r="DR351" s="6"/>
      <c r="DS351" s="6"/>
      <c r="DT351" s="6"/>
      <c r="DU351" s="6"/>
      <c r="DV351" s="6"/>
      <c r="DW351" s="7">
        <f>ROUND(13.96,2)</f>
        <v>13.96</v>
      </c>
      <c r="DX351" s="7">
        <f>ROUND(70.32,2)</f>
        <v>70.319999999999993</v>
      </c>
      <c r="DY351" s="7">
        <f>ROUND(62.51,2)</f>
        <v>62.51</v>
      </c>
      <c r="DZ351" s="7">
        <f>ROUND(225.02,2)</f>
        <v>225.02</v>
      </c>
      <c r="EA351" s="6"/>
      <c r="EB351" s="6"/>
      <c r="EC351" s="6"/>
      <c r="ED351" s="6"/>
      <c r="EE351" s="7">
        <f>ROUND(1525,2)</f>
        <v>1525</v>
      </c>
      <c r="EF351" s="6"/>
      <c r="EG351" s="6"/>
      <c r="EH351" s="6"/>
      <c r="EI351" s="6"/>
      <c r="EJ351" s="6"/>
      <c r="EK351" s="6"/>
      <c r="EL351" s="6"/>
      <c r="EM351" s="6"/>
      <c r="EN351" s="6"/>
      <c r="EO351" s="6"/>
      <c r="EP351" s="6"/>
      <c r="EQ351" s="7">
        <f>ROUND(1500,2)</f>
        <v>1500</v>
      </c>
      <c r="ER351" s="6"/>
      <c r="ES351" s="6"/>
      <c r="ET351" s="6"/>
      <c r="EU351" s="6"/>
      <c r="EV351" s="7">
        <f>ROUND(55517.89,2)</f>
        <v>55517.89</v>
      </c>
    </row>
    <row r="352" spans="1:152">
      <c r="A352" s="4" t="s">
        <v>843</v>
      </c>
      <c r="B352" s="4" t="s">
        <v>1058</v>
      </c>
      <c r="C352" s="5" t="s">
        <v>152</v>
      </c>
      <c r="D352" s="5" t="s">
        <v>319</v>
      </c>
      <c r="E352" s="5" t="s">
        <v>0</v>
      </c>
      <c r="F352" s="5" t="s">
        <v>0</v>
      </c>
      <c r="G352" s="5" t="s">
        <v>155</v>
      </c>
      <c r="H352" s="10">
        <v>25.84</v>
      </c>
      <c r="I352" s="6"/>
      <c r="J352" s="6"/>
      <c r="K352" s="6"/>
      <c r="L352" s="6"/>
      <c r="M352" s="7">
        <f>ROUND(318.75,2)</f>
        <v>318.75</v>
      </c>
      <c r="N352" s="6"/>
      <c r="O352" s="6"/>
      <c r="P352" s="7">
        <f>ROUND(11.24,2)</f>
        <v>11.24</v>
      </c>
      <c r="Q352" s="6"/>
      <c r="R352" s="6"/>
      <c r="S352" s="6"/>
      <c r="T352" s="6"/>
      <c r="U352" s="6"/>
      <c r="V352" s="6"/>
      <c r="W352" s="7">
        <f>ROUND(2.55,2)</f>
        <v>2.5499999999999998</v>
      </c>
      <c r="X352" s="7">
        <f>ROUND(0.5,2)</f>
        <v>0.5</v>
      </c>
      <c r="Y352" s="6"/>
      <c r="Z352" s="6"/>
      <c r="AA352" s="6"/>
      <c r="AB352" s="6"/>
      <c r="AC352" s="7">
        <f>ROUND(5.98,2)</f>
        <v>5.98</v>
      </c>
      <c r="AD352" s="7">
        <f>ROUND(2.77,2)</f>
        <v>2.77</v>
      </c>
      <c r="AE352" s="6"/>
      <c r="AF352" s="7">
        <f>ROUND(54.59,2)</f>
        <v>54.59</v>
      </c>
      <c r="AG352" s="7">
        <f>ROUND(13.41,2)</f>
        <v>13.41</v>
      </c>
      <c r="AH352" s="7">
        <f>ROUND(21,2)</f>
        <v>21</v>
      </c>
      <c r="AI352" s="6"/>
      <c r="AJ352" s="6"/>
      <c r="AK352" s="6"/>
      <c r="AL352" s="7">
        <f>ROUND(199,2)</f>
        <v>199</v>
      </c>
      <c r="AM352" s="6"/>
      <c r="AN352" s="7">
        <f>ROUND(11.6499999999999,2)</f>
        <v>11.65</v>
      </c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7">
        <f>ROUND(0.44,2)</f>
        <v>0.44</v>
      </c>
      <c r="BE352" s="7">
        <f>ROUND(154,2)</f>
        <v>154</v>
      </c>
      <c r="BF352" s="6"/>
      <c r="BG352" s="6"/>
      <c r="BH352" s="6"/>
      <c r="BI352" s="6"/>
      <c r="BJ352" s="6"/>
      <c r="BK352" s="6"/>
      <c r="BL352" s="6"/>
      <c r="BM352" s="7">
        <f>ROUND(8,2)</f>
        <v>8</v>
      </c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7">
        <f>ROUND(803.879999999999,2)</f>
        <v>803.88</v>
      </c>
      <c r="CC352" s="6"/>
      <c r="CD352" s="6"/>
      <c r="CE352" s="6"/>
      <c r="CF352" s="6"/>
      <c r="CG352" s="7">
        <f>ROUND(7126.16,2)</f>
        <v>7126.16</v>
      </c>
      <c r="CH352" s="6"/>
      <c r="CI352" s="6"/>
      <c r="CJ352" s="7">
        <f>ROUND(411.44,2)</f>
        <v>411.44</v>
      </c>
      <c r="CK352" s="6"/>
      <c r="CL352" s="6"/>
      <c r="CM352" s="6"/>
      <c r="CN352" s="6"/>
      <c r="CO352" s="6"/>
      <c r="CP352" s="6"/>
      <c r="CQ352" s="7">
        <f>ROUND(55.2,2)</f>
        <v>55.2</v>
      </c>
      <c r="CR352" s="7">
        <f>ROUND(18.24,2)</f>
        <v>18.239999999999998</v>
      </c>
      <c r="CS352" s="6"/>
      <c r="CT352" s="6"/>
      <c r="CU352" s="6"/>
      <c r="CV352" s="6"/>
      <c r="CW352" s="7">
        <f>ROUND(145.66,2)</f>
        <v>145.66</v>
      </c>
      <c r="CX352" s="7">
        <f>ROUND(101.67,2)</f>
        <v>101.67</v>
      </c>
      <c r="CY352" s="6"/>
      <c r="CZ352" s="6"/>
      <c r="DA352" s="7">
        <f>ROUND(1334.21,2)</f>
        <v>1334.21</v>
      </c>
      <c r="DB352" s="7">
        <f>ROUND(489.84,2)</f>
        <v>489.84</v>
      </c>
      <c r="DC352" s="7">
        <f>ROUND(493.3,2)</f>
        <v>493.3</v>
      </c>
      <c r="DD352" s="6"/>
      <c r="DE352" s="6"/>
      <c r="DF352" s="6"/>
      <c r="DG352" s="6"/>
      <c r="DH352" s="6"/>
      <c r="DI352" s="7">
        <f>ROUND(3482.5,2)</f>
        <v>3482.5</v>
      </c>
      <c r="DJ352" s="6"/>
      <c r="DK352" s="7">
        <f>ROUND(305.82,2)</f>
        <v>305.82</v>
      </c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6"/>
      <c r="EM352" s="6"/>
      <c r="EN352" s="6"/>
      <c r="EO352" s="6"/>
      <c r="EP352" s="6"/>
      <c r="EQ352" s="7">
        <f>ROUND(70.72,2)</f>
        <v>70.72</v>
      </c>
      <c r="ER352" s="6"/>
      <c r="ES352" s="6"/>
      <c r="ET352" s="6"/>
      <c r="EU352" s="6"/>
      <c r="EV352" s="7">
        <f>ROUND(14034.76,2)</f>
        <v>14034.76</v>
      </c>
    </row>
    <row r="353" spans="1:152">
      <c r="A353" s="4" t="s">
        <v>844</v>
      </c>
      <c r="B353" s="4" t="s">
        <v>1058</v>
      </c>
      <c r="C353" s="5" t="s">
        <v>152</v>
      </c>
      <c r="D353" s="5" t="s">
        <v>173</v>
      </c>
      <c r="E353" s="5" t="s">
        <v>0</v>
      </c>
      <c r="F353" s="5" t="s">
        <v>0</v>
      </c>
      <c r="G353" s="5" t="s">
        <v>155</v>
      </c>
      <c r="H353" s="10">
        <v>24.32</v>
      </c>
      <c r="I353" s="6"/>
      <c r="J353" s="6"/>
      <c r="K353" s="6"/>
      <c r="L353" s="6"/>
      <c r="M353" s="7">
        <f>ROUND(246.95,2)</f>
        <v>246.95</v>
      </c>
      <c r="N353" s="6"/>
      <c r="O353" s="6"/>
      <c r="P353" s="6"/>
      <c r="Q353" s="6"/>
      <c r="R353" s="6"/>
      <c r="S353" s="6"/>
      <c r="T353" s="6"/>
      <c r="U353" s="6"/>
      <c r="V353" s="6"/>
      <c r="W353" s="7">
        <f>ROUND(0.5,2)</f>
        <v>0.5</v>
      </c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7">
        <f>ROUND(10,2)</f>
        <v>10</v>
      </c>
      <c r="AI353" s="6"/>
      <c r="AJ353" s="6"/>
      <c r="AK353" s="6"/>
      <c r="AL353" s="7">
        <f>ROUND(238.39,2)</f>
        <v>238.39</v>
      </c>
      <c r="AM353" s="6"/>
      <c r="AN353" s="7">
        <f>ROUND(27.67,2)</f>
        <v>27.67</v>
      </c>
      <c r="AO353" s="6"/>
      <c r="AP353" s="6"/>
      <c r="AQ353" s="6"/>
      <c r="AR353" s="6"/>
      <c r="AS353" s="6"/>
      <c r="AT353" s="6"/>
      <c r="AU353" s="6"/>
      <c r="AV353" s="6"/>
      <c r="AW353" s="6"/>
      <c r="AX353" s="7">
        <f>ROUND(4.75,2)</f>
        <v>4.75</v>
      </c>
      <c r="AY353" s="6"/>
      <c r="AZ353" s="6"/>
      <c r="BA353" s="6"/>
      <c r="BB353" s="6"/>
      <c r="BC353" s="6"/>
      <c r="BD353" s="7">
        <f>ROUND(0.03,2)</f>
        <v>0.03</v>
      </c>
      <c r="BE353" s="7">
        <f>ROUND(5,2)</f>
        <v>5</v>
      </c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7">
        <f>ROUND(24,2)</f>
        <v>24</v>
      </c>
      <c r="CB353" s="7">
        <f>ROUND(557.29,2)</f>
        <v>557.29</v>
      </c>
      <c r="CC353" s="6"/>
      <c r="CD353" s="6"/>
      <c r="CE353" s="6"/>
      <c r="CF353" s="6"/>
      <c r="CG353" s="7">
        <f>ROUND(5329.57,2)</f>
        <v>5329.57</v>
      </c>
      <c r="CH353" s="6"/>
      <c r="CI353" s="6"/>
      <c r="CJ353" s="6"/>
      <c r="CK353" s="6"/>
      <c r="CL353" s="6"/>
      <c r="CM353" s="6"/>
      <c r="CN353" s="6"/>
      <c r="CO353" s="6"/>
      <c r="CP353" s="6"/>
      <c r="CQ353" s="7">
        <f>ROUND(8.75,2)</f>
        <v>8.75</v>
      </c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7">
        <f>ROUND(225.78,2)</f>
        <v>225.78</v>
      </c>
      <c r="DD353" s="6"/>
      <c r="DE353" s="6"/>
      <c r="DF353" s="6"/>
      <c r="DG353" s="6"/>
      <c r="DH353" s="6"/>
      <c r="DI353" s="7">
        <f>ROUND(4171.84,2)</f>
        <v>4171.84</v>
      </c>
      <c r="DJ353" s="6"/>
      <c r="DK353" s="7">
        <f>ROUND(726.339999999999,2)</f>
        <v>726.34</v>
      </c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7">
        <f>ROUND(115.52,2)</f>
        <v>115.52</v>
      </c>
      <c r="DZ353" s="6"/>
      <c r="EA353" s="6"/>
      <c r="EB353" s="6"/>
      <c r="EC353" s="6"/>
      <c r="ED353" s="6"/>
      <c r="EE353" s="6"/>
      <c r="EF353" s="6"/>
      <c r="EG353" s="6"/>
      <c r="EH353" s="6"/>
      <c r="EI353" s="6"/>
      <c r="EJ353" s="6"/>
      <c r="EK353" s="6"/>
      <c r="EL353" s="6"/>
      <c r="EM353" s="6"/>
      <c r="EN353" s="6"/>
      <c r="EO353" s="6"/>
      <c r="EP353" s="6"/>
      <c r="EQ353" s="7">
        <f>ROUND(196.8,2)</f>
        <v>196.8</v>
      </c>
      <c r="ER353" s="6"/>
      <c r="ES353" s="6"/>
      <c r="ET353" s="6"/>
      <c r="EU353" s="7">
        <f>ROUND(583.68,2)</f>
        <v>583.67999999999995</v>
      </c>
      <c r="EV353" s="7">
        <f>ROUND(11358.28,2)</f>
        <v>11358.28</v>
      </c>
    </row>
    <row r="354" spans="1:152">
      <c r="A354" s="4" t="s">
        <v>845</v>
      </c>
      <c r="B354" s="4" t="s">
        <v>1058</v>
      </c>
      <c r="C354" s="5" t="s">
        <v>152</v>
      </c>
      <c r="D354" s="5" t="s">
        <v>574</v>
      </c>
      <c r="E354" s="5" t="s">
        <v>234</v>
      </c>
      <c r="F354" s="5" t="s">
        <v>0</v>
      </c>
      <c r="G354" s="5" t="s">
        <v>155</v>
      </c>
      <c r="H354" s="10">
        <v>25.83</v>
      </c>
      <c r="I354" s="6"/>
      <c r="J354" s="6"/>
      <c r="K354" s="6"/>
      <c r="L354" s="6"/>
      <c r="M354" s="7">
        <f>ROUND(5.25,2)</f>
        <v>5.25</v>
      </c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7">
        <f>ROUND(26.75,2)</f>
        <v>26.75</v>
      </c>
      <c r="AG354" s="6"/>
      <c r="AH354" s="7">
        <f>ROUND(8,2)</f>
        <v>8</v>
      </c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  <c r="BA354" s="6"/>
      <c r="BB354" s="6"/>
      <c r="BC354" s="6"/>
      <c r="BD354" s="6"/>
      <c r="BE354" s="7">
        <f>ROUND(8,2)</f>
        <v>8</v>
      </c>
      <c r="BF354" s="6"/>
      <c r="BG354" s="6"/>
      <c r="BH354" s="6"/>
      <c r="BI354" s="6"/>
      <c r="BJ354" s="6"/>
      <c r="BK354" s="6"/>
      <c r="BL354" s="6"/>
      <c r="BM354" s="6"/>
      <c r="BN354" s="6"/>
      <c r="BO354" s="6"/>
      <c r="BP354" s="6"/>
      <c r="BQ354" s="6"/>
      <c r="BR354" s="6"/>
      <c r="BS354" s="6"/>
      <c r="BT354" s="6"/>
      <c r="BU354" s="6"/>
      <c r="BV354" s="6"/>
      <c r="BW354" s="6"/>
      <c r="BX354" s="6"/>
      <c r="BY354" s="6"/>
      <c r="BZ354" s="6"/>
      <c r="CA354" s="6"/>
      <c r="CB354" s="7">
        <f>ROUND(48,2)</f>
        <v>48</v>
      </c>
      <c r="CC354" s="6"/>
      <c r="CD354" s="6"/>
      <c r="CE354" s="6"/>
      <c r="CF354" s="6"/>
      <c r="CG354" s="7">
        <f>ROUND(135.63,2)</f>
        <v>135.63</v>
      </c>
      <c r="CH354" s="6"/>
      <c r="CI354" s="6"/>
      <c r="CJ354" s="6"/>
      <c r="CK354" s="6"/>
      <c r="CL354" s="6"/>
      <c r="CM354" s="6"/>
      <c r="CN354" s="6"/>
      <c r="CO354" s="6"/>
      <c r="CP354" s="6"/>
      <c r="CQ354" s="6"/>
      <c r="CR354" s="6"/>
      <c r="CS354" s="6"/>
      <c r="CT354" s="6"/>
      <c r="CU354" s="6"/>
      <c r="CV354" s="6"/>
      <c r="CW354" s="6"/>
      <c r="CX354" s="6"/>
      <c r="CY354" s="6"/>
      <c r="CZ354" s="6"/>
      <c r="DA354" s="7">
        <f>ROUND(691.06,2)</f>
        <v>691.06</v>
      </c>
      <c r="DB354" s="6"/>
      <c r="DC354" s="7">
        <f>ROUND(206.67,2)</f>
        <v>206.67</v>
      </c>
      <c r="DD354" s="6"/>
      <c r="DE354" s="6"/>
      <c r="DF354" s="6"/>
      <c r="DG354" s="6"/>
      <c r="DH354" s="6"/>
      <c r="DI354" s="6"/>
      <c r="DJ354" s="6"/>
      <c r="DK354" s="6"/>
      <c r="DL354" s="6"/>
      <c r="DM354" s="6"/>
      <c r="DN354" s="6"/>
      <c r="DO354" s="6"/>
      <c r="DP354" s="6"/>
      <c r="DQ354" s="6"/>
      <c r="DR354" s="6"/>
      <c r="DS354" s="6"/>
      <c r="DT354" s="6"/>
      <c r="DU354" s="6"/>
      <c r="DV354" s="6"/>
      <c r="DW354" s="6"/>
      <c r="DX354" s="6"/>
      <c r="DY354" s="6"/>
      <c r="DZ354" s="6"/>
      <c r="EA354" s="6"/>
      <c r="EB354" s="6"/>
      <c r="EC354" s="6"/>
      <c r="ED354" s="6"/>
      <c r="EE354" s="6"/>
      <c r="EF354" s="6"/>
      <c r="EG354" s="6"/>
      <c r="EH354" s="6"/>
      <c r="EI354" s="6"/>
      <c r="EJ354" s="6"/>
      <c r="EK354" s="6"/>
      <c r="EL354" s="6"/>
      <c r="EM354" s="6"/>
      <c r="EN354" s="6"/>
      <c r="EO354" s="6"/>
      <c r="EP354" s="6"/>
      <c r="EQ354" s="6"/>
      <c r="ER354" s="6"/>
      <c r="ES354" s="6"/>
      <c r="ET354" s="6"/>
      <c r="EU354" s="6"/>
      <c r="EV354" s="7">
        <f>ROUND(1033.36,2)</f>
        <v>1033.3599999999999</v>
      </c>
    </row>
    <row r="355" spans="1:152">
      <c r="A355" s="4" t="s">
        <v>846</v>
      </c>
      <c r="B355" s="4" t="s">
        <v>1058</v>
      </c>
      <c r="C355" s="5" t="s">
        <v>152</v>
      </c>
      <c r="D355" s="5" t="s">
        <v>424</v>
      </c>
      <c r="E355" s="5" t="s">
        <v>0</v>
      </c>
      <c r="F355" s="5" t="s">
        <v>0</v>
      </c>
      <c r="G355" s="5" t="s">
        <v>155</v>
      </c>
      <c r="H355" s="10">
        <v>30.4</v>
      </c>
      <c r="I355" s="6"/>
      <c r="J355" s="6"/>
      <c r="K355" s="6"/>
      <c r="L355" s="6"/>
      <c r="M355" s="7">
        <f>ROUND(1438.85,2)</f>
        <v>1438.85</v>
      </c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7">
        <f>ROUND(6,2)</f>
        <v>6</v>
      </c>
      <c r="AG355" s="6"/>
      <c r="AH355" s="7">
        <f>ROUND(40,2)</f>
        <v>40</v>
      </c>
      <c r="AI355" s="6"/>
      <c r="AJ355" s="7">
        <f>ROUND(20,2)</f>
        <v>20</v>
      </c>
      <c r="AK355" s="6"/>
      <c r="AL355" s="7">
        <f>ROUND(8.5,2)</f>
        <v>8.5</v>
      </c>
      <c r="AM355" s="7">
        <f>ROUND(0.17,2)</f>
        <v>0.17</v>
      </c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  <c r="BA355" s="6"/>
      <c r="BB355" s="7">
        <f>ROUND(15,2)</f>
        <v>15</v>
      </c>
      <c r="BC355" s="6"/>
      <c r="BD355" s="7">
        <f>ROUND(0.45,2)</f>
        <v>0.45</v>
      </c>
      <c r="BE355" s="6"/>
      <c r="BF355" s="6"/>
      <c r="BG355" s="6"/>
      <c r="BH355" s="6"/>
      <c r="BI355" s="6"/>
      <c r="BJ355" s="6"/>
      <c r="BK355" s="6"/>
      <c r="BL355" s="6"/>
      <c r="BM355" s="7">
        <f>ROUND(5,2)</f>
        <v>5</v>
      </c>
      <c r="BN355" s="6"/>
      <c r="BO355" s="6"/>
      <c r="BP355" s="6"/>
      <c r="BQ355" s="6"/>
      <c r="BR355" s="6"/>
      <c r="BS355" s="6"/>
      <c r="BT355" s="6"/>
      <c r="BU355" s="6"/>
      <c r="BV355" s="6"/>
      <c r="BW355" s="6"/>
      <c r="BX355" s="6"/>
      <c r="BY355" s="6"/>
      <c r="BZ355" s="6"/>
      <c r="CA355" s="7">
        <f>ROUND(30,2)</f>
        <v>30</v>
      </c>
      <c r="CB355" s="7">
        <f>ROUND(1563.97,2)</f>
        <v>1563.97</v>
      </c>
      <c r="CC355" s="6"/>
      <c r="CD355" s="6"/>
      <c r="CE355" s="6"/>
      <c r="CF355" s="6"/>
      <c r="CG355" s="7">
        <f>ROUND(37025.8899999998,2)</f>
        <v>37025.89</v>
      </c>
      <c r="CH355" s="6"/>
      <c r="CI355" s="6"/>
      <c r="CJ355" s="6"/>
      <c r="CK355" s="6"/>
      <c r="CL355" s="6"/>
      <c r="CM355" s="6"/>
      <c r="CN355" s="6"/>
      <c r="CO355" s="6"/>
      <c r="CP355" s="6"/>
      <c r="CQ355" s="6"/>
      <c r="CR355" s="6"/>
      <c r="CS355" s="6"/>
      <c r="CT355" s="6"/>
      <c r="CU355" s="6"/>
      <c r="CV355" s="6"/>
      <c r="CW355" s="6"/>
      <c r="CX355" s="6"/>
      <c r="CY355" s="6"/>
      <c r="CZ355" s="6"/>
      <c r="DA355" s="7">
        <f>ROUND(150.01,2)</f>
        <v>150.01</v>
      </c>
      <c r="DB355" s="6"/>
      <c r="DC355" s="7">
        <f>ROUND(1081.05,2)</f>
        <v>1081.05</v>
      </c>
      <c r="DD355" s="6"/>
      <c r="DE355" s="7">
        <f>ROUND(500.02,2)</f>
        <v>500.02</v>
      </c>
      <c r="DF355" s="6"/>
      <c r="DG355" s="6"/>
      <c r="DH355" s="6"/>
      <c r="DI355" s="7">
        <f>ROUND(212.51,2)</f>
        <v>212.51</v>
      </c>
      <c r="DJ355" s="7">
        <f>ROUND(4.25,2)</f>
        <v>4.25</v>
      </c>
      <c r="DK355" s="6"/>
      <c r="DL355" s="6"/>
      <c r="DM355" s="6"/>
      <c r="DN355" s="6"/>
      <c r="DO355" s="6"/>
      <c r="DP355" s="6"/>
      <c r="DQ355" s="6"/>
      <c r="DR355" s="6"/>
      <c r="DS355" s="6"/>
      <c r="DT355" s="6"/>
      <c r="DU355" s="6"/>
      <c r="DV355" s="6"/>
      <c r="DW355" s="6"/>
      <c r="DX355" s="6"/>
      <c r="DY355" s="6"/>
      <c r="DZ355" s="6"/>
      <c r="EA355" s="6"/>
      <c r="EB355" s="6"/>
      <c r="EC355" s="6"/>
      <c r="ED355" s="6"/>
      <c r="EE355" s="7">
        <f>ROUND(775,2)</f>
        <v>775</v>
      </c>
      <c r="EF355" s="6"/>
      <c r="EG355" s="6"/>
      <c r="EH355" s="6"/>
      <c r="EI355" s="6"/>
      <c r="EJ355" s="6"/>
      <c r="EK355" s="6"/>
      <c r="EL355" s="6"/>
      <c r="EM355" s="6"/>
      <c r="EN355" s="6"/>
      <c r="EO355" s="6"/>
      <c r="EP355" s="6"/>
      <c r="EQ355" s="7">
        <f>ROUND(625,2)</f>
        <v>625</v>
      </c>
      <c r="ER355" s="6"/>
      <c r="ES355" s="6"/>
      <c r="ET355" s="6"/>
      <c r="EU355" s="7">
        <f>ROUND(912,2)</f>
        <v>912</v>
      </c>
      <c r="EV355" s="7">
        <f>ROUND(41285.7299999999,2)</f>
        <v>41285.730000000003</v>
      </c>
    </row>
    <row r="356" spans="1:152">
      <c r="A356" s="4" t="s">
        <v>847</v>
      </c>
      <c r="B356" s="4" t="s">
        <v>1058</v>
      </c>
      <c r="C356" s="5" t="s">
        <v>152</v>
      </c>
      <c r="D356" s="5" t="s">
        <v>848</v>
      </c>
      <c r="E356" s="5" t="s">
        <v>0</v>
      </c>
      <c r="F356" s="5" t="s">
        <v>0</v>
      </c>
      <c r="G356" s="5" t="s">
        <v>155</v>
      </c>
      <c r="H356" s="10">
        <v>30.4</v>
      </c>
      <c r="I356" s="6"/>
      <c r="J356" s="6"/>
      <c r="K356" s="6"/>
      <c r="L356" s="6"/>
      <c r="M356" s="7">
        <f>ROUND(824.17,2)</f>
        <v>824.17</v>
      </c>
      <c r="N356" s="6"/>
      <c r="O356" s="6"/>
      <c r="P356" s="7">
        <f>ROUND(189.59,2)</f>
        <v>189.59</v>
      </c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7">
        <f>ROUND(894.189999999999,2)</f>
        <v>894.19</v>
      </c>
      <c r="AD356" s="7">
        <f>ROUND(4.33,2)</f>
        <v>4.33</v>
      </c>
      <c r="AE356" s="6"/>
      <c r="AF356" s="6"/>
      <c r="AG356" s="6"/>
      <c r="AH356" s="7">
        <f>ROUND(80,2)</f>
        <v>80</v>
      </c>
      <c r="AI356" s="6"/>
      <c r="AJ356" s="7">
        <f>ROUND(184,2)</f>
        <v>184</v>
      </c>
      <c r="AK356" s="6"/>
      <c r="AL356" s="7">
        <f>ROUND(8,2)</f>
        <v>8</v>
      </c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  <c r="BA356" s="6"/>
      <c r="BB356" s="7">
        <f>ROUND(24,2)</f>
        <v>24</v>
      </c>
      <c r="BC356" s="6"/>
      <c r="BD356" s="7">
        <f>ROUND(1.5,2)</f>
        <v>1.5</v>
      </c>
      <c r="BE356" s="7">
        <f>ROUND(45.35,2)</f>
        <v>45.35</v>
      </c>
      <c r="BF356" s="6"/>
      <c r="BG356" s="6"/>
      <c r="BH356" s="7">
        <f>ROUND(8,2)</f>
        <v>8</v>
      </c>
      <c r="BI356" s="6"/>
      <c r="BJ356" s="6"/>
      <c r="BK356" s="6"/>
      <c r="BL356" s="6"/>
      <c r="BM356" s="7">
        <f>ROUND(46,2)</f>
        <v>46</v>
      </c>
      <c r="BN356" s="6"/>
      <c r="BO356" s="6"/>
      <c r="BP356" s="6"/>
      <c r="BQ356" s="6"/>
      <c r="BR356" s="6"/>
      <c r="BS356" s="6"/>
      <c r="BT356" s="6"/>
      <c r="BU356" s="6"/>
      <c r="BV356" s="6"/>
      <c r="BW356" s="6"/>
      <c r="BX356" s="6"/>
      <c r="BY356" s="6"/>
      <c r="BZ356" s="6"/>
      <c r="CA356" s="6"/>
      <c r="CB356" s="7">
        <f>ROUND(2309.13,2)</f>
        <v>2309.13</v>
      </c>
      <c r="CC356" s="6"/>
      <c r="CD356" s="6"/>
      <c r="CE356" s="6"/>
      <c r="CF356" s="6"/>
      <c r="CG356" s="7">
        <f>ROUND(23563.09,2)</f>
        <v>23563.09</v>
      </c>
      <c r="CH356" s="6"/>
      <c r="CI356" s="6"/>
      <c r="CJ356" s="7">
        <f>ROUND(8175.97,2)</f>
        <v>8175.97</v>
      </c>
      <c r="CK356" s="6"/>
      <c r="CL356" s="6"/>
      <c r="CM356" s="6"/>
      <c r="CN356" s="6"/>
      <c r="CO356" s="6"/>
      <c r="CP356" s="6"/>
      <c r="CQ356" s="6"/>
      <c r="CR356" s="6"/>
      <c r="CS356" s="6"/>
      <c r="CT356" s="6"/>
      <c r="CU356" s="6"/>
      <c r="CV356" s="6"/>
      <c r="CW356" s="7">
        <f>ROUND(24840.61,2)</f>
        <v>24840.61</v>
      </c>
      <c r="CX356" s="7">
        <f>ROUND(180.42,2)</f>
        <v>180.42</v>
      </c>
      <c r="CY356" s="6"/>
      <c r="CZ356" s="6"/>
      <c r="DA356" s="6"/>
      <c r="DB356" s="6"/>
      <c r="DC356" s="7">
        <f>ROUND(2285.28,2)</f>
        <v>2285.2800000000002</v>
      </c>
      <c r="DD356" s="6"/>
      <c r="DE356" s="7">
        <f>ROUND(5111.51999999999,2)</f>
        <v>5111.5200000000004</v>
      </c>
      <c r="DF356" s="6"/>
      <c r="DG356" s="6"/>
      <c r="DH356" s="6"/>
      <c r="DI356" s="7">
        <f>ROUND(222.24,2)</f>
        <v>222.24</v>
      </c>
      <c r="DJ356" s="6"/>
      <c r="DK356" s="6"/>
      <c r="DL356" s="6"/>
      <c r="DM356" s="6"/>
      <c r="DN356" s="6"/>
      <c r="DO356" s="6"/>
      <c r="DP356" s="6"/>
      <c r="DQ356" s="6"/>
      <c r="DR356" s="6"/>
      <c r="DS356" s="6"/>
      <c r="DT356" s="6"/>
      <c r="DU356" s="6"/>
      <c r="DV356" s="6"/>
      <c r="DW356" s="6"/>
      <c r="DX356" s="6"/>
      <c r="DY356" s="6"/>
      <c r="DZ356" s="6"/>
      <c r="EA356" s="6"/>
      <c r="EB356" s="6"/>
      <c r="EC356" s="6"/>
      <c r="ED356" s="6"/>
      <c r="EE356" s="7">
        <f>ROUND(650,2)</f>
        <v>650</v>
      </c>
      <c r="EF356" s="6"/>
      <c r="EG356" s="6"/>
      <c r="EH356" s="6"/>
      <c r="EI356" s="6"/>
      <c r="EJ356" s="6"/>
      <c r="EK356" s="6"/>
      <c r="EL356" s="6"/>
      <c r="EM356" s="6"/>
      <c r="EN356" s="6"/>
      <c r="EO356" s="6"/>
      <c r="EP356" s="6"/>
      <c r="EQ356" s="7">
        <f>ROUND(1250,2)</f>
        <v>1250</v>
      </c>
      <c r="ER356" s="6"/>
      <c r="ES356" s="6"/>
      <c r="ET356" s="6"/>
      <c r="EU356" s="6"/>
      <c r="EV356" s="7">
        <f>ROUND(66279.1299999999,2)</f>
        <v>66279.13</v>
      </c>
    </row>
    <row r="357" spans="1:152">
      <c r="A357" s="4" t="s">
        <v>849</v>
      </c>
      <c r="B357" s="4" t="s">
        <v>1058</v>
      </c>
      <c r="C357" s="5" t="s">
        <v>211</v>
      </c>
      <c r="D357" s="5" t="s">
        <v>850</v>
      </c>
      <c r="E357" s="5" t="s">
        <v>0</v>
      </c>
      <c r="F357" s="5" t="s">
        <v>0</v>
      </c>
      <c r="G357" s="5" t="s">
        <v>218</v>
      </c>
      <c r="H357" s="10">
        <v>34</v>
      </c>
      <c r="I357" s="6"/>
      <c r="J357" s="6"/>
      <c r="K357" s="7">
        <f>ROUND(1832,2)</f>
        <v>1832</v>
      </c>
      <c r="L357" s="7">
        <f>ROUND(312.62,2)</f>
        <v>312.62</v>
      </c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7">
        <f>ROUND(88,2)</f>
        <v>88</v>
      </c>
      <c r="AI357" s="6"/>
      <c r="AJ357" s="7">
        <f>ROUND(120,2)</f>
        <v>120</v>
      </c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  <c r="BA357" s="6"/>
      <c r="BB357" s="7">
        <f>ROUND(24,2)</f>
        <v>24</v>
      </c>
      <c r="BC357" s="7">
        <f>ROUND(16,2)</f>
        <v>16</v>
      </c>
      <c r="BD357" s="6"/>
      <c r="BE357" s="6"/>
      <c r="BF357" s="6"/>
      <c r="BG357" s="6"/>
      <c r="BH357" s="6"/>
      <c r="BI357" s="6"/>
      <c r="BJ357" s="6"/>
      <c r="BK357" s="6"/>
      <c r="BL357" s="6"/>
      <c r="BM357" s="7">
        <f>ROUND(8,2)</f>
        <v>8</v>
      </c>
      <c r="BN357" s="6"/>
      <c r="BO357" s="6"/>
      <c r="BP357" s="6"/>
      <c r="BQ357" s="6"/>
      <c r="BR357" s="6"/>
      <c r="BS357" s="6"/>
      <c r="BT357" s="6"/>
      <c r="BU357" s="6"/>
      <c r="BV357" s="6"/>
      <c r="BW357" s="6"/>
      <c r="BX357" s="6"/>
      <c r="BY357" s="6"/>
      <c r="BZ357" s="6"/>
      <c r="CA357" s="6"/>
      <c r="CB357" s="7">
        <f>ROUND(2400.62,2)</f>
        <v>2400.62</v>
      </c>
      <c r="CC357" s="6"/>
      <c r="CD357" s="6"/>
      <c r="CE357" s="7">
        <f>ROUND(57287.6999999999,2)</f>
        <v>57287.7</v>
      </c>
      <c r="CF357" s="7">
        <f>ROUND(14515.49,2)</f>
        <v>14515.49</v>
      </c>
      <c r="CG357" s="6"/>
      <c r="CH357" s="6"/>
      <c r="CI357" s="6"/>
      <c r="CJ357" s="6"/>
      <c r="CK357" s="6"/>
      <c r="CL357" s="6"/>
      <c r="CM357" s="6"/>
      <c r="CN357" s="6"/>
      <c r="CO357" s="6"/>
      <c r="CP357" s="6"/>
      <c r="CQ357" s="6"/>
      <c r="CR357" s="6"/>
      <c r="CS357" s="6"/>
      <c r="CT357" s="6"/>
      <c r="CU357" s="6"/>
      <c r="CV357" s="6"/>
      <c r="CW357" s="6"/>
      <c r="CX357" s="6"/>
      <c r="CY357" s="6"/>
      <c r="CZ357" s="6"/>
      <c r="DA357" s="6"/>
      <c r="DB357" s="6"/>
      <c r="DC357" s="7">
        <f>ROUND(2837.6,2)</f>
        <v>2837.6</v>
      </c>
      <c r="DD357" s="6"/>
      <c r="DE357" s="7">
        <f>ROUND(3692.4,2)</f>
        <v>3692.4</v>
      </c>
      <c r="DF357" s="6"/>
      <c r="DG357" s="6"/>
      <c r="DH357" s="6"/>
      <c r="DI357" s="6"/>
      <c r="DJ357" s="6"/>
      <c r="DK357" s="6"/>
      <c r="DL357" s="6"/>
      <c r="DM357" s="6"/>
      <c r="DN357" s="6"/>
      <c r="DO357" s="6"/>
      <c r="DP357" s="6"/>
      <c r="DQ357" s="6"/>
      <c r="DR357" s="6"/>
      <c r="DS357" s="6"/>
      <c r="DT357" s="6"/>
      <c r="DU357" s="6"/>
      <c r="DV357" s="6"/>
      <c r="DW357" s="6"/>
      <c r="DX357" s="6"/>
      <c r="DY357" s="6"/>
      <c r="DZ357" s="6"/>
      <c r="EA357" s="6"/>
      <c r="EB357" s="6"/>
      <c r="EC357" s="6"/>
      <c r="ED357" s="6"/>
      <c r="EE357" s="7">
        <f>ROUND(1175,2)</f>
        <v>1175</v>
      </c>
      <c r="EF357" s="6"/>
      <c r="EG357" s="6"/>
      <c r="EH357" s="6"/>
      <c r="EI357" s="6"/>
      <c r="EJ357" s="6"/>
      <c r="EK357" s="6"/>
      <c r="EL357" s="6"/>
      <c r="EM357" s="6"/>
      <c r="EN357" s="6"/>
      <c r="EO357" s="6"/>
      <c r="EP357" s="6"/>
      <c r="EQ357" s="7">
        <f>ROUND(1250,2)</f>
        <v>1250</v>
      </c>
      <c r="ER357" s="6"/>
      <c r="ES357" s="6"/>
      <c r="ET357" s="6"/>
      <c r="EU357" s="6"/>
      <c r="EV357" s="7">
        <f>ROUND(80758.1899999999,2)</f>
        <v>80758.19</v>
      </c>
    </row>
    <row r="358" spans="1:152" ht="24">
      <c r="A358" s="4" t="s">
        <v>851</v>
      </c>
      <c r="B358" s="4"/>
      <c r="C358" s="5" t="s">
        <v>233</v>
      </c>
      <c r="D358" s="5" t="s">
        <v>776</v>
      </c>
      <c r="E358" s="5" t="s">
        <v>852</v>
      </c>
      <c r="F358" s="5" t="s">
        <v>0</v>
      </c>
      <c r="G358" s="5" t="s">
        <v>236</v>
      </c>
      <c r="H358" s="10">
        <v>18.54</v>
      </c>
      <c r="I358" s="7">
        <f>ROUND(1151.5,2)</f>
        <v>1151.5</v>
      </c>
      <c r="J358" s="7">
        <f>ROUND(47.75,2)</f>
        <v>47.75</v>
      </c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  <c r="BA358" s="6"/>
      <c r="BB358" s="6"/>
      <c r="BC358" s="6"/>
      <c r="BD358" s="6"/>
      <c r="BE358" s="6"/>
      <c r="BF358" s="6"/>
      <c r="BG358" s="6"/>
      <c r="BH358" s="7">
        <f>ROUND(8,2)</f>
        <v>8</v>
      </c>
      <c r="BI358" s="6"/>
      <c r="BJ358" s="6"/>
      <c r="BK358" s="6"/>
      <c r="BL358" s="6"/>
      <c r="BM358" s="6"/>
      <c r="BN358" s="6"/>
      <c r="BO358" s="6"/>
      <c r="BP358" s="6"/>
      <c r="BQ358" s="6"/>
      <c r="BR358" s="6"/>
      <c r="BS358" s="6"/>
      <c r="BT358" s="7">
        <f>ROUND(8,2)</f>
        <v>8</v>
      </c>
      <c r="BU358" s="7">
        <f>ROUND(16,2)</f>
        <v>16</v>
      </c>
      <c r="BV358" s="7">
        <f>ROUND(21.75,2)</f>
        <v>21.75</v>
      </c>
      <c r="BW358" s="6"/>
      <c r="BX358" s="7">
        <f>ROUND(16,2)</f>
        <v>16</v>
      </c>
      <c r="BY358" s="7">
        <f>ROUND(40,2)</f>
        <v>40</v>
      </c>
      <c r="BZ358" s="6"/>
      <c r="CA358" s="6"/>
      <c r="CB358" s="7">
        <f>ROUND(1309,2)</f>
        <v>1309</v>
      </c>
      <c r="CC358" s="7">
        <f>ROUND(20272.2099999999,2)</f>
        <v>20272.21</v>
      </c>
      <c r="CD358" s="7">
        <f>ROUND(1213.75,2)</f>
        <v>1213.75</v>
      </c>
      <c r="CE358" s="6"/>
      <c r="CF358" s="6"/>
      <c r="CG358" s="6"/>
      <c r="CH358" s="6"/>
      <c r="CI358" s="6"/>
      <c r="CJ358" s="6"/>
      <c r="CK358" s="6"/>
      <c r="CL358" s="6"/>
      <c r="CM358" s="6"/>
      <c r="CN358" s="6"/>
      <c r="CO358" s="6"/>
      <c r="CP358" s="6"/>
      <c r="CQ358" s="6"/>
      <c r="CR358" s="6"/>
      <c r="CS358" s="6"/>
      <c r="CT358" s="6"/>
      <c r="CU358" s="6"/>
      <c r="CV358" s="6"/>
      <c r="CW358" s="6"/>
      <c r="CX358" s="6"/>
      <c r="CY358" s="6"/>
      <c r="CZ358" s="6"/>
      <c r="DA358" s="6"/>
      <c r="DB358" s="6"/>
      <c r="DC358" s="6"/>
      <c r="DD358" s="6"/>
      <c r="DE358" s="6"/>
      <c r="DF358" s="6"/>
      <c r="DG358" s="6"/>
      <c r="DH358" s="6"/>
      <c r="DI358" s="6"/>
      <c r="DJ358" s="6"/>
      <c r="DK358" s="6"/>
      <c r="DL358" s="6"/>
      <c r="DM358" s="6"/>
      <c r="DN358" s="6"/>
      <c r="DO358" s="6"/>
      <c r="DP358" s="6"/>
      <c r="DQ358" s="6"/>
      <c r="DR358" s="6"/>
      <c r="DS358" s="6"/>
      <c r="DT358" s="6"/>
      <c r="DU358" s="6"/>
      <c r="DV358" s="6"/>
      <c r="DW358" s="6"/>
      <c r="DX358" s="6"/>
      <c r="DY358" s="6"/>
      <c r="DZ358" s="6"/>
      <c r="EA358" s="6"/>
      <c r="EB358" s="6"/>
      <c r="EC358" s="6"/>
      <c r="ED358" s="7">
        <f>ROUND(148.32,2)</f>
        <v>148.32</v>
      </c>
      <c r="EE358" s="7">
        <f>ROUND(444.96,2)</f>
        <v>444.96</v>
      </c>
      <c r="EF358" s="6"/>
      <c r="EG358" s="7">
        <f>ROUND(144,2)</f>
        <v>144</v>
      </c>
      <c r="EH358" s="7">
        <f>ROUND(268.32,2)</f>
        <v>268.32</v>
      </c>
      <c r="EI358" s="7">
        <f>ROUND(570.349999999999,2)</f>
        <v>570.35</v>
      </c>
      <c r="EJ358" s="6"/>
      <c r="EK358" s="6"/>
      <c r="EL358" s="6"/>
      <c r="EM358" s="6"/>
      <c r="EN358" s="7">
        <f>ROUND(296.64,2)</f>
        <v>296.64</v>
      </c>
      <c r="EO358" s="6"/>
      <c r="EP358" s="6"/>
      <c r="EQ358" s="6"/>
      <c r="ER358" s="6"/>
      <c r="ES358" s="7">
        <f>ROUND(728.639999999999,2)</f>
        <v>728.64</v>
      </c>
      <c r="ET358" s="6"/>
      <c r="EU358" s="6"/>
      <c r="EV358" s="7">
        <f>ROUND(24087.19,2)</f>
        <v>24087.19</v>
      </c>
    </row>
    <row r="359" spans="1:152">
      <c r="A359" s="4" t="s">
        <v>853</v>
      </c>
      <c r="B359" s="4" t="s">
        <v>1058</v>
      </c>
      <c r="C359" s="5" t="s">
        <v>152</v>
      </c>
      <c r="D359" s="5" t="s">
        <v>186</v>
      </c>
      <c r="E359" s="5" t="s">
        <v>854</v>
      </c>
      <c r="F359" s="5" t="s">
        <v>0</v>
      </c>
      <c r="G359" s="5" t="s">
        <v>155</v>
      </c>
      <c r="H359" s="10">
        <v>27.36</v>
      </c>
      <c r="I359" s="6"/>
      <c r="J359" s="6"/>
      <c r="K359" s="6"/>
      <c r="L359" s="6"/>
      <c r="M359" s="7">
        <f>ROUND(781.72,2)</f>
        <v>781.72</v>
      </c>
      <c r="N359" s="6"/>
      <c r="O359" s="6"/>
      <c r="P359" s="7">
        <f>ROUND(100.19,2)</f>
        <v>100.19</v>
      </c>
      <c r="Q359" s="6"/>
      <c r="R359" s="6"/>
      <c r="S359" s="6"/>
      <c r="T359" s="6"/>
      <c r="U359" s="7">
        <f>ROUND(8,2)</f>
        <v>8</v>
      </c>
      <c r="V359" s="6"/>
      <c r="W359" s="7">
        <f>ROUND(3.74,2)</f>
        <v>3.74</v>
      </c>
      <c r="X359" s="7">
        <f>ROUND(0.75,2)</f>
        <v>0.75</v>
      </c>
      <c r="Y359" s="6"/>
      <c r="Z359" s="6"/>
      <c r="AA359" s="6"/>
      <c r="AB359" s="6"/>
      <c r="AC359" s="7">
        <f>ROUND(121.399999999999,2)</f>
        <v>121.4</v>
      </c>
      <c r="AD359" s="7">
        <f>ROUND(7.7,2)</f>
        <v>7.7</v>
      </c>
      <c r="AE359" s="6"/>
      <c r="AF359" s="7">
        <f>ROUND(337.57,2)</f>
        <v>337.57</v>
      </c>
      <c r="AG359" s="7">
        <f>ROUND(27.0099999999999,2)</f>
        <v>27.01</v>
      </c>
      <c r="AH359" s="7">
        <f>ROUND(47,2)</f>
        <v>47</v>
      </c>
      <c r="AI359" s="6"/>
      <c r="AJ359" s="7">
        <f>ROUND(8,2)</f>
        <v>8</v>
      </c>
      <c r="AK359" s="6"/>
      <c r="AL359" s="7">
        <f>ROUND(126.17,2)</f>
        <v>126.17</v>
      </c>
      <c r="AM359" s="6"/>
      <c r="AN359" s="7">
        <f>ROUND(170.07,2)</f>
        <v>170.07</v>
      </c>
      <c r="AO359" s="7">
        <f>ROUND(4.25,2)</f>
        <v>4.25</v>
      </c>
      <c r="AP359" s="6"/>
      <c r="AQ359" s="6"/>
      <c r="AR359" s="7">
        <f>ROUND(2,2)</f>
        <v>2</v>
      </c>
      <c r="AS359" s="6"/>
      <c r="AT359" s="6"/>
      <c r="AU359" s="6"/>
      <c r="AV359" s="7">
        <f>ROUND(3.5,2)</f>
        <v>3.5</v>
      </c>
      <c r="AW359" s="6"/>
      <c r="AX359" s="6"/>
      <c r="AY359" s="6"/>
      <c r="AZ359" s="6"/>
      <c r="BA359" s="6"/>
      <c r="BB359" s="7">
        <f>ROUND(8,2)</f>
        <v>8</v>
      </c>
      <c r="BC359" s="7">
        <f>ROUND(5,2)</f>
        <v>5</v>
      </c>
      <c r="BD359" s="7">
        <f>ROUND(2,2)</f>
        <v>2</v>
      </c>
      <c r="BE359" s="7">
        <f>ROUND(24,2)</f>
        <v>24</v>
      </c>
      <c r="BF359" s="6"/>
      <c r="BG359" s="6"/>
      <c r="BH359" s="7">
        <f>ROUND(8,2)</f>
        <v>8</v>
      </c>
      <c r="BI359" s="6"/>
      <c r="BJ359" s="6"/>
      <c r="BK359" s="6"/>
      <c r="BL359" s="6"/>
      <c r="BM359" s="6"/>
      <c r="BN359" s="6"/>
      <c r="BO359" s="6"/>
      <c r="BP359" s="6"/>
      <c r="BQ359" s="6"/>
      <c r="BR359" s="6"/>
      <c r="BS359" s="6"/>
      <c r="BT359" s="6"/>
      <c r="BU359" s="6"/>
      <c r="BV359" s="6"/>
      <c r="BW359" s="6"/>
      <c r="BX359" s="6"/>
      <c r="BY359" s="6"/>
      <c r="BZ359" s="6"/>
      <c r="CA359" s="7">
        <f>ROUND(16,2)</f>
        <v>16</v>
      </c>
      <c r="CB359" s="7">
        <f>ROUND(1812.07,2)</f>
        <v>1812.07</v>
      </c>
      <c r="CC359" s="6"/>
      <c r="CD359" s="6"/>
      <c r="CE359" s="6"/>
      <c r="CF359" s="6"/>
      <c r="CG359" s="7">
        <f>ROUND(16878.7699999999,2)</f>
        <v>16878.77</v>
      </c>
      <c r="CH359" s="6"/>
      <c r="CI359" s="6"/>
      <c r="CJ359" s="7">
        <f>ROUND(3321.5,2)</f>
        <v>3321.5</v>
      </c>
      <c r="CK359" s="6"/>
      <c r="CL359" s="6"/>
      <c r="CM359" s="6"/>
      <c r="CN359" s="6"/>
      <c r="CO359" s="7">
        <f>ROUND(206.72,2)</f>
        <v>206.72</v>
      </c>
      <c r="CP359" s="6"/>
      <c r="CQ359" s="7">
        <f>ROUND(78.18,2)</f>
        <v>78.180000000000007</v>
      </c>
      <c r="CR359" s="7">
        <f>ROUND(23.44,2)</f>
        <v>23.44</v>
      </c>
      <c r="CS359" s="6"/>
      <c r="CT359" s="6"/>
      <c r="CU359" s="6"/>
      <c r="CV359" s="6"/>
      <c r="CW359" s="7">
        <f>ROUND(2782.49,2)</f>
        <v>2782.49</v>
      </c>
      <c r="CX359" s="7">
        <f>ROUND(278.18,2)</f>
        <v>278.18</v>
      </c>
      <c r="CY359" s="6"/>
      <c r="CZ359" s="6"/>
      <c r="DA359" s="7">
        <f>ROUND(7386.78999999999,2)</f>
        <v>7386.79</v>
      </c>
      <c r="DB359" s="7">
        <f>ROUND(861.53,2)</f>
        <v>861.53</v>
      </c>
      <c r="DC359" s="7">
        <f>ROUND(1099.38,2)</f>
        <v>1099.3800000000001</v>
      </c>
      <c r="DD359" s="6"/>
      <c r="DE359" s="7">
        <f>ROUND(206.72,2)</f>
        <v>206.72</v>
      </c>
      <c r="DF359" s="6"/>
      <c r="DG359" s="6"/>
      <c r="DH359" s="6"/>
      <c r="DI359" s="7">
        <f>ROUND(2234.66,2)</f>
        <v>2234.66</v>
      </c>
      <c r="DJ359" s="6"/>
      <c r="DK359" s="7">
        <f>ROUND(3081.84,2)</f>
        <v>3081.84</v>
      </c>
      <c r="DL359" s="7">
        <f>ROUND(111.56,2)</f>
        <v>111.56</v>
      </c>
      <c r="DM359" s="6"/>
      <c r="DN359" s="6"/>
      <c r="DO359" s="6"/>
      <c r="DP359" s="7">
        <f>ROUND(41.67,2)</f>
        <v>41.67</v>
      </c>
      <c r="DQ359" s="6"/>
      <c r="DR359" s="6"/>
      <c r="DS359" s="6"/>
      <c r="DT359" s="6"/>
      <c r="DU359" s="6"/>
      <c r="DV359" s="6"/>
      <c r="DW359" s="7">
        <f>ROUND(90.97,2)</f>
        <v>90.97</v>
      </c>
      <c r="DX359" s="6"/>
      <c r="DY359" s="6"/>
      <c r="DZ359" s="6"/>
      <c r="EA359" s="6"/>
      <c r="EB359" s="6"/>
      <c r="EC359" s="6"/>
      <c r="ED359" s="6"/>
      <c r="EE359" s="7">
        <f>ROUND(475,2)</f>
        <v>475</v>
      </c>
      <c r="EF359" s="6"/>
      <c r="EG359" s="6"/>
      <c r="EH359" s="6"/>
      <c r="EI359" s="6"/>
      <c r="EJ359" s="7">
        <f>ROUND(500,2)</f>
        <v>500</v>
      </c>
      <c r="EK359" s="6"/>
      <c r="EL359" s="6"/>
      <c r="EM359" s="6"/>
      <c r="EN359" s="6"/>
      <c r="EO359" s="6"/>
      <c r="EP359" s="6"/>
      <c r="EQ359" s="7">
        <f>ROUND(750,2)</f>
        <v>750</v>
      </c>
      <c r="ER359" s="6"/>
      <c r="ES359" s="6"/>
      <c r="ET359" s="6"/>
      <c r="EU359" s="7">
        <f>ROUND(413.44,2)</f>
        <v>413.44</v>
      </c>
      <c r="EV359" s="7">
        <f>ROUND(40822.84,2)</f>
        <v>40822.839999999997</v>
      </c>
    </row>
    <row r="360" spans="1:152">
      <c r="A360" s="4" t="s">
        <v>855</v>
      </c>
      <c r="B360" s="4" t="s">
        <v>1058</v>
      </c>
      <c r="C360" s="5" t="s">
        <v>152</v>
      </c>
      <c r="D360" s="5" t="s">
        <v>160</v>
      </c>
      <c r="E360" s="5" t="s">
        <v>608</v>
      </c>
      <c r="F360" s="5" t="s">
        <v>0</v>
      </c>
      <c r="G360" s="5" t="s">
        <v>155</v>
      </c>
      <c r="H360" s="10">
        <v>20.84</v>
      </c>
      <c r="I360" s="6"/>
      <c r="J360" s="6"/>
      <c r="K360" s="6"/>
      <c r="L360" s="6"/>
      <c r="M360" s="7">
        <f>ROUND(362.419999999999,2)</f>
        <v>362.42</v>
      </c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7">
        <f>ROUND(32,2)</f>
        <v>32</v>
      </c>
      <c r="AD360" s="6"/>
      <c r="AE360" s="6"/>
      <c r="AF360" s="6"/>
      <c r="AG360" s="6"/>
      <c r="AH360" s="7">
        <f>ROUND(15,2)</f>
        <v>15</v>
      </c>
      <c r="AI360" s="6"/>
      <c r="AJ360" s="6"/>
      <c r="AK360" s="6"/>
      <c r="AL360" s="7">
        <f>ROUND(266.1,2)</f>
        <v>266.10000000000002</v>
      </c>
      <c r="AM360" s="7">
        <f>ROUND(1.68,2)</f>
        <v>1.68</v>
      </c>
      <c r="AN360" s="7">
        <f>ROUND(14.68,2)</f>
        <v>14.68</v>
      </c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  <c r="BA360" s="6"/>
      <c r="BB360" s="6"/>
      <c r="BC360" s="6"/>
      <c r="BD360" s="7">
        <f>ROUND(3.67,2)</f>
        <v>3.67</v>
      </c>
      <c r="BE360" s="6"/>
      <c r="BF360" s="6"/>
      <c r="BG360" s="6"/>
      <c r="BH360" s="6"/>
      <c r="BI360" s="6"/>
      <c r="BJ360" s="6"/>
      <c r="BK360" s="6"/>
      <c r="BL360" s="6"/>
      <c r="BM360" s="7">
        <f>ROUND(48,2)</f>
        <v>48</v>
      </c>
      <c r="BN360" s="6"/>
      <c r="BO360" s="6"/>
      <c r="BP360" s="6"/>
      <c r="BQ360" s="6"/>
      <c r="BR360" s="6"/>
      <c r="BS360" s="6"/>
      <c r="BT360" s="6"/>
      <c r="BU360" s="6"/>
      <c r="BV360" s="6"/>
      <c r="BW360" s="6"/>
      <c r="BX360" s="6"/>
      <c r="BY360" s="6"/>
      <c r="BZ360" s="6"/>
      <c r="CA360" s="6"/>
      <c r="CB360" s="7">
        <f>ROUND(743.55,2)</f>
        <v>743.55</v>
      </c>
      <c r="CC360" s="6"/>
      <c r="CD360" s="6"/>
      <c r="CE360" s="6"/>
      <c r="CF360" s="6"/>
      <c r="CG360" s="7">
        <f>ROUND(7551.04,2)</f>
        <v>7551.04</v>
      </c>
      <c r="CH360" s="6"/>
      <c r="CI360" s="6"/>
      <c r="CJ360" s="6"/>
      <c r="CK360" s="6"/>
      <c r="CL360" s="6"/>
      <c r="CM360" s="6"/>
      <c r="CN360" s="6"/>
      <c r="CO360" s="6"/>
      <c r="CP360" s="6"/>
      <c r="CQ360" s="6"/>
      <c r="CR360" s="6"/>
      <c r="CS360" s="6"/>
      <c r="CT360" s="6"/>
      <c r="CU360" s="6"/>
      <c r="CV360" s="6"/>
      <c r="CW360" s="7">
        <f>ROUND(666.72,2)</f>
        <v>666.72</v>
      </c>
      <c r="CX360" s="6"/>
      <c r="CY360" s="6"/>
      <c r="CZ360" s="6"/>
      <c r="DA360" s="6"/>
      <c r="DB360" s="6"/>
      <c r="DC360" s="7">
        <f>ROUND(279.18,2)</f>
        <v>279.18</v>
      </c>
      <c r="DD360" s="6"/>
      <c r="DE360" s="6"/>
      <c r="DF360" s="6"/>
      <c r="DG360" s="6"/>
      <c r="DH360" s="6"/>
      <c r="DI360" s="7">
        <f>ROUND(4656.75,2)</f>
        <v>4656.75</v>
      </c>
      <c r="DJ360" s="7">
        <f>ROUND(35,2)</f>
        <v>35</v>
      </c>
      <c r="DK360" s="7">
        <f>ROUND(385.35,2)</f>
        <v>385.35</v>
      </c>
      <c r="DL360" s="6"/>
      <c r="DM360" s="6"/>
      <c r="DN360" s="6"/>
      <c r="DO360" s="6"/>
      <c r="DP360" s="6"/>
      <c r="DQ360" s="6"/>
      <c r="DR360" s="6"/>
      <c r="DS360" s="6"/>
      <c r="DT360" s="6"/>
      <c r="DU360" s="6"/>
      <c r="DV360" s="6"/>
      <c r="DW360" s="6"/>
      <c r="DX360" s="6"/>
      <c r="DY360" s="6"/>
      <c r="DZ360" s="6"/>
      <c r="EA360" s="6"/>
      <c r="EB360" s="6"/>
      <c r="EC360" s="6"/>
      <c r="ED360" s="6"/>
      <c r="EE360" s="6"/>
      <c r="EF360" s="6"/>
      <c r="EG360" s="6"/>
      <c r="EH360" s="6"/>
      <c r="EI360" s="6"/>
      <c r="EJ360" s="6"/>
      <c r="EK360" s="6"/>
      <c r="EL360" s="6"/>
      <c r="EM360" s="6"/>
      <c r="EN360" s="6"/>
      <c r="EO360" s="6"/>
      <c r="EP360" s="6"/>
      <c r="EQ360" s="7">
        <f>ROUND(500,2)</f>
        <v>500</v>
      </c>
      <c r="ER360" s="6"/>
      <c r="ES360" s="6"/>
      <c r="ET360" s="6"/>
      <c r="EU360" s="6"/>
      <c r="EV360" s="7">
        <f>ROUND(14074.0399999999,2)</f>
        <v>14074.04</v>
      </c>
    </row>
    <row r="361" spans="1:152">
      <c r="A361" s="4" t="s">
        <v>856</v>
      </c>
      <c r="B361" s="4"/>
      <c r="C361" s="5" t="s">
        <v>277</v>
      </c>
      <c r="D361" s="5" t="s">
        <v>857</v>
      </c>
      <c r="E361" s="5" t="s">
        <v>858</v>
      </c>
      <c r="F361" s="5" t="s">
        <v>0</v>
      </c>
      <c r="G361" s="5" t="s">
        <v>859</v>
      </c>
      <c r="H361" s="10">
        <v>1019.23</v>
      </c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7">
        <f>ROUND(38,2)</f>
        <v>38</v>
      </c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  <c r="BA361" s="6"/>
      <c r="BB361" s="6"/>
      <c r="BC361" s="6"/>
      <c r="BD361" s="6"/>
      <c r="BE361" s="6"/>
      <c r="BF361" s="6"/>
      <c r="BG361" s="6"/>
      <c r="BH361" s="7">
        <f>ROUND(24,2)</f>
        <v>24</v>
      </c>
      <c r="BI361" s="6"/>
      <c r="BJ361" s="6"/>
      <c r="BK361" s="6"/>
      <c r="BL361" s="6"/>
      <c r="BM361" s="6"/>
      <c r="BN361" s="6"/>
      <c r="BO361" s="6"/>
      <c r="BP361" s="6"/>
      <c r="BQ361" s="6"/>
      <c r="BR361" s="6"/>
      <c r="BS361" s="6"/>
      <c r="BT361" s="7">
        <f>ROUND(24,2)</f>
        <v>24</v>
      </c>
      <c r="BU361" s="7">
        <f>ROUND(32,2)</f>
        <v>32</v>
      </c>
      <c r="BV361" s="6"/>
      <c r="BW361" s="6"/>
      <c r="BX361" s="6"/>
      <c r="BY361" s="7">
        <f>ROUND(80,2)</f>
        <v>80</v>
      </c>
      <c r="BZ361" s="6"/>
      <c r="CA361" s="6"/>
      <c r="CB361" s="7">
        <f>ROUND(198,2)</f>
        <v>198</v>
      </c>
      <c r="CC361" s="7">
        <f>ROUND(42807.66,2)</f>
        <v>42807.66</v>
      </c>
      <c r="CD361" s="6"/>
      <c r="CE361" s="6"/>
      <c r="CF361" s="6"/>
      <c r="CG361" s="6"/>
      <c r="CH361" s="6"/>
      <c r="CI361" s="6"/>
      <c r="CJ361" s="6"/>
      <c r="CK361" s="6"/>
      <c r="CL361" s="6"/>
      <c r="CM361" s="6"/>
      <c r="CN361" s="6"/>
      <c r="CO361" s="6"/>
      <c r="CP361" s="6"/>
      <c r="CQ361" s="6"/>
      <c r="CR361" s="6"/>
      <c r="CS361" s="6"/>
      <c r="CT361" s="6"/>
      <c r="CU361" s="6"/>
      <c r="CV361" s="6"/>
      <c r="CW361" s="6"/>
      <c r="CX361" s="6"/>
      <c r="CY361" s="6"/>
      <c r="CZ361" s="6"/>
      <c r="DA361" s="6"/>
      <c r="DB361" s="6"/>
      <c r="DC361" s="6"/>
      <c r="DD361" s="6"/>
      <c r="DE361" s="6"/>
      <c r="DF361" s="6"/>
      <c r="DG361" s="6"/>
      <c r="DH361" s="6"/>
      <c r="DI361" s="6"/>
      <c r="DJ361" s="6"/>
      <c r="DK361" s="6"/>
      <c r="DL361" s="6"/>
      <c r="DM361" s="6"/>
      <c r="DN361" s="6"/>
      <c r="DO361" s="6"/>
      <c r="DP361" s="6"/>
      <c r="DQ361" s="6"/>
      <c r="DR361" s="6"/>
      <c r="DS361" s="6"/>
      <c r="DT361" s="6"/>
      <c r="DU361" s="6"/>
      <c r="DV361" s="6"/>
      <c r="DW361" s="6"/>
      <c r="DX361" s="6"/>
      <c r="DY361" s="6"/>
      <c r="DZ361" s="6"/>
      <c r="EA361" s="6"/>
      <c r="EB361" s="6"/>
      <c r="EC361" s="6"/>
      <c r="ED361" s="6"/>
      <c r="EE361" s="6"/>
      <c r="EF361" s="6"/>
      <c r="EG361" s="6"/>
      <c r="EH361" s="7">
        <f>ROUND(407.68,2)</f>
        <v>407.68</v>
      </c>
      <c r="EI361" s="6"/>
      <c r="EJ361" s="6"/>
      <c r="EK361" s="6"/>
      <c r="EL361" s="7">
        <f>ROUND(1936.48,2)</f>
        <v>1936.48</v>
      </c>
      <c r="EM361" s="6"/>
      <c r="EN361" s="6"/>
      <c r="EO361" s="6"/>
      <c r="EP361" s="6"/>
      <c r="EQ361" s="6"/>
      <c r="ER361" s="6"/>
      <c r="ES361" s="6"/>
      <c r="ET361" s="6"/>
      <c r="EU361" s="7">
        <f>ROUND(1019.2,2)</f>
        <v>1019.2</v>
      </c>
      <c r="EV361" s="7">
        <f>ROUND(46171.02,2)</f>
        <v>46171.02</v>
      </c>
    </row>
    <row r="362" spans="1:152">
      <c r="A362" s="4" t="s">
        <v>860</v>
      </c>
      <c r="B362" s="4" t="s">
        <v>1058</v>
      </c>
      <c r="C362" s="5" t="s">
        <v>152</v>
      </c>
      <c r="D362" s="5" t="s">
        <v>153</v>
      </c>
      <c r="E362" s="5" t="s">
        <v>0</v>
      </c>
      <c r="F362" s="5" t="s">
        <v>0</v>
      </c>
      <c r="G362" s="5" t="s">
        <v>155</v>
      </c>
      <c r="H362" s="10">
        <v>30.4</v>
      </c>
      <c r="I362" s="6"/>
      <c r="J362" s="6"/>
      <c r="K362" s="6"/>
      <c r="L362" s="6"/>
      <c r="M362" s="7">
        <f>ROUND(1223.05,2)</f>
        <v>1223.05</v>
      </c>
      <c r="N362" s="6"/>
      <c r="O362" s="6"/>
      <c r="P362" s="7">
        <f>ROUND(202.939999999999,2)</f>
        <v>202.94</v>
      </c>
      <c r="Q362" s="6"/>
      <c r="R362" s="6"/>
      <c r="S362" s="6"/>
      <c r="T362" s="6"/>
      <c r="U362" s="7">
        <f>ROUND(77.55,2)</f>
        <v>77.55</v>
      </c>
      <c r="V362" s="7">
        <f>ROUND(8.57,2)</f>
        <v>8.57</v>
      </c>
      <c r="W362" s="7">
        <f>ROUND(7.76,2)</f>
        <v>7.76</v>
      </c>
      <c r="X362" s="7">
        <f>ROUND(0.33,2)</f>
        <v>0.33</v>
      </c>
      <c r="Y362" s="6"/>
      <c r="Z362" s="6"/>
      <c r="AA362" s="6"/>
      <c r="AB362" s="6"/>
      <c r="AC362" s="7">
        <f>ROUND(322.25,2)</f>
        <v>322.25</v>
      </c>
      <c r="AD362" s="6"/>
      <c r="AE362" s="6"/>
      <c r="AF362" s="7">
        <f>ROUND(303.19,2)</f>
        <v>303.19</v>
      </c>
      <c r="AG362" s="7">
        <f>ROUND(64.3,2)</f>
        <v>64.3</v>
      </c>
      <c r="AH362" s="7">
        <f>ROUND(88,2)</f>
        <v>88</v>
      </c>
      <c r="AI362" s="6"/>
      <c r="AJ362" s="7">
        <f>ROUND(16,2)</f>
        <v>16</v>
      </c>
      <c r="AK362" s="6"/>
      <c r="AL362" s="7">
        <f>ROUND(8,2)</f>
        <v>8</v>
      </c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  <c r="BA362" s="6"/>
      <c r="BB362" s="6"/>
      <c r="BC362" s="6"/>
      <c r="BD362" s="7">
        <f>ROUND(0.35,2)</f>
        <v>0.35</v>
      </c>
      <c r="BE362" s="6"/>
      <c r="BF362" s="6"/>
      <c r="BG362" s="6"/>
      <c r="BH362" s="6"/>
      <c r="BI362" s="6"/>
      <c r="BJ362" s="7">
        <f>ROUND(40,2)</f>
        <v>40</v>
      </c>
      <c r="BK362" s="6"/>
      <c r="BL362" s="6"/>
      <c r="BM362" s="6"/>
      <c r="BN362" s="6"/>
      <c r="BO362" s="6"/>
      <c r="BP362" s="6"/>
      <c r="BQ362" s="6"/>
      <c r="BR362" s="6"/>
      <c r="BS362" s="6"/>
      <c r="BT362" s="6"/>
      <c r="BU362" s="6"/>
      <c r="BV362" s="6"/>
      <c r="BW362" s="6"/>
      <c r="BX362" s="6"/>
      <c r="BY362" s="6"/>
      <c r="BZ362" s="6"/>
      <c r="CA362" s="7">
        <f>ROUND(64,2)</f>
        <v>64</v>
      </c>
      <c r="CB362" s="7">
        <f>ROUND(2426.29,2)</f>
        <v>2426.29</v>
      </c>
      <c r="CC362" s="6"/>
      <c r="CD362" s="6"/>
      <c r="CE362" s="6"/>
      <c r="CF362" s="6"/>
      <c r="CG362" s="7">
        <f>ROUND(29650.79,2)</f>
        <v>29650.79</v>
      </c>
      <c r="CH362" s="6"/>
      <c r="CI362" s="6"/>
      <c r="CJ362" s="7">
        <f>ROUND(7500.07,2)</f>
        <v>7500.07</v>
      </c>
      <c r="CK362" s="6"/>
      <c r="CL362" s="6"/>
      <c r="CM362" s="6"/>
      <c r="CN362" s="6"/>
      <c r="CO362" s="7">
        <f>ROUND(1751.18,2)</f>
        <v>1751.18</v>
      </c>
      <c r="CP362" s="7">
        <f>ROUND(290.35,2)</f>
        <v>290.35000000000002</v>
      </c>
      <c r="CQ362" s="7">
        <f>ROUND(175.28,2)</f>
        <v>175.28</v>
      </c>
      <c r="CR362" s="7">
        <f>ROUND(11.14,2)</f>
        <v>11.14</v>
      </c>
      <c r="CS362" s="6"/>
      <c r="CT362" s="6"/>
      <c r="CU362" s="6"/>
      <c r="CV362" s="6"/>
      <c r="CW362" s="7">
        <f>ROUND(7347.66,2)</f>
        <v>7347.66</v>
      </c>
      <c r="CX362" s="6"/>
      <c r="CY362" s="6"/>
      <c r="CZ362" s="6"/>
      <c r="DA362" s="7">
        <f>ROUND(6841.94,2)</f>
        <v>6841.94</v>
      </c>
      <c r="DB362" s="7">
        <f>ROUND(2171.89,2)</f>
        <v>2171.89</v>
      </c>
      <c r="DC362" s="7">
        <f>ROUND(2106.49,2)</f>
        <v>2106.4899999999998</v>
      </c>
      <c r="DD362" s="6"/>
      <c r="DE362" s="7">
        <f>ROUND(360.02,2)</f>
        <v>360.02</v>
      </c>
      <c r="DF362" s="6"/>
      <c r="DG362" s="6"/>
      <c r="DH362" s="6"/>
      <c r="DI362" s="7">
        <f>ROUND(180.01,2)</f>
        <v>180.01</v>
      </c>
      <c r="DJ362" s="6"/>
      <c r="DK362" s="6"/>
      <c r="DL362" s="6"/>
      <c r="DM362" s="6"/>
      <c r="DN362" s="6"/>
      <c r="DO362" s="6"/>
      <c r="DP362" s="6"/>
      <c r="DQ362" s="6"/>
      <c r="DR362" s="7">
        <f>ROUND(500,2)</f>
        <v>500</v>
      </c>
      <c r="DS362" s="6"/>
      <c r="DT362" s="6"/>
      <c r="DU362" s="6"/>
      <c r="DV362" s="6"/>
      <c r="DW362" s="6"/>
      <c r="DX362" s="6"/>
      <c r="DY362" s="6"/>
      <c r="DZ362" s="6"/>
      <c r="EA362" s="6"/>
      <c r="EB362" s="6"/>
      <c r="EC362" s="6"/>
      <c r="ED362" s="6"/>
      <c r="EE362" s="7">
        <f>ROUND(1375,2)</f>
        <v>1375</v>
      </c>
      <c r="EF362" s="6"/>
      <c r="EG362" s="6"/>
      <c r="EH362" s="6"/>
      <c r="EI362" s="6"/>
      <c r="EJ362" s="6"/>
      <c r="EK362" s="6"/>
      <c r="EL362" s="6"/>
      <c r="EM362" s="6"/>
      <c r="EN362" s="6"/>
      <c r="EO362" s="6"/>
      <c r="EP362" s="6"/>
      <c r="EQ362" s="7">
        <f>ROUND(1250,2)</f>
        <v>1250</v>
      </c>
      <c r="ER362" s="6"/>
      <c r="ES362" s="6"/>
      <c r="ET362" s="6"/>
      <c r="EU362" s="7">
        <f>ROUND(1945.6,2)</f>
        <v>1945.6</v>
      </c>
      <c r="EV362" s="7">
        <f>ROUND(63457.4199999999,2)</f>
        <v>63457.42</v>
      </c>
    </row>
    <row r="363" spans="1:152">
      <c r="A363" s="4" t="s">
        <v>861</v>
      </c>
      <c r="B363" s="4" t="s">
        <v>1058</v>
      </c>
      <c r="C363" s="5" t="s">
        <v>152</v>
      </c>
      <c r="D363" s="5" t="s">
        <v>862</v>
      </c>
      <c r="E363" s="5" t="s">
        <v>0</v>
      </c>
      <c r="F363" s="5" t="s">
        <v>0</v>
      </c>
      <c r="G363" s="5" t="s">
        <v>155</v>
      </c>
      <c r="H363" s="10">
        <v>30.4</v>
      </c>
      <c r="I363" s="6"/>
      <c r="J363" s="6"/>
      <c r="K363" s="6"/>
      <c r="L363" s="6"/>
      <c r="M363" s="7">
        <f>ROUND(1341.79,2)</f>
        <v>1341.79</v>
      </c>
      <c r="N363" s="6"/>
      <c r="O363" s="6"/>
      <c r="P363" s="7">
        <f>ROUND(133.22,2)</f>
        <v>133.22</v>
      </c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7">
        <f>ROUND(464.77,2)</f>
        <v>464.77</v>
      </c>
      <c r="AD363" s="6"/>
      <c r="AE363" s="6"/>
      <c r="AF363" s="6"/>
      <c r="AG363" s="6"/>
      <c r="AH363" s="7">
        <f>ROUND(82,2)</f>
        <v>82</v>
      </c>
      <c r="AI363" s="6"/>
      <c r="AJ363" s="7">
        <f>ROUND(104,2)</f>
        <v>104</v>
      </c>
      <c r="AK363" s="6"/>
      <c r="AL363" s="7">
        <f>ROUND(8,2)</f>
        <v>8</v>
      </c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  <c r="BA363" s="6"/>
      <c r="BB363" s="7">
        <f>ROUND(16,2)</f>
        <v>16</v>
      </c>
      <c r="BC363" s="6"/>
      <c r="BD363" s="7">
        <f>ROUND(1.98,2)</f>
        <v>1.98</v>
      </c>
      <c r="BE363" s="7">
        <f>ROUND(56,2)</f>
        <v>56</v>
      </c>
      <c r="BF363" s="6"/>
      <c r="BG363" s="7">
        <f>ROUND(16,2)</f>
        <v>16</v>
      </c>
      <c r="BH363" s="7">
        <f>ROUND(8,2)</f>
        <v>8</v>
      </c>
      <c r="BI363" s="6"/>
      <c r="BJ363" s="6"/>
      <c r="BK363" s="6"/>
      <c r="BL363" s="6"/>
      <c r="BM363" s="7">
        <f>ROUND(16,2)</f>
        <v>16</v>
      </c>
      <c r="BN363" s="6"/>
      <c r="BO363" s="6"/>
      <c r="BP363" s="6"/>
      <c r="BQ363" s="6"/>
      <c r="BR363" s="6"/>
      <c r="BS363" s="6"/>
      <c r="BT363" s="6"/>
      <c r="BU363" s="6"/>
      <c r="BV363" s="6"/>
      <c r="BW363" s="6"/>
      <c r="BX363" s="6"/>
      <c r="BY363" s="6"/>
      <c r="BZ363" s="6"/>
      <c r="CA363" s="7">
        <f>ROUND(16,2)</f>
        <v>16</v>
      </c>
      <c r="CB363" s="7">
        <f>ROUND(2263.75999999999,2)</f>
        <v>2263.7600000000002</v>
      </c>
      <c r="CC363" s="6"/>
      <c r="CD363" s="6"/>
      <c r="CE363" s="6"/>
      <c r="CF363" s="6"/>
      <c r="CG363" s="7">
        <f>ROUND(37980.5499999999,2)</f>
        <v>37980.550000000003</v>
      </c>
      <c r="CH363" s="6"/>
      <c r="CI363" s="6"/>
      <c r="CJ363" s="7">
        <f>ROUND(5687.43999999999,2)</f>
        <v>5687.44</v>
      </c>
      <c r="CK363" s="6"/>
      <c r="CL363" s="6"/>
      <c r="CM363" s="6"/>
      <c r="CN363" s="6"/>
      <c r="CO363" s="6"/>
      <c r="CP363" s="6"/>
      <c r="CQ363" s="6"/>
      <c r="CR363" s="6"/>
      <c r="CS363" s="6"/>
      <c r="CT363" s="6"/>
      <c r="CU363" s="6"/>
      <c r="CV363" s="6"/>
      <c r="CW363" s="7">
        <f>ROUND(13020.55,2)</f>
        <v>13020.55</v>
      </c>
      <c r="CX363" s="6"/>
      <c r="CY363" s="6"/>
      <c r="CZ363" s="6"/>
      <c r="DA363" s="6"/>
      <c r="DB363" s="6"/>
      <c r="DC363" s="7">
        <f>ROUND(2319.87999999999,2)</f>
        <v>2319.88</v>
      </c>
      <c r="DD363" s="6"/>
      <c r="DE363" s="7">
        <f>ROUND(2951.99999999999,2)</f>
        <v>2952</v>
      </c>
      <c r="DF363" s="6"/>
      <c r="DG363" s="6"/>
      <c r="DH363" s="6"/>
      <c r="DI363" s="7">
        <f>ROUND(222.24,2)</f>
        <v>222.24</v>
      </c>
      <c r="DJ363" s="6"/>
      <c r="DK363" s="6"/>
      <c r="DL363" s="6"/>
      <c r="DM363" s="6"/>
      <c r="DN363" s="6"/>
      <c r="DO363" s="6"/>
      <c r="DP363" s="6"/>
      <c r="DQ363" s="6"/>
      <c r="DR363" s="7">
        <f>ROUND(500,2)</f>
        <v>500</v>
      </c>
      <c r="DS363" s="6"/>
      <c r="DT363" s="6"/>
      <c r="DU363" s="6"/>
      <c r="DV363" s="6"/>
      <c r="DW363" s="6"/>
      <c r="DX363" s="6"/>
      <c r="DY363" s="6"/>
      <c r="DZ363" s="6"/>
      <c r="EA363" s="6"/>
      <c r="EB363" s="6"/>
      <c r="EC363" s="6"/>
      <c r="ED363" s="6"/>
      <c r="EE363" s="7">
        <f>ROUND(650,2)</f>
        <v>650</v>
      </c>
      <c r="EF363" s="6"/>
      <c r="EG363" s="6"/>
      <c r="EH363" s="6"/>
      <c r="EI363" s="6"/>
      <c r="EJ363" s="6"/>
      <c r="EK363" s="6"/>
      <c r="EL363" s="6"/>
      <c r="EM363" s="6"/>
      <c r="EN363" s="6"/>
      <c r="EO363" s="6"/>
      <c r="EP363" s="6"/>
      <c r="EQ363" s="7">
        <f>ROUND(1250,2)</f>
        <v>1250</v>
      </c>
      <c r="ER363" s="6"/>
      <c r="ES363" s="6"/>
      <c r="ET363" s="6"/>
      <c r="EU363" s="7">
        <f>ROUND(486.4,2)</f>
        <v>486.4</v>
      </c>
      <c r="EV363" s="7">
        <f>ROUND(65069.06,2)</f>
        <v>65069.06</v>
      </c>
    </row>
    <row r="364" spans="1:152">
      <c r="A364" s="4" t="s">
        <v>863</v>
      </c>
      <c r="B364" s="4" t="s">
        <v>1058</v>
      </c>
      <c r="C364" s="5" t="s">
        <v>152</v>
      </c>
      <c r="D364" s="5" t="s">
        <v>864</v>
      </c>
      <c r="E364" s="5" t="s">
        <v>0</v>
      </c>
      <c r="F364" s="5" t="s">
        <v>0</v>
      </c>
      <c r="G364" s="5" t="s">
        <v>155</v>
      </c>
      <c r="H364" s="10">
        <v>30.4</v>
      </c>
      <c r="I364" s="6"/>
      <c r="J364" s="6"/>
      <c r="K364" s="6"/>
      <c r="L364" s="6"/>
      <c r="M364" s="7">
        <f>ROUND(1808.07,2)</f>
        <v>1808.07</v>
      </c>
      <c r="N364" s="6"/>
      <c r="O364" s="6"/>
      <c r="P364" s="7">
        <f>ROUND(408.84,2)</f>
        <v>408.84</v>
      </c>
      <c r="Q364" s="6"/>
      <c r="R364" s="6"/>
      <c r="S364" s="6"/>
      <c r="T364" s="6"/>
      <c r="U364" s="6"/>
      <c r="V364" s="7">
        <f>ROUND(37.75,2)</f>
        <v>37.75</v>
      </c>
      <c r="W364" s="6"/>
      <c r="X364" s="6"/>
      <c r="Y364" s="6"/>
      <c r="Z364" s="6"/>
      <c r="AA364" s="6"/>
      <c r="AB364" s="6"/>
      <c r="AC364" s="7">
        <f>ROUND(36.21,2)</f>
        <v>36.21</v>
      </c>
      <c r="AD364" s="7">
        <f>ROUND(11.79,2)</f>
        <v>11.79</v>
      </c>
      <c r="AE364" s="6"/>
      <c r="AF364" s="6"/>
      <c r="AG364" s="7">
        <f>ROUND(18.67,2)</f>
        <v>18.670000000000002</v>
      </c>
      <c r="AH364" s="7">
        <f>ROUND(90,2)</f>
        <v>90</v>
      </c>
      <c r="AI364" s="6"/>
      <c r="AJ364" s="7">
        <f>ROUND(152,2)</f>
        <v>152</v>
      </c>
      <c r="AK364" s="6"/>
      <c r="AL364" s="7">
        <f>ROUND(8,2)</f>
        <v>8</v>
      </c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  <c r="BA364" s="6"/>
      <c r="BB364" s="7">
        <f>ROUND(24,2)</f>
        <v>24</v>
      </c>
      <c r="BC364" s="6"/>
      <c r="BD364" s="6"/>
      <c r="BE364" s="6"/>
      <c r="BF364" s="6"/>
      <c r="BG364" s="6"/>
      <c r="BH364" s="6"/>
      <c r="BI364" s="6"/>
      <c r="BJ364" s="6"/>
      <c r="BK364" s="6"/>
      <c r="BL364" s="6"/>
      <c r="BM364" s="7">
        <f>ROUND(16,2)</f>
        <v>16</v>
      </c>
      <c r="BN364" s="6"/>
      <c r="BO364" s="6"/>
      <c r="BP364" s="6"/>
      <c r="BQ364" s="6"/>
      <c r="BR364" s="6"/>
      <c r="BS364" s="6"/>
      <c r="BT364" s="6"/>
      <c r="BU364" s="6"/>
      <c r="BV364" s="6"/>
      <c r="BW364" s="6"/>
      <c r="BX364" s="6"/>
      <c r="BY364" s="6"/>
      <c r="BZ364" s="6"/>
      <c r="CA364" s="7">
        <f>ROUND(8,2)</f>
        <v>8</v>
      </c>
      <c r="CB364" s="7">
        <f>ROUND(2619.33,2)</f>
        <v>2619.33</v>
      </c>
      <c r="CC364" s="6"/>
      <c r="CD364" s="6"/>
      <c r="CE364" s="6"/>
      <c r="CF364" s="6"/>
      <c r="CG364" s="7">
        <f>ROUND(50961.1599999999,2)</f>
        <v>50961.16</v>
      </c>
      <c r="CH364" s="6"/>
      <c r="CI364" s="6"/>
      <c r="CJ364" s="7">
        <f>ROUND(17273.83,2)</f>
        <v>17273.830000000002</v>
      </c>
      <c r="CK364" s="6"/>
      <c r="CL364" s="6"/>
      <c r="CM364" s="6"/>
      <c r="CN364" s="6"/>
      <c r="CO364" s="6"/>
      <c r="CP364" s="7">
        <f>ROUND(1608.4,2)</f>
        <v>1608.4</v>
      </c>
      <c r="CQ364" s="6"/>
      <c r="CR364" s="6"/>
      <c r="CS364" s="6"/>
      <c r="CT364" s="6"/>
      <c r="CU364" s="6"/>
      <c r="CV364" s="6"/>
      <c r="CW364" s="7">
        <f>ROUND(1005.9,2)</f>
        <v>1005.9</v>
      </c>
      <c r="CX364" s="7">
        <f>ROUND(491.28,2)</f>
        <v>491.28</v>
      </c>
      <c r="CY364" s="6"/>
      <c r="CZ364" s="6"/>
      <c r="DA364" s="6"/>
      <c r="DB364" s="7">
        <f>ROUND(830.62,2)</f>
        <v>830.62</v>
      </c>
      <c r="DC364" s="7">
        <f>ROUND(2542.12,2)</f>
        <v>2542.12</v>
      </c>
      <c r="DD364" s="6"/>
      <c r="DE364" s="7">
        <f>ROUND(4223.75999999999,2)</f>
        <v>4223.76</v>
      </c>
      <c r="DF364" s="6"/>
      <c r="DG364" s="6"/>
      <c r="DH364" s="6"/>
      <c r="DI364" s="7">
        <f>ROUND(222.24,2)</f>
        <v>222.24</v>
      </c>
      <c r="DJ364" s="6"/>
      <c r="DK364" s="6"/>
      <c r="DL364" s="6"/>
      <c r="DM364" s="6"/>
      <c r="DN364" s="6"/>
      <c r="DO364" s="6"/>
      <c r="DP364" s="6"/>
      <c r="DQ364" s="6"/>
      <c r="DR364" s="7">
        <f>ROUND(500,2)</f>
        <v>500</v>
      </c>
      <c r="DS364" s="6"/>
      <c r="DT364" s="6"/>
      <c r="DU364" s="6"/>
      <c r="DV364" s="6"/>
      <c r="DW364" s="6"/>
      <c r="DX364" s="6"/>
      <c r="DY364" s="6"/>
      <c r="DZ364" s="6"/>
      <c r="EA364" s="6"/>
      <c r="EB364" s="6"/>
      <c r="EC364" s="6"/>
      <c r="ED364" s="6"/>
      <c r="EE364" s="7">
        <f>ROUND(1125,2)</f>
        <v>1125</v>
      </c>
      <c r="EF364" s="6"/>
      <c r="EG364" s="6"/>
      <c r="EH364" s="6"/>
      <c r="EI364" s="6"/>
      <c r="EJ364" s="6"/>
      <c r="EK364" s="6"/>
      <c r="EL364" s="6"/>
      <c r="EM364" s="6"/>
      <c r="EN364" s="6"/>
      <c r="EO364" s="6"/>
      <c r="EP364" s="6"/>
      <c r="EQ364" s="7">
        <f>ROUND(1250,2)</f>
        <v>1250</v>
      </c>
      <c r="ER364" s="6"/>
      <c r="ES364" s="6"/>
      <c r="ET364" s="6"/>
      <c r="EU364" s="7">
        <f>ROUND(243.2,2)</f>
        <v>243.2</v>
      </c>
      <c r="EV364" s="7">
        <f>ROUND(82277.51,2)</f>
        <v>82277.509999999995</v>
      </c>
    </row>
    <row r="365" spans="1:152">
      <c r="A365" s="4" t="s">
        <v>865</v>
      </c>
      <c r="B365" s="4" t="s">
        <v>1058</v>
      </c>
      <c r="C365" s="5" t="s">
        <v>152</v>
      </c>
      <c r="D365" s="5" t="s">
        <v>546</v>
      </c>
      <c r="E365" s="5" t="s">
        <v>0</v>
      </c>
      <c r="F365" s="5" t="s">
        <v>0</v>
      </c>
      <c r="G365" s="5" t="s">
        <v>155</v>
      </c>
      <c r="H365" s="10">
        <v>30.4</v>
      </c>
      <c r="I365" s="6"/>
      <c r="J365" s="6"/>
      <c r="K365" s="6"/>
      <c r="L365" s="6"/>
      <c r="M365" s="7">
        <f>ROUND(1937,2)</f>
        <v>1937</v>
      </c>
      <c r="N365" s="6"/>
      <c r="O365" s="6"/>
      <c r="P365" s="7">
        <f>ROUND(486.269999999999,2)</f>
        <v>486.27</v>
      </c>
      <c r="Q365" s="6"/>
      <c r="R365" s="6"/>
      <c r="S365" s="6"/>
      <c r="T365" s="6"/>
      <c r="U365" s="6"/>
      <c r="V365" s="7">
        <f>ROUND(5.25,2)</f>
        <v>5.25</v>
      </c>
      <c r="W365" s="6"/>
      <c r="X365" s="6"/>
      <c r="Y365" s="6"/>
      <c r="Z365" s="6"/>
      <c r="AA365" s="6"/>
      <c r="AB365" s="6"/>
      <c r="AC365" s="7">
        <f>ROUND(53.5,2)</f>
        <v>53.5</v>
      </c>
      <c r="AD365" s="7">
        <f>ROUND(10.5,2)</f>
        <v>10.5</v>
      </c>
      <c r="AE365" s="6"/>
      <c r="AF365" s="6"/>
      <c r="AG365" s="7">
        <f>ROUND(39.58,2)</f>
        <v>39.58</v>
      </c>
      <c r="AH365" s="7">
        <f>ROUND(88,2)</f>
        <v>88</v>
      </c>
      <c r="AI365" s="6"/>
      <c r="AJ365" s="6"/>
      <c r="AK365" s="6"/>
      <c r="AL365" s="7">
        <f>ROUND(1.5,2)</f>
        <v>1.5</v>
      </c>
      <c r="AM365" s="6"/>
      <c r="AN365" s="6"/>
      <c r="AO365" s="6"/>
      <c r="AP365" s="7">
        <f>ROUND(31.08,2)</f>
        <v>31.08</v>
      </c>
      <c r="AQ365" s="6"/>
      <c r="AR365" s="6"/>
      <c r="AS365" s="6"/>
      <c r="AT365" s="6"/>
      <c r="AU365" s="6"/>
      <c r="AV365" s="6"/>
      <c r="AW365" s="6"/>
      <c r="AX365" s="6"/>
      <c r="AY365" s="6"/>
      <c r="AZ365" s="6"/>
      <c r="BA365" s="6"/>
      <c r="BB365" s="6"/>
      <c r="BC365" s="6"/>
      <c r="BD365" s="6"/>
      <c r="BE365" s="6"/>
      <c r="BF365" s="6"/>
      <c r="BG365" s="6"/>
      <c r="BH365" s="6"/>
      <c r="BI365" s="6"/>
      <c r="BJ365" s="6"/>
      <c r="BK365" s="6"/>
      <c r="BL365" s="6"/>
      <c r="BM365" s="6"/>
      <c r="BN365" s="6"/>
      <c r="BO365" s="6"/>
      <c r="BP365" s="6"/>
      <c r="BQ365" s="6"/>
      <c r="BR365" s="6"/>
      <c r="BS365" s="6"/>
      <c r="BT365" s="6"/>
      <c r="BU365" s="6"/>
      <c r="BV365" s="6"/>
      <c r="BW365" s="6"/>
      <c r="BX365" s="6"/>
      <c r="BY365" s="6"/>
      <c r="BZ365" s="6"/>
      <c r="CA365" s="7">
        <f>ROUND(120,2)</f>
        <v>120</v>
      </c>
      <c r="CB365" s="7">
        <f>ROUND(2772.68,2)</f>
        <v>2772.68</v>
      </c>
      <c r="CC365" s="6"/>
      <c r="CD365" s="6"/>
      <c r="CE365" s="6"/>
      <c r="CF365" s="6"/>
      <c r="CG365" s="7">
        <f>ROUND(54695.0999999999,2)</f>
        <v>54695.1</v>
      </c>
      <c r="CH365" s="6"/>
      <c r="CI365" s="6"/>
      <c r="CJ365" s="7">
        <f>ROUND(20592.29,2)</f>
        <v>20592.29</v>
      </c>
      <c r="CK365" s="6"/>
      <c r="CL365" s="6"/>
      <c r="CM365" s="6"/>
      <c r="CN365" s="6"/>
      <c r="CO365" s="6"/>
      <c r="CP365" s="7">
        <f>ROUND(218.77,2)</f>
        <v>218.77</v>
      </c>
      <c r="CQ365" s="6"/>
      <c r="CR365" s="6"/>
      <c r="CS365" s="6"/>
      <c r="CT365" s="6"/>
      <c r="CU365" s="6"/>
      <c r="CV365" s="6"/>
      <c r="CW365" s="7">
        <f>ROUND(1491.87999999999,2)</f>
        <v>1491.88</v>
      </c>
      <c r="CX365" s="7">
        <f>ROUND(439.909999999999,2)</f>
        <v>439.91</v>
      </c>
      <c r="CY365" s="6"/>
      <c r="CZ365" s="6"/>
      <c r="DA365" s="6"/>
      <c r="DB365" s="7">
        <f>ROUND(1681.79,2)</f>
        <v>1681.79</v>
      </c>
      <c r="DC365" s="7">
        <f>ROUND(2486.56,2)</f>
        <v>2486.56</v>
      </c>
      <c r="DD365" s="6"/>
      <c r="DE365" s="6"/>
      <c r="DF365" s="6"/>
      <c r="DG365" s="6"/>
      <c r="DH365" s="6"/>
      <c r="DI365" s="7">
        <f>ROUND(41.67,2)</f>
        <v>41.67</v>
      </c>
      <c r="DJ365" s="6"/>
      <c r="DK365" s="6"/>
      <c r="DL365" s="6"/>
      <c r="DM365" s="7">
        <f>ROUND(863.41,2)</f>
        <v>863.41</v>
      </c>
      <c r="DN365" s="6"/>
      <c r="DO365" s="6"/>
      <c r="DP365" s="6"/>
      <c r="DQ365" s="6"/>
      <c r="DR365" s="6"/>
      <c r="DS365" s="6"/>
      <c r="DT365" s="6"/>
      <c r="DU365" s="6"/>
      <c r="DV365" s="6"/>
      <c r="DW365" s="6"/>
      <c r="DX365" s="6"/>
      <c r="DY365" s="6"/>
      <c r="DZ365" s="6"/>
      <c r="EA365" s="6"/>
      <c r="EB365" s="6"/>
      <c r="EC365" s="6"/>
      <c r="ED365" s="6"/>
      <c r="EE365" s="7">
        <f>ROUND(1325,2)</f>
        <v>1325</v>
      </c>
      <c r="EF365" s="6"/>
      <c r="EG365" s="6"/>
      <c r="EH365" s="6"/>
      <c r="EI365" s="6"/>
      <c r="EJ365" s="6"/>
      <c r="EK365" s="6"/>
      <c r="EL365" s="6"/>
      <c r="EM365" s="6"/>
      <c r="EN365" s="6"/>
      <c r="EO365" s="6"/>
      <c r="EP365" s="6"/>
      <c r="EQ365" s="7">
        <f>ROUND(1250,2)</f>
        <v>1250</v>
      </c>
      <c r="ER365" s="6"/>
      <c r="ES365" s="6"/>
      <c r="ET365" s="6"/>
      <c r="EU365" s="7">
        <f>ROUND(3648,2)</f>
        <v>3648</v>
      </c>
      <c r="EV365" s="7">
        <f>ROUND(88734.38,2)</f>
        <v>88734.38</v>
      </c>
    </row>
    <row r="366" spans="1:152">
      <c r="A366" s="4" t="s">
        <v>866</v>
      </c>
      <c r="B366" s="4" t="s">
        <v>1058</v>
      </c>
      <c r="C366" s="5" t="s">
        <v>152</v>
      </c>
      <c r="D366" s="5" t="s">
        <v>867</v>
      </c>
      <c r="E366" s="5" t="s">
        <v>0</v>
      </c>
      <c r="F366" s="5" t="s">
        <v>0</v>
      </c>
      <c r="G366" s="5" t="s">
        <v>155</v>
      </c>
      <c r="H366" s="10">
        <v>30.4</v>
      </c>
      <c r="I366" s="6"/>
      <c r="J366" s="6"/>
      <c r="K366" s="6"/>
      <c r="L366" s="6"/>
      <c r="M366" s="7">
        <f>ROUND(1382.18999999999,2)</f>
        <v>1382.19</v>
      </c>
      <c r="N366" s="6"/>
      <c r="O366" s="6"/>
      <c r="P366" s="7">
        <f>ROUND(529.27,2)</f>
        <v>529.27</v>
      </c>
      <c r="Q366" s="6"/>
      <c r="R366" s="6"/>
      <c r="S366" s="6"/>
      <c r="T366" s="6"/>
      <c r="U366" s="7">
        <f>ROUND(29.2,2)</f>
        <v>29.2</v>
      </c>
      <c r="V366" s="7">
        <f>ROUND(10,2)</f>
        <v>10</v>
      </c>
      <c r="W366" s="7">
        <f>ROUND(3.33,2)</f>
        <v>3.33</v>
      </c>
      <c r="X366" s="7">
        <f>ROUND(1.49,2)</f>
        <v>1.49</v>
      </c>
      <c r="Y366" s="6"/>
      <c r="Z366" s="6"/>
      <c r="AA366" s="6"/>
      <c r="AB366" s="6"/>
      <c r="AC366" s="7">
        <f>ROUND(209.6,2)</f>
        <v>209.6</v>
      </c>
      <c r="AD366" s="7">
        <f>ROUND(11.06,2)</f>
        <v>11.06</v>
      </c>
      <c r="AE366" s="6"/>
      <c r="AF366" s="7">
        <f>ROUND(305.6,2)</f>
        <v>305.60000000000002</v>
      </c>
      <c r="AG366" s="7">
        <f>ROUND(44.33,2)</f>
        <v>44.33</v>
      </c>
      <c r="AH366" s="7">
        <f>ROUND(88,2)</f>
        <v>88</v>
      </c>
      <c r="AI366" s="6"/>
      <c r="AJ366" s="7">
        <f>ROUND(32,2)</f>
        <v>32</v>
      </c>
      <c r="AK366" s="6"/>
      <c r="AL366" s="7">
        <f>ROUND(10.33,2)</f>
        <v>10.33</v>
      </c>
      <c r="AM366" s="6"/>
      <c r="AN366" s="6"/>
      <c r="AO366" s="6"/>
      <c r="AP366" s="7">
        <f>ROUND(37.66,2)</f>
        <v>37.659999999999997</v>
      </c>
      <c r="AQ366" s="6"/>
      <c r="AR366" s="6"/>
      <c r="AS366" s="6"/>
      <c r="AT366" s="6"/>
      <c r="AU366" s="6"/>
      <c r="AV366" s="6"/>
      <c r="AW366" s="6"/>
      <c r="AX366" s="6"/>
      <c r="AY366" s="6"/>
      <c r="AZ366" s="7">
        <f>ROUND(5.42,2)</f>
        <v>5.42</v>
      </c>
      <c r="BA366" s="6"/>
      <c r="BB366" s="6"/>
      <c r="BC366" s="6"/>
      <c r="BD366" s="6"/>
      <c r="BE366" s="6"/>
      <c r="BF366" s="6"/>
      <c r="BG366" s="6"/>
      <c r="BH366" s="6"/>
      <c r="BI366" s="6"/>
      <c r="BJ366" s="6"/>
      <c r="BK366" s="6"/>
      <c r="BL366" s="6"/>
      <c r="BM366" s="6"/>
      <c r="BN366" s="6"/>
      <c r="BO366" s="6"/>
      <c r="BP366" s="6"/>
      <c r="BQ366" s="6"/>
      <c r="BR366" s="6"/>
      <c r="BS366" s="6"/>
      <c r="BT366" s="6"/>
      <c r="BU366" s="6"/>
      <c r="BV366" s="6"/>
      <c r="BW366" s="6"/>
      <c r="BX366" s="6"/>
      <c r="BY366" s="6"/>
      <c r="BZ366" s="6"/>
      <c r="CA366" s="7">
        <f>ROUND(88,2)</f>
        <v>88</v>
      </c>
      <c r="CB366" s="7">
        <f>ROUND(2787.48,2)</f>
        <v>2787.48</v>
      </c>
      <c r="CC366" s="6"/>
      <c r="CD366" s="6"/>
      <c r="CE366" s="6"/>
      <c r="CF366" s="6"/>
      <c r="CG366" s="7">
        <f>ROUND(39245.97,2)</f>
        <v>39245.97</v>
      </c>
      <c r="CH366" s="6"/>
      <c r="CI366" s="6"/>
      <c r="CJ366" s="7">
        <f>ROUND(22427.99,2)</f>
        <v>22427.99</v>
      </c>
      <c r="CK366" s="6"/>
      <c r="CL366" s="6"/>
      <c r="CM366" s="6"/>
      <c r="CN366" s="6"/>
      <c r="CO366" s="7">
        <f>ROUND(814.81,2)</f>
        <v>814.81</v>
      </c>
      <c r="CP366" s="7">
        <f>ROUND(417.83,2)</f>
        <v>417.83</v>
      </c>
      <c r="CQ366" s="7">
        <f>ROUND(94.17,2)</f>
        <v>94.17</v>
      </c>
      <c r="CR366" s="7">
        <f>ROUND(62.09,2)</f>
        <v>62.09</v>
      </c>
      <c r="CS366" s="6"/>
      <c r="CT366" s="6"/>
      <c r="CU366" s="6"/>
      <c r="CV366" s="6"/>
      <c r="CW366" s="7">
        <f>ROUND(5865.47,2)</f>
        <v>5865.47</v>
      </c>
      <c r="CX366" s="7">
        <f>ROUND(493.34,2)</f>
        <v>493.34</v>
      </c>
      <c r="CY366" s="6"/>
      <c r="CZ366" s="6"/>
      <c r="DA366" s="7">
        <f>ROUND(8548.32,2)</f>
        <v>8548.32</v>
      </c>
      <c r="DB366" s="7">
        <f>ROUND(1853.56,2)</f>
        <v>1853.56</v>
      </c>
      <c r="DC366" s="7">
        <f>ROUND(2507.52,2)</f>
        <v>2507.52</v>
      </c>
      <c r="DD366" s="6"/>
      <c r="DE366" s="7">
        <f>ROUND(888.96,2)</f>
        <v>888.96</v>
      </c>
      <c r="DF366" s="6"/>
      <c r="DG366" s="6"/>
      <c r="DH366" s="6"/>
      <c r="DI366" s="7">
        <f>ROUND(286.97,2)</f>
        <v>286.97000000000003</v>
      </c>
      <c r="DJ366" s="6"/>
      <c r="DK366" s="6"/>
      <c r="DL366" s="6"/>
      <c r="DM366" s="7">
        <f>ROUND(1046.2,2)</f>
        <v>1046.2</v>
      </c>
      <c r="DN366" s="6"/>
      <c r="DO366" s="6"/>
      <c r="DP366" s="6"/>
      <c r="DQ366" s="6"/>
      <c r="DR366" s="6"/>
      <c r="DS366" s="6"/>
      <c r="DT366" s="6"/>
      <c r="DU366" s="6"/>
      <c r="DV366" s="6"/>
      <c r="DW366" s="6"/>
      <c r="DX366" s="6"/>
      <c r="DY366" s="6"/>
      <c r="DZ366" s="6"/>
      <c r="EA366" s="7">
        <f>ROUND(165.58,2)</f>
        <v>165.58</v>
      </c>
      <c r="EB366" s="6"/>
      <c r="EC366" s="6"/>
      <c r="ED366" s="6"/>
      <c r="EE366" s="7">
        <f>ROUND(1375,2)</f>
        <v>1375</v>
      </c>
      <c r="EF366" s="6"/>
      <c r="EG366" s="6"/>
      <c r="EH366" s="6"/>
      <c r="EI366" s="6"/>
      <c r="EJ366" s="6"/>
      <c r="EK366" s="6"/>
      <c r="EL366" s="6"/>
      <c r="EM366" s="6"/>
      <c r="EN366" s="6"/>
      <c r="EO366" s="6"/>
      <c r="EP366" s="6"/>
      <c r="EQ366" s="7">
        <f>ROUND(1250,2)</f>
        <v>1250</v>
      </c>
      <c r="ER366" s="6"/>
      <c r="ES366" s="6"/>
      <c r="ET366" s="6"/>
      <c r="EU366" s="7">
        <f>ROUND(2675.2,2)</f>
        <v>2675.2</v>
      </c>
      <c r="EV366" s="7">
        <f>ROUND(90018.98,2)</f>
        <v>90018.98</v>
      </c>
    </row>
    <row r="367" spans="1:152">
      <c r="A367" s="4" t="s">
        <v>868</v>
      </c>
      <c r="B367" s="4" t="s">
        <v>1058</v>
      </c>
      <c r="C367" s="5" t="s">
        <v>152</v>
      </c>
      <c r="D367" s="5" t="s">
        <v>869</v>
      </c>
      <c r="E367" s="5" t="s">
        <v>870</v>
      </c>
      <c r="F367" s="5" t="s">
        <v>0</v>
      </c>
      <c r="G367" s="5" t="s">
        <v>155</v>
      </c>
      <c r="H367" s="10">
        <v>27.78</v>
      </c>
      <c r="I367" s="6"/>
      <c r="J367" s="6"/>
      <c r="K367" s="6"/>
      <c r="L367" s="6"/>
      <c r="M367" s="7">
        <f>ROUND(855.98,2)</f>
        <v>855.98</v>
      </c>
      <c r="N367" s="6"/>
      <c r="O367" s="6"/>
      <c r="P367" s="7">
        <f>ROUND(43.0599999999999,2)</f>
        <v>43.06</v>
      </c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7">
        <f>ROUND(133.59,2)</f>
        <v>133.59</v>
      </c>
      <c r="AD367" s="6"/>
      <c r="AE367" s="6"/>
      <c r="AF367" s="6"/>
      <c r="AG367" s="6"/>
      <c r="AH367" s="7">
        <f>ROUND(56,2)</f>
        <v>56</v>
      </c>
      <c r="AI367" s="6"/>
      <c r="AJ367" s="7">
        <f>ROUND(48,2)</f>
        <v>48</v>
      </c>
      <c r="AK367" s="6"/>
      <c r="AL367" s="7">
        <f>ROUND(8,2)</f>
        <v>8</v>
      </c>
      <c r="AM367" s="6"/>
      <c r="AN367" s="6"/>
      <c r="AO367" s="6"/>
      <c r="AP367" s="7">
        <f>ROUND(92.05,2)</f>
        <v>92.05</v>
      </c>
      <c r="AQ367" s="6"/>
      <c r="AR367" s="6"/>
      <c r="AS367" s="6"/>
      <c r="AT367" s="6"/>
      <c r="AU367" s="6"/>
      <c r="AV367" s="6"/>
      <c r="AW367" s="6"/>
      <c r="AX367" s="6"/>
      <c r="AY367" s="6"/>
      <c r="AZ367" s="6"/>
      <c r="BA367" s="6"/>
      <c r="BB367" s="7">
        <f>ROUND(24,2)</f>
        <v>24</v>
      </c>
      <c r="BC367" s="6"/>
      <c r="BD367" s="6"/>
      <c r="BE367" s="6"/>
      <c r="BF367" s="7">
        <f>ROUND(83.77,2)</f>
        <v>83.77</v>
      </c>
      <c r="BG367" s="7">
        <f>ROUND(131.19,2)</f>
        <v>131.19</v>
      </c>
      <c r="BH367" s="6"/>
      <c r="BI367" s="6"/>
      <c r="BJ367" s="6"/>
      <c r="BK367" s="6"/>
      <c r="BL367" s="7">
        <f>ROUND(32,2)</f>
        <v>32</v>
      </c>
      <c r="BM367" s="7">
        <f>ROUND(8,2)</f>
        <v>8</v>
      </c>
      <c r="BN367" s="6"/>
      <c r="BO367" s="6"/>
      <c r="BP367" s="6"/>
      <c r="BQ367" s="6"/>
      <c r="BR367" s="6"/>
      <c r="BS367" s="6"/>
      <c r="BT367" s="6"/>
      <c r="BU367" s="6"/>
      <c r="BV367" s="6"/>
      <c r="BW367" s="6"/>
      <c r="BX367" s="6"/>
      <c r="BY367" s="6"/>
      <c r="BZ367" s="6"/>
      <c r="CA367" s="6"/>
      <c r="CB367" s="7">
        <f>ROUND(1515.64,2)</f>
        <v>1515.64</v>
      </c>
      <c r="CC367" s="6"/>
      <c r="CD367" s="6"/>
      <c r="CE367" s="6"/>
      <c r="CF367" s="6"/>
      <c r="CG367" s="7">
        <f>ROUND(23801.26,2)</f>
        <v>23801.26</v>
      </c>
      <c r="CH367" s="6"/>
      <c r="CI367" s="6"/>
      <c r="CJ367" s="7">
        <f>ROUND(1794.31,2)</f>
        <v>1794.31</v>
      </c>
      <c r="CK367" s="6"/>
      <c r="CL367" s="6"/>
      <c r="CM367" s="6"/>
      <c r="CN367" s="6"/>
      <c r="CO367" s="6"/>
      <c r="CP367" s="6"/>
      <c r="CQ367" s="6"/>
      <c r="CR367" s="6"/>
      <c r="CS367" s="6"/>
      <c r="CT367" s="6"/>
      <c r="CU367" s="6"/>
      <c r="CV367" s="6"/>
      <c r="CW367" s="7">
        <f>ROUND(3719.58999999999,2)</f>
        <v>3719.59</v>
      </c>
      <c r="CX367" s="6"/>
      <c r="CY367" s="6"/>
      <c r="CZ367" s="6"/>
      <c r="DA367" s="6"/>
      <c r="DB367" s="6"/>
      <c r="DC367" s="7">
        <f>ROUND(1555.68,2)</f>
        <v>1555.68</v>
      </c>
      <c r="DD367" s="6"/>
      <c r="DE367" s="7">
        <f>ROUND(1333.44,2)</f>
        <v>1333.44</v>
      </c>
      <c r="DF367" s="6"/>
      <c r="DG367" s="6"/>
      <c r="DH367" s="6"/>
      <c r="DI367" s="7">
        <f>ROUND(222.24,2)</f>
        <v>222.24</v>
      </c>
      <c r="DJ367" s="6"/>
      <c r="DK367" s="6"/>
      <c r="DL367" s="6"/>
      <c r="DM367" s="7">
        <f>ROUND(2557.14999999999,2)</f>
        <v>2557.15</v>
      </c>
      <c r="DN367" s="6"/>
      <c r="DO367" s="6"/>
      <c r="DP367" s="6"/>
      <c r="DQ367" s="6"/>
      <c r="DR367" s="6"/>
      <c r="DS367" s="6"/>
      <c r="DT367" s="6"/>
      <c r="DU367" s="6"/>
      <c r="DV367" s="6"/>
      <c r="DW367" s="6"/>
      <c r="DX367" s="6"/>
      <c r="DY367" s="6"/>
      <c r="DZ367" s="6"/>
      <c r="EA367" s="6"/>
      <c r="EB367" s="6"/>
      <c r="EC367" s="7">
        <f>ROUND(888.96,2)</f>
        <v>888.96</v>
      </c>
      <c r="ED367" s="6"/>
      <c r="EE367" s="6"/>
      <c r="EF367" s="6"/>
      <c r="EG367" s="6"/>
      <c r="EH367" s="6"/>
      <c r="EI367" s="6"/>
      <c r="EJ367" s="6"/>
      <c r="EK367" s="6"/>
      <c r="EL367" s="6"/>
      <c r="EM367" s="6"/>
      <c r="EN367" s="6"/>
      <c r="EO367" s="6"/>
      <c r="EP367" s="6"/>
      <c r="EQ367" s="6"/>
      <c r="ER367" s="6"/>
      <c r="ES367" s="6"/>
      <c r="ET367" s="6"/>
      <c r="EU367" s="6"/>
      <c r="EV367" s="7">
        <f>ROUND(35872.63,2)</f>
        <v>35872.629999999997</v>
      </c>
    </row>
    <row r="368" spans="1:152">
      <c r="A368" s="4" t="s">
        <v>871</v>
      </c>
      <c r="B368" s="4" t="s">
        <v>1058</v>
      </c>
      <c r="C368" s="5" t="s">
        <v>152</v>
      </c>
      <c r="D368" s="5" t="s">
        <v>209</v>
      </c>
      <c r="E368" s="5" t="s">
        <v>0</v>
      </c>
      <c r="F368" s="5" t="s">
        <v>0</v>
      </c>
      <c r="G368" s="5" t="s">
        <v>155</v>
      </c>
      <c r="H368" s="10">
        <v>30.4</v>
      </c>
      <c r="I368" s="6"/>
      <c r="J368" s="6"/>
      <c r="K368" s="6"/>
      <c r="L368" s="6"/>
      <c r="M368" s="7">
        <f>ROUND(996.07,2)</f>
        <v>996.07</v>
      </c>
      <c r="N368" s="6"/>
      <c r="O368" s="6"/>
      <c r="P368" s="7">
        <f>ROUND(121.709999999999,2)</f>
        <v>121.71</v>
      </c>
      <c r="Q368" s="6"/>
      <c r="R368" s="6"/>
      <c r="S368" s="6"/>
      <c r="T368" s="6"/>
      <c r="U368" s="7">
        <f>ROUND(28.82,2)</f>
        <v>28.82</v>
      </c>
      <c r="V368" s="7">
        <f>ROUND(6.88,2)</f>
        <v>6.88</v>
      </c>
      <c r="W368" s="7">
        <f>ROUND(3.65,2)</f>
        <v>3.65</v>
      </c>
      <c r="X368" s="7">
        <f>ROUND(0.66,2)</f>
        <v>0.66</v>
      </c>
      <c r="Y368" s="6"/>
      <c r="Z368" s="6"/>
      <c r="AA368" s="6"/>
      <c r="AB368" s="6"/>
      <c r="AC368" s="7">
        <f>ROUND(126.119999999999,2)</f>
        <v>126.12</v>
      </c>
      <c r="AD368" s="7">
        <f>ROUND(11.04,2)</f>
        <v>11.04</v>
      </c>
      <c r="AE368" s="6"/>
      <c r="AF368" s="7">
        <f>ROUND(607.37,2)</f>
        <v>607.37</v>
      </c>
      <c r="AG368" s="7">
        <f>ROUND(25.89,2)</f>
        <v>25.89</v>
      </c>
      <c r="AH368" s="7">
        <f>ROUND(104,2)</f>
        <v>104</v>
      </c>
      <c r="AI368" s="6"/>
      <c r="AJ368" s="7">
        <f>ROUND(120,2)</f>
        <v>120</v>
      </c>
      <c r="AK368" s="6"/>
      <c r="AL368" s="7">
        <f>ROUND(8.5,2)</f>
        <v>8.5</v>
      </c>
      <c r="AM368" s="6"/>
      <c r="AN368" s="6"/>
      <c r="AO368" s="6"/>
      <c r="AP368" s="6"/>
      <c r="AQ368" s="7">
        <f>ROUND(32,2)</f>
        <v>32</v>
      </c>
      <c r="AR368" s="6"/>
      <c r="AS368" s="6"/>
      <c r="AT368" s="6"/>
      <c r="AU368" s="6"/>
      <c r="AV368" s="6"/>
      <c r="AW368" s="6"/>
      <c r="AX368" s="6"/>
      <c r="AY368" s="6"/>
      <c r="AZ368" s="6"/>
      <c r="BA368" s="6"/>
      <c r="BB368" s="7">
        <f>ROUND(24,2)</f>
        <v>24</v>
      </c>
      <c r="BC368" s="7">
        <f>ROUND(56,2)</f>
        <v>56</v>
      </c>
      <c r="BD368" s="7">
        <f>ROUND(3.92,2)</f>
        <v>3.92</v>
      </c>
      <c r="BE368" s="6"/>
      <c r="BF368" s="6"/>
      <c r="BG368" s="6"/>
      <c r="BH368" s="7">
        <f>ROUND(8,2)</f>
        <v>8</v>
      </c>
      <c r="BI368" s="6"/>
      <c r="BJ368" s="6"/>
      <c r="BK368" s="6"/>
      <c r="BL368" s="6"/>
      <c r="BM368" s="7">
        <f>ROUND(8,2)</f>
        <v>8</v>
      </c>
      <c r="BN368" s="6"/>
      <c r="BO368" s="6"/>
      <c r="BP368" s="6"/>
      <c r="BQ368" s="6"/>
      <c r="BR368" s="6"/>
      <c r="BS368" s="6"/>
      <c r="BT368" s="6"/>
      <c r="BU368" s="6"/>
      <c r="BV368" s="6"/>
      <c r="BW368" s="6"/>
      <c r="BX368" s="6"/>
      <c r="BY368" s="6"/>
      <c r="BZ368" s="6"/>
      <c r="CA368" s="6"/>
      <c r="CB368" s="7">
        <f>ROUND(2292.63,2)</f>
        <v>2292.63</v>
      </c>
      <c r="CC368" s="6"/>
      <c r="CD368" s="6"/>
      <c r="CE368" s="6"/>
      <c r="CF368" s="6"/>
      <c r="CG368" s="7">
        <f>ROUND(28337.3999999999,2)</f>
        <v>28337.4</v>
      </c>
      <c r="CH368" s="6"/>
      <c r="CI368" s="6"/>
      <c r="CJ368" s="7">
        <f>ROUND(5178.34999999999,2)</f>
        <v>5178.3500000000004</v>
      </c>
      <c r="CK368" s="6"/>
      <c r="CL368" s="6"/>
      <c r="CM368" s="6"/>
      <c r="CN368" s="6"/>
      <c r="CO368" s="7">
        <f>ROUND(801.62,2)</f>
        <v>801.62</v>
      </c>
      <c r="CP368" s="7">
        <f>ROUND(287.09,2)</f>
        <v>287.08999999999997</v>
      </c>
      <c r="CQ368" s="7">
        <f>ROUND(101.51,2)</f>
        <v>101.51</v>
      </c>
      <c r="CR368" s="7">
        <f>ROUND(27.5,2)</f>
        <v>27.5</v>
      </c>
      <c r="CS368" s="6"/>
      <c r="CT368" s="6"/>
      <c r="CU368" s="6"/>
      <c r="CV368" s="6"/>
      <c r="CW368" s="7">
        <f>ROUND(3509.92,2)</f>
        <v>3509.92</v>
      </c>
      <c r="CX368" s="7">
        <f>ROUND(460.819999999999,2)</f>
        <v>460.82</v>
      </c>
      <c r="CY368" s="6"/>
      <c r="CZ368" s="6"/>
      <c r="DA368" s="7">
        <f>ROUND(16933.14,2)</f>
        <v>16933.14</v>
      </c>
      <c r="DB368" s="7">
        <f>ROUND(1081.54,2)</f>
        <v>1081.54</v>
      </c>
      <c r="DC368" s="7">
        <f>ROUND(2993.92,2)</f>
        <v>2993.92</v>
      </c>
      <c r="DD368" s="6"/>
      <c r="DE368" s="7">
        <f>ROUND(3333.6,2)</f>
        <v>3333.6</v>
      </c>
      <c r="DF368" s="6"/>
      <c r="DG368" s="6"/>
      <c r="DH368" s="6"/>
      <c r="DI368" s="7">
        <f>ROUND(236.13,2)</f>
        <v>236.13</v>
      </c>
      <c r="DJ368" s="6"/>
      <c r="DK368" s="6"/>
      <c r="DL368" s="6"/>
      <c r="DM368" s="6"/>
      <c r="DN368" s="6"/>
      <c r="DO368" s="7">
        <f>ROUND(888.96,2)</f>
        <v>888.96</v>
      </c>
      <c r="DP368" s="6"/>
      <c r="DQ368" s="6"/>
      <c r="DR368" s="6"/>
      <c r="DS368" s="6"/>
      <c r="DT368" s="6"/>
      <c r="DU368" s="6"/>
      <c r="DV368" s="6"/>
      <c r="DW368" s="6"/>
      <c r="DX368" s="6"/>
      <c r="DY368" s="6"/>
      <c r="DZ368" s="6"/>
      <c r="EA368" s="6"/>
      <c r="EB368" s="6"/>
      <c r="EC368" s="6"/>
      <c r="ED368" s="6"/>
      <c r="EE368" s="7">
        <f>ROUND(975,2)</f>
        <v>975</v>
      </c>
      <c r="EF368" s="6"/>
      <c r="EG368" s="6"/>
      <c r="EH368" s="6"/>
      <c r="EI368" s="6"/>
      <c r="EJ368" s="6"/>
      <c r="EK368" s="6"/>
      <c r="EL368" s="6"/>
      <c r="EM368" s="6"/>
      <c r="EN368" s="6"/>
      <c r="EO368" s="6"/>
      <c r="EP368" s="6"/>
      <c r="EQ368" s="7">
        <f>ROUND(1250,2)</f>
        <v>1250</v>
      </c>
      <c r="ER368" s="6"/>
      <c r="ES368" s="6"/>
      <c r="ET368" s="6"/>
      <c r="EU368" s="6"/>
      <c r="EV368" s="7">
        <f>ROUND(66396.5,2)</f>
        <v>66396.5</v>
      </c>
    </row>
    <row r="369" spans="1:152">
      <c r="A369" s="4" t="s">
        <v>872</v>
      </c>
      <c r="B369" s="4" t="s">
        <v>1058</v>
      </c>
      <c r="C369" s="5" t="s">
        <v>152</v>
      </c>
      <c r="D369" s="5" t="s">
        <v>411</v>
      </c>
      <c r="E369" s="5" t="s">
        <v>0</v>
      </c>
      <c r="F369" s="5" t="s">
        <v>0</v>
      </c>
      <c r="G369" s="5" t="s">
        <v>155</v>
      </c>
      <c r="H369" s="10">
        <v>30.4</v>
      </c>
      <c r="I369" s="6"/>
      <c r="J369" s="6"/>
      <c r="K369" s="6"/>
      <c r="L369" s="6"/>
      <c r="M369" s="7">
        <f>ROUND(1388.48,2)</f>
        <v>1388.48</v>
      </c>
      <c r="N369" s="6"/>
      <c r="O369" s="6"/>
      <c r="P369" s="7">
        <f>ROUND(397.159999999999,2)</f>
        <v>397.16</v>
      </c>
      <c r="Q369" s="6"/>
      <c r="R369" s="6"/>
      <c r="S369" s="6"/>
      <c r="T369" s="6"/>
      <c r="U369" s="7">
        <f>ROUND(6.28,2)</f>
        <v>6.28</v>
      </c>
      <c r="V369" s="7">
        <f>ROUND(44.55,2)</f>
        <v>44.55</v>
      </c>
      <c r="W369" s="7">
        <f>ROUND(2.33,2)</f>
        <v>2.33</v>
      </c>
      <c r="X369" s="7">
        <f>ROUND(1.34,2)</f>
        <v>1.34</v>
      </c>
      <c r="Y369" s="6"/>
      <c r="Z369" s="6"/>
      <c r="AA369" s="6"/>
      <c r="AB369" s="6"/>
      <c r="AC369" s="7">
        <f>ROUND(277.67,2)</f>
        <v>277.67</v>
      </c>
      <c r="AD369" s="7">
        <f>ROUND(107.02,2)</f>
        <v>107.02</v>
      </c>
      <c r="AE369" s="6"/>
      <c r="AF369" s="7">
        <f>ROUND(105.71,2)</f>
        <v>105.71</v>
      </c>
      <c r="AG369" s="7">
        <f>ROUND(52.4,2)</f>
        <v>52.4</v>
      </c>
      <c r="AH369" s="7">
        <f>ROUND(90,2)</f>
        <v>90</v>
      </c>
      <c r="AI369" s="6"/>
      <c r="AJ369" s="7">
        <f>ROUND(200,2)</f>
        <v>200</v>
      </c>
      <c r="AK369" s="6"/>
      <c r="AL369" s="7">
        <f>ROUND(9.52,2)</f>
        <v>9.52</v>
      </c>
      <c r="AM369" s="6"/>
      <c r="AN369" s="7">
        <f>ROUND(11,2)</f>
        <v>11</v>
      </c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  <c r="BA369" s="6"/>
      <c r="BB369" s="6"/>
      <c r="BC369" s="6"/>
      <c r="BD369" s="6"/>
      <c r="BE369" s="6"/>
      <c r="BF369" s="6"/>
      <c r="BG369" s="6"/>
      <c r="BH369" s="6"/>
      <c r="BI369" s="6"/>
      <c r="BJ369" s="6"/>
      <c r="BK369" s="6"/>
      <c r="BL369" s="6"/>
      <c r="BM369" s="6"/>
      <c r="BN369" s="6"/>
      <c r="BO369" s="6"/>
      <c r="BP369" s="6"/>
      <c r="BQ369" s="6"/>
      <c r="BR369" s="6"/>
      <c r="BS369" s="6"/>
      <c r="BT369" s="6"/>
      <c r="BU369" s="6"/>
      <c r="BV369" s="6"/>
      <c r="BW369" s="6"/>
      <c r="BX369" s="6"/>
      <c r="BY369" s="6"/>
      <c r="BZ369" s="6"/>
      <c r="CA369" s="6"/>
      <c r="CB369" s="7">
        <f>ROUND(2693.45999999999,2)</f>
        <v>2693.46</v>
      </c>
      <c r="CC369" s="6"/>
      <c r="CD369" s="6"/>
      <c r="CE369" s="6"/>
      <c r="CF369" s="6"/>
      <c r="CG369" s="7">
        <f>ROUND(39250.99,2)</f>
        <v>39250.99</v>
      </c>
      <c r="CH369" s="6"/>
      <c r="CI369" s="6"/>
      <c r="CJ369" s="7">
        <f>ROUND(17036.92,2)</f>
        <v>17036.919999999998</v>
      </c>
      <c r="CK369" s="6"/>
      <c r="CL369" s="6"/>
      <c r="CM369" s="6"/>
      <c r="CN369" s="6"/>
      <c r="CO369" s="7">
        <f>ROUND(175.22,2)</f>
        <v>175.22</v>
      </c>
      <c r="CP369" s="7">
        <f>ROUND(1930.1,2)</f>
        <v>1930.1</v>
      </c>
      <c r="CQ369" s="7">
        <f>ROUND(64.89,2)</f>
        <v>64.89</v>
      </c>
      <c r="CR369" s="7">
        <f>ROUND(55.84,2)</f>
        <v>55.84</v>
      </c>
      <c r="CS369" s="6"/>
      <c r="CT369" s="6"/>
      <c r="CU369" s="6"/>
      <c r="CV369" s="6"/>
      <c r="CW369" s="7">
        <f>ROUND(7716.08,2)</f>
        <v>7716.08</v>
      </c>
      <c r="CX369" s="7">
        <f>ROUND(4459.53,2)</f>
        <v>4459.53</v>
      </c>
      <c r="CY369" s="6"/>
      <c r="CZ369" s="6"/>
      <c r="DA369" s="7">
        <f>ROUND(2948.74999999999,2)</f>
        <v>2948.75</v>
      </c>
      <c r="DB369" s="7">
        <f>ROUND(2235.76,2)</f>
        <v>2235.7600000000002</v>
      </c>
      <c r="DC369" s="7">
        <f>ROUND(2563.08,2)</f>
        <v>2563.08</v>
      </c>
      <c r="DD369" s="6"/>
      <c r="DE369" s="7">
        <f>ROUND(5576.95999999999,2)</f>
        <v>5576.96</v>
      </c>
      <c r="DF369" s="6"/>
      <c r="DG369" s="6"/>
      <c r="DH369" s="6"/>
      <c r="DI369" s="7">
        <f>ROUND(264.47,2)</f>
        <v>264.47000000000003</v>
      </c>
      <c r="DJ369" s="6"/>
      <c r="DK369" s="7">
        <f>ROUND(501.6,2)</f>
        <v>501.6</v>
      </c>
      <c r="DL369" s="6"/>
      <c r="DM369" s="6"/>
      <c r="DN369" s="6"/>
      <c r="DO369" s="6"/>
      <c r="DP369" s="6"/>
      <c r="DQ369" s="6"/>
      <c r="DR369" s="7">
        <f>ROUND(500,2)</f>
        <v>500</v>
      </c>
      <c r="DS369" s="6"/>
      <c r="DT369" s="6"/>
      <c r="DU369" s="6"/>
      <c r="DV369" s="6"/>
      <c r="DW369" s="6"/>
      <c r="DX369" s="6"/>
      <c r="DY369" s="6"/>
      <c r="DZ369" s="6"/>
      <c r="EA369" s="6"/>
      <c r="EB369" s="6"/>
      <c r="EC369" s="6"/>
      <c r="ED369" s="6"/>
      <c r="EE369" s="7">
        <f>ROUND(2000,2)</f>
        <v>2000</v>
      </c>
      <c r="EF369" s="6"/>
      <c r="EG369" s="6"/>
      <c r="EH369" s="6"/>
      <c r="EI369" s="6"/>
      <c r="EJ369" s="6"/>
      <c r="EK369" s="6"/>
      <c r="EL369" s="6"/>
      <c r="EM369" s="6"/>
      <c r="EN369" s="6"/>
      <c r="EO369" s="6"/>
      <c r="EP369" s="6"/>
      <c r="EQ369" s="7">
        <f>ROUND(1250,2)</f>
        <v>1250</v>
      </c>
      <c r="ER369" s="6"/>
      <c r="ES369" s="6"/>
      <c r="ET369" s="6"/>
      <c r="EU369" s="6"/>
      <c r="EV369" s="7">
        <f>ROUND(88530.1899999999,2)</f>
        <v>88530.19</v>
      </c>
    </row>
    <row r="370" spans="1:152">
      <c r="A370" s="4" t="s">
        <v>873</v>
      </c>
      <c r="B370" s="4" t="s">
        <v>1058</v>
      </c>
      <c r="C370" s="5" t="s">
        <v>152</v>
      </c>
      <c r="D370" s="5" t="s">
        <v>455</v>
      </c>
      <c r="E370" s="5" t="s">
        <v>0</v>
      </c>
      <c r="F370" s="5" t="s">
        <v>0</v>
      </c>
      <c r="G370" s="5" t="s">
        <v>155</v>
      </c>
      <c r="H370" s="10">
        <v>30.4</v>
      </c>
      <c r="I370" s="6"/>
      <c r="J370" s="6"/>
      <c r="K370" s="6"/>
      <c r="L370" s="6"/>
      <c r="M370" s="7">
        <f>ROUND(512.73,2)</f>
        <v>512.73</v>
      </c>
      <c r="N370" s="6"/>
      <c r="O370" s="6"/>
      <c r="P370" s="7">
        <f>ROUND(183.81,2)</f>
        <v>183.81</v>
      </c>
      <c r="Q370" s="6"/>
      <c r="R370" s="6"/>
      <c r="S370" s="6"/>
      <c r="T370" s="6"/>
      <c r="U370" s="7">
        <f>ROUND(17.75,2)</f>
        <v>17.75</v>
      </c>
      <c r="V370" s="7">
        <f>ROUND(39.42,2)</f>
        <v>39.42</v>
      </c>
      <c r="W370" s="7">
        <f>ROUND(4.5,2)</f>
        <v>4.5</v>
      </c>
      <c r="X370" s="6"/>
      <c r="Y370" s="6"/>
      <c r="Z370" s="6"/>
      <c r="AA370" s="6"/>
      <c r="AB370" s="6"/>
      <c r="AC370" s="7">
        <f>ROUND(1112.53,2)</f>
        <v>1112.53</v>
      </c>
      <c r="AD370" s="7">
        <f>ROUND(41.3799999999999,2)</f>
        <v>41.38</v>
      </c>
      <c r="AE370" s="6"/>
      <c r="AF370" s="7">
        <f>ROUND(121.989999999999,2)</f>
        <v>121.99</v>
      </c>
      <c r="AG370" s="7">
        <f>ROUND(58.73,2)</f>
        <v>58.73</v>
      </c>
      <c r="AH370" s="7">
        <f>ROUND(58,2)</f>
        <v>58</v>
      </c>
      <c r="AI370" s="6"/>
      <c r="AJ370" s="7">
        <f>ROUND(136,2)</f>
        <v>136</v>
      </c>
      <c r="AK370" s="6"/>
      <c r="AL370" s="7">
        <f>ROUND(8,2)</f>
        <v>8</v>
      </c>
      <c r="AM370" s="6"/>
      <c r="AN370" s="6"/>
      <c r="AO370" s="6"/>
      <c r="AP370" s="7">
        <f>ROUND(40,2)</f>
        <v>40</v>
      </c>
      <c r="AQ370" s="6"/>
      <c r="AR370" s="6"/>
      <c r="AS370" s="6"/>
      <c r="AT370" s="6"/>
      <c r="AU370" s="6"/>
      <c r="AV370" s="6"/>
      <c r="AW370" s="6"/>
      <c r="AX370" s="6"/>
      <c r="AY370" s="6"/>
      <c r="AZ370" s="6"/>
      <c r="BA370" s="6"/>
      <c r="BB370" s="7">
        <f>ROUND(24,2)</f>
        <v>24</v>
      </c>
      <c r="BC370" s="6"/>
      <c r="BD370" s="6"/>
      <c r="BE370" s="7">
        <f>ROUND(72,2)</f>
        <v>72</v>
      </c>
      <c r="BF370" s="6"/>
      <c r="BG370" s="6"/>
      <c r="BH370" s="6"/>
      <c r="BI370" s="6"/>
      <c r="BJ370" s="7">
        <f>ROUND(8,2)</f>
        <v>8</v>
      </c>
      <c r="BK370" s="6"/>
      <c r="BL370" s="6"/>
      <c r="BM370" s="7">
        <f>ROUND(16,2)</f>
        <v>16</v>
      </c>
      <c r="BN370" s="6"/>
      <c r="BO370" s="6"/>
      <c r="BP370" s="6"/>
      <c r="BQ370" s="6"/>
      <c r="BR370" s="6"/>
      <c r="BS370" s="6"/>
      <c r="BT370" s="6"/>
      <c r="BU370" s="6"/>
      <c r="BV370" s="6"/>
      <c r="BW370" s="6"/>
      <c r="BX370" s="6"/>
      <c r="BY370" s="6"/>
      <c r="BZ370" s="6"/>
      <c r="CA370" s="7">
        <f>ROUND(24,2)</f>
        <v>24</v>
      </c>
      <c r="CB370" s="7">
        <f>ROUND(2478.83999999999,2)</f>
        <v>2478.84</v>
      </c>
      <c r="CC370" s="6"/>
      <c r="CD370" s="6"/>
      <c r="CE370" s="6"/>
      <c r="CF370" s="6"/>
      <c r="CG370" s="7">
        <f>ROUND(14273.86,2)</f>
        <v>14273.86</v>
      </c>
      <c r="CH370" s="6"/>
      <c r="CI370" s="6"/>
      <c r="CJ370" s="7">
        <f>ROUND(7603.23,2)</f>
        <v>7603.23</v>
      </c>
      <c r="CK370" s="6"/>
      <c r="CL370" s="6"/>
      <c r="CM370" s="6"/>
      <c r="CN370" s="6"/>
      <c r="CO370" s="7">
        <f>ROUND(495.76,2)</f>
        <v>495.76</v>
      </c>
      <c r="CP370" s="7">
        <f>ROUND(1707.10999999999,2)</f>
        <v>1707.11</v>
      </c>
      <c r="CQ370" s="7">
        <f>ROUND(126.55,2)</f>
        <v>126.55</v>
      </c>
      <c r="CR370" s="6"/>
      <c r="CS370" s="6"/>
      <c r="CT370" s="6"/>
      <c r="CU370" s="6"/>
      <c r="CV370" s="6"/>
      <c r="CW370" s="7">
        <f>ROUND(31269.29,2)</f>
        <v>31269.29</v>
      </c>
      <c r="CX370" s="7">
        <f>ROUND(1778.21999999999,2)</f>
        <v>1778.22</v>
      </c>
      <c r="CY370" s="6"/>
      <c r="CZ370" s="6"/>
      <c r="DA370" s="7">
        <f>ROUND(3433.32999999999,2)</f>
        <v>3433.33</v>
      </c>
      <c r="DB370" s="7">
        <f>ROUND(2477.45999999999,2)</f>
        <v>2477.46</v>
      </c>
      <c r="DC370" s="7">
        <f>ROUND(1653.16,2)</f>
        <v>1653.16</v>
      </c>
      <c r="DD370" s="6"/>
      <c r="DE370" s="7">
        <f>ROUND(3799.03999999999,2)</f>
        <v>3799.04</v>
      </c>
      <c r="DF370" s="6"/>
      <c r="DG370" s="6"/>
      <c r="DH370" s="6"/>
      <c r="DI370" s="7">
        <f>ROUND(222.24,2)</f>
        <v>222.24</v>
      </c>
      <c r="DJ370" s="6"/>
      <c r="DK370" s="6"/>
      <c r="DL370" s="6"/>
      <c r="DM370" s="7">
        <f>ROUND(1216,2)</f>
        <v>1216</v>
      </c>
      <c r="DN370" s="6"/>
      <c r="DO370" s="6"/>
      <c r="DP370" s="6"/>
      <c r="DQ370" s="6"/>
      <c r="DR370" s="6"/>
      <c r="DS370" s="6"/>
      <c r="DT370" s="6"/>
      <c r="DU370" s="6"/>
      <c r="DV370" s="6"/>
      <c r="DW370" s="6"/>
      <c r="DX370" s="6"/>
      <c r="DY370" s="6"/>
      <c r="DZ370" s="6"/>
      <c r="EA370" s="6"/>
      <c r="EB370" s="6"/>
      <c r="EC370" s="6"/>
      <c r="ED370" s="6"/>
      <c r="EE370" s="7">
        <f>ROUND(750,2)</f>
        <v>750</v>
      </c>
      <c r="EF370" s="6"/>
      <c r="EG370" s="6"/>
      <c r="EH370" s="6"/>
      <c r="EI370" s="6"/>
      <c r="EJ370" s="6"/>
      <c r="EK370" s="6"/>
      <c r="EL370" s="6"/>
      <c r="EM370" s="6"/>
      <c r="EN370" s="6"/>
      <c r="EO370" s="6"/>
      <c r="EP370" s="6"/>
      <c r="EQ370" s="7">
        <f>ROUND(1250,2)</f>
        <v>1250</v>
      </c>
      <c r="ER370" s="6"/>
      <c r="ES370" s="6"/>
      <c r="ET370" s="6"/>
      <c r="EU370" s="7">
        <f>ROUND(729.6,2)</f>
        <v>729.6</v>
      </c>
      <c r="EV370" s="7">
        <f>ROUND(72784.85,2)</f>
        <v>72784.850000000006</v>
      </c>
    </row>
    <row r="371" spans="1:152" ht="24">
      <c r="A371" s="4" t="s">
        <v>874</v>
      </c>
      <c r="B371" s="4"/>
      <c r="C371" s="5" t="s">
        <v>178</v>
      </c>
      <c r="D371" s="5" t="s">
        <v>374</v>
      </c>
      <c r="E371" s="5" t="s">
        <v>0</v>
      </c>
      <c r="F371" s="5" t="s">
        <v>0</v>
      </c>
      <c r="G371" s="5" t="s">
        <v>248</v>
      </c>
      <c r="H371" s="10">
        <v>18.54</v>
      </c>
      <c r="I371" s="7">
        <f>ROUND(474,2)</f>
        <v>474</v>
      </c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  <c r="BA371" s="6"/>
      <c r="BB371" s="6"/>
      <c r="BC371" s="6"/>
      <c r="BD371" s="6"/>
      <c r="BE371" s="6"/>
      <c r="BF371" s="6"/>
      <c r="BG371" s="6"/>
      <c r="BH371" s="6"/>
      <c r="BI371" s="6"/>
      <c r="BJ371" s="6"/>
      <c r="BK371" s="6"/>
      <c r="BL371" s="6"/>
      <c r="BM371" s="6"/>
      <c r="BN371" s="6"/>
      <c r="BO371" s="6"/>
      <c r="BP371" s="6"/>
      <c r="BQ371" s="6"/>
      <c r="BR371" s="6"/>
      <c r="BS371" s="6"/>
      <c r="BT371" s="7">
        <f>ROUND(5,2)</f>
        <v>5</v>
      </c>
      <c r="BU371" s="6"/>
      <c r="BV371" s="6"/>
      <c r="BW371" s="6"/>
      <c r="BX371" s="6"/>
      <c r="BY371" s="6"/>
      <c r="BZ371" s="6"/>
      <c r="CA371" s="6"/>
      <c r="CB371" s="7">
        <f>ROUND(479,2)</f>
        <v>479</v>
      </c>
      <c r="CC371" s="7">
        <f>ROUND(8628.65999999999,2)</f>
        <v>8628.66</v>
      </c>
      <c r="CD371" s="6"/>
      <c r="CE371" s="6"/>
      <c r="CF371" s="6"/>
      <c r="CG371" s="6"/>
      <c r="CH371" s="6"/>
      <c r="CI371" s="6"/>
      <c r="CJ371" s="6"/>
      <c r="CK371" s="6"/>
      <c r="CL371" s="6"/>
      <c r="CM371" s="6"/>
      <c r="CN371" s="6"/>
      <c r="CO371" s="6"/>
      <c r="CP371" s="6"/>
      <c r="CQ371" s="6"/>
      <c r="CR371" s="6"/>
      <c r="CS371" s="6"/>
      <c r="CT371" s="6"/>
      <c r="CU371" s="6"/>
      <c r="CV371" s="6"/>
      <c r="CW371" s="6"/>
      <c r="CX371" s="6"/>
      <c r="CY371" s="6"/>
      <c r="CZ371" s="6"/>
      <c r="DA371" s="6"/>
      <c r="DB371" s="6"/>
      <c r="DC371" s="6"/>
      <c r="DD371" s="6"/>
      <c r="DE371" s="6"/>
      <c r="DF371" s="6"/>
      <c r="DG371" s="6"/>
      <c r="DH371" s="6"/>
      <c r="DI371" s="6"/>
      <c r="DJ371" s="6"/>
      <c r="DK371" s="6"/>
      <c r="DL371" s="6"/>
      <c r="DM371" s="6"/>
      <c r="DN371" s="6"/>
      <c r="DO371" s="6"/>
      <c r="DP371" s="6"/>
      <c r="DQ371" s="6"/>
      <c r="DR371" s="6"/>
      <c r="DS371" s="6"/>
      <c r="DT371" s="6"/>
      <c r="DU371" s="6"/>
      <c r="DV371" s="6"/>
      <c r="DW371" s="6"/>
      <c r="DX371" s="6"/>
      <c r="DY371" s="6"/>
      <c r="DZ371" s="6"/>
      <c r="EA371" s="6"/>
      <c r="EB371" s="6"/>
      <c r="EC371" s="6"/>
      <c r="ED371" s="6"/>
      <c r="EE371" s="7">
        <f>ROUND(225,2)</f>
        <v>225</v>
      </c>
      <c r="EF371" s="6"/>
      <c r="EG371" s="7">
        <f>ROUND(92.7,2)</f>
        <v>92.7</v>
      </c>
      <c r="EH371" s="6"/>
      <c r="EI371" s="6"/>
      <c r="EJ371" s="6"/>
      <c r="EK371" s="6"/>
      <c r="EL371" s="6"/>
      <c r="EM371" s="6"/>
      <c r="EN371" s="6"/>
      <c r="EO371" s="6"/>
      <c r="EP371" s="6"/>
      <c r="EQ371" s="6"/>
      <c r="ER371" s="6"/>
      <c r="ES371" s="6"/>
      <c r="ET371" s="6"/>
      <c r="EU371" s="6"/>
      <c r="EV371" s="7">
        <f>ROUND(8946.35999999999,2)</f>
        <v>8946.36</v>
      </c>
    </row>
    <row r="372" spans="1:152">
      <c r="A372" s="4" t="s">
        <v>875</v>
      </c>
      <c r="B372" s="4" t="s">
        <v>1058</v>
      </c>
      <c r="C372" s="5" t="s">
        <v>152</v>
      </c>
      <c r="D372" s="5" t="s">
        <v>173</v>
      </c>
      <c r="E372" s="5" t="s">
        <v>876</v>
      </c>
      <c r="F372" s="5" t="s">
        <v>0</v>
      </c>
      <c r="G372" s="5" t="s">
        <v>155</v>
      </c>
      <c r="H372" s="10">
        <v>24.32</v>
      </c>
      <c r="I372" s="6"/>
      <c r="J372" s="6"/>
      <c r="K372" s="6"/>
      <c r="L372" s="6"/>
      <c r="M372" s="7">
        <f>ROUND(156.579999999999,2)</f>
        <v>156.58000000000001</v>
      </c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7">
        <f>ROUND(24,2)</f>
        <v>24</v>
      </c>
      <c r="AD372" s="6"/>
      <c r="AE372" s="6"/>
      <c r="AF372" s="6"/>
      <c r="AG372" s="6"/>
      <c r="AH372" s="7">
        <f>ROUND(5,2)</f>
        <v>5</v>
      </c>
      <c r="AI372" s="6"/>
      <c r="AJ372" s="6"/>
      <c r="AK372" s="6"/>
      <c r="AL372" s="7">
        <f>ROUND(297.6,2)</f>
        <v>297.60000000000002</v>
      </c>
      <c r="AM372" s="7">
        <f>ROUND(3.49,2)</f>
        <v>3.49</v>
      </c>
      <c r="AN372" s="7">
        <f>ROUND(6.1,2)</f>
        <v>6.1</v>
      </c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  <c r="BA372" s="6"/>
      <c r="BB372" s="6"/>
      <c r="BC372" s="6"/>
      <c r="BD372" s="6"/>
      <c r="BE372" s="7">
        <f>ROUND(5,2)</f>
        <v>5</v>
      </c>
      <c r="BF372" s="6"/>
      <c r="BG372" s="6"/>
      <c r="BH372" s="7">
        <f>ROUND(5,2)</f>
        <v>5</v>
      </c>
      <c r="BI372" s="6"/>
      <c r="BJ372" s="6"/>
      <c r="BK372" s="6"/>
      <c r="BL372" s="6"/>
      <c r="BM372" s="7">
        <f>ROUND(10,2)</f>
        <v>10</v>
      </c>
      <c r="BN372" s="6"/>
      <c r="BO372" s="6"/>
      <c r="BP372" s="6"/>
      <c r="BQ372" s="6"/>
      <c r="BR372" s="6"/>
      <c r="BS372" s="6"/>
      <c r="BT372" s="6"/>
      <c r="BU372" s="6"/>
      <c r="BV372" s="6"/>
      <c r="BW372" s="6"/>
      <c r="BX372" s="6"/>
      <c r="BY372" s="6"/>
      <c r="BZ372" s="6"/>
      <c r="CA372" s="7">
        <f>ROUND(24,2)</f>
        <v>24</v>
      </c>
      <c r="CB372" s="7">
        <f>ROUND(536.769999999999,2)</f>
        <v>536.77</v>
      </c>
      <c r="CC372" s="6"/>
      <c r="CD372" s="6"/>
      <c r="CE372" s="6"/>
      <c r="CF372" s="6"/>
      <c r="CG372" s="7">
        <f>ROUND(3389.19,2)</f>
        <v>3389.19</v>
      </c>
      <c r="CH372" s="6"/>
      <c r="CI372" s="6"/>
      <c r="CJ372" s="6"/>
      <c r="CK372" s="6"/>
      <c r="CL372" s="6"/>
      <c r="CM372" s="6"/>
      <c r="CN372" s="6"/>
      <c r="CO372" s="6"/>
      <c r="CP372" s="6"/>
      <c r="CQ372" s="6"/>
      <c r="CR372" s="6"/>
      <c r="CS372" s="6"/>
      <c r="CT372" s="6"/>
      <c r="CU372" s="6"/>
      <c r="CV372" s="6"/>
      <c r="CW372" s="7">
        <f>ROUND(513.98,2)</f>
        <v>513.98</v>
      </c>
      <c r="CX372" s="6"/>
      <c r="CY372" s="6"/>
      <c r="CZ372" s="6"/>
      <c r="DA372" s="6"/>
      <c r="DB372" s="6"/>
      <c r="DC372" s="7">
        <f>ROUND(104.18,2)</f>
        <v>104.18</v>
      </c>
      <c r="DD372" s="6"/>
      <c r="DE372" s="6"/>
      <c r="DF372" s="6"/>
      <c r="DG372" s="6"/>
      <c r="DH372" s="6"/>
      <c r="DI372" s="7">
        <f>ROUND(5208,2)</f>
        <v>5208</v>
      </c>
      <c r="DJ372" s="7">
        <f>ROUND(77.84,2)</f>
        <v>77.84</v>
      </c>
      <c r="DK372" s="7">
        <f>ROUND(160.13,2)</f>
        <v>160.13</v>
      </c>
      <c r="DL372" s="6"/>
      <c r="DM372" s="6"/>
      <c r="DN372" s="6"/>
      <c r="DO372" s="6"/>
      <c r="DP372" s="6"/>
      <c r="DQ372" s="6"/>
      <c r="DR372" s="6"/>
      <c r="DS372" s="6"/>
      <c r="DT372" s="6"/>
      <c r="DU372" s="6"/>
      <c r="DV372" s="6"/>
      <c r="DW372" s="6"/>
      <c r="DX372" s="6"/>
      <c r="DY372" s="6"/>
      <c r="DZ372" s="6"/>
      <c r="EA372" s="6"/>
      <c r="EB372" s="6"/>
      <c r="EC372" s="6"/>
      <c r="ED372" s="6"/>
      <c r="EE372" s="6"/>
      <c r="EF372" s="6"/>
      <c r="EG372" s="6"/>
      <c r="EH372" s="6"/>
      <c r="EI372" s="6"/>
      <c r="EJ372" s="6"/>
      <c r="EK372" s="6"/>
      <c r="EL372" s="6"/>
      <c r="EM372" s="6"/>
      <c r="EN372" s="6"/>
      <c r="EO372" s="6"/>
      <c r="EP372" s="6"/>
      <c r="EQ372" s="7">
        <f>ROUND(196.8,2)</f>
        <v>196.8</v>
      </c>
      <c r="ER372" s="6"/>
      <c r="ES372" s="6"/>
      <c r="ET372" s="6"/>
      <c r="EU372" s="7">
        <f>ROUND(583.68,2)</f>
        <v>583.67999999999995</v>
      </c>
      <c r="EV372" s="7">
        <f>ROUND(10233.8,2)</f>
        <v>10233.799999999999</v>
      </c>
    </row>
    <row r="373" spans="1:152">
      <c r="A373" s="4" t="s">
        <v>877</v>
      </c>
      <c r="B373" s="4" t="s">
        <v>1058</v>
      </c>
      <c r="C373" s="5" t="s">
        <v>152</v>
      </c>
      <c r="D373" s="5" t="s">
        <v>173</v>
      </c>
      <c r="E373" s="5" t="s">
        <v>0</v>
      </c>
      <c r="F373" s="5" t="s">
        <v>0</v>
      </c>
      <c r="G373" s="5" t="s">
        <v>155</v>
      </c>
      <c r="H373" s="10">
        <v>24.32</v>
      </c>
      <c r="I373" s="6"/>
      <c r="J373" s="6"/>
      <c r="K373" s="6"/>
      <c r="L373" s="6"/>
      <c r="M373" s="7">
        <f>ROUND(199.49,2)</f>
        <v>199.49</v>
      </c>
      <c r="N373" s="6"/>
      <c r="O373" s="6"/>
      <c r="P373" s="7">
        <f>ROUND(0.28,2)</f>
        <v>0.28000000000000003</v>
      </c>
      <c r="Q373" s="6"/>
      <c r="R373" s="6"/>
      <c r="S373" s="6"/>
      <c r="T373" s="6"/>
      <c r="U373" s="6"/>
      <c r="V373" s="6"/>
      <c r="W373" s="7">
        <f>ROUND(1,2)</f>
        <v>1</v>
      </c>
      <c r="X373" s="6"/>
      <c r="Y373" s="6"/>
      <c r="Z373" s="6"/>
      <c r="AA373" s="6"/>
      <c r="AB373" s="6"/>
      <c r="AC373" s="7">
        <f>ROUND(38.5999999999999,2)</f>
        <v>38.6</v>
      </c>
      <c r="AD373" s="6"/>
      <c r="AE373" s="6"/>
      <c r="AF373" s="7">
        <f>ROUND(9.42,2)</f>
        <v>9.42</v>
      </c>
      <c r="AG373" s="6"/>
      <c r="AH373" s="7">
        <f>ROUND(10,2)</f>
        <v>10</v>
      </c>
      <c r="AI373" s="6"/>
      <c r="AJ373" s="6"/>
      <c r="AK373" s="6"/>
      <c r="AL373" s="7">
        <f>ROUND(240,2)</f>
        <v>240</v>
      </c>
      <c r="AM373" s="6"/>
      <c r="AN373" s="7">
        <f>ROUND(17.55,2)</f>
        <v>17.55</v>
      </c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  <c r="BA373" s="6"/>
      <c r="BB373" s="6"/>
      <c r="BC373" s="6"/>
      <c r="BD373" s="6"/>
      <c r="BE373" s="6"/>
      <c r="BF373" s="6"/>
      <c r="BG373" s="6"/>
      <c r="BH373" s="6"/>
      <c r="BI373" s="6"/>
      <c r="BJ373" s="6"/>
      <c r="BK373" s="6"/>
      <c r="BL373" s="6"/>
      <c r="BM373" s="6"/>
      <c r="BN373" s="6"/>
      <c r="BO373" s="6"/>
      <c r="BP373" s="6"/>
      <c r="BQ373" s="6"/>
      <c r="BR373" s="6"/>
      <c r="BS373" s="6"/>
      <c r="BT373" s="6"/>
      <c r="BU373" s="6"/>
      <c r="BV373" s="6"/>
      <c r="BW373" s="6"/>
      <c r="BX373" s="6"/>
      <c r="BY373" s="6"/>
      <c r="BZ373" s="6"/>
      <c r="CA373" s="7">
        <f>ROUND(24,2)</f>
        <v>24</v>
      </c>
      <c r="CB373" s="7">
        <f>ROUND(540.34,2)</f>
        <v>540.34</v>
      </c>
      <c r="CC373" s="6"/>
      <c r="CD373" s="6"/>
      <c r="CE373" s="6"/>
      <c r="CF373" s="6"/>
      <c r="CG373" s="7">
        <f>ROUND(4302.18,2)</f>
        <v>4302.18</v>
      </c>
      <c r="CH373" s="6"/>
      <c r="CI373" s="6"/>
      <c r="CJ373" s="7">
        <f>ROUND(7.35,2)</f>
        <v>7.35</v>
      </c>
      <c r="CK373" s="6"/>
      <c r="CL373" s="6"/>
      <c r="CM373" s="6"/>
      <c r="CN373" s="6"/>
      <c r="CO373" s="6"/>
      <c r="CP373" s="6"/>
      <c r="CQ373" s="7">
        <f>ROUND(20.84,2)</f>
        <v>20.84</v>
      </c>
      <c r="CR373" s="6"/>
      <c r="CS373" s="6"/>
      <c r="CT373" s="6"/>
      <c r="CU373" s="6"/>
      <c r="CV373" s="6"/>
      <c r="CW373" s="7">
        <f>ROUND(832.99,2)</f>
        <v>832.99</v>
      </c>
      <c r="CX373" s="6"/>
      <c r="CY373" s="6"/>
      <c r="CZ373" s="6"/>
      <c r="DA373" s="7">
        <f>ROUND(196.27,2)</f>
        <v>196.27</v>
      </c>
      <c r="DB373" s="6"/>
      <c r="DC373" s="7">
        <f>ROUND(225.78,2)</f>
        <v>225.78</v>
      </c>
      <c r="DD373" s="6"/>
      <c r="DE373" s="6"/>
      <c r="DF373" s="6"/>
      <c r="DG373" s="6"/>
      <c r="DH373" s="6"/>
      <c r="DI373" s="7">
        <f>ROUND(4200,2)</f>
        <v>4200</v>
      </c>
      <c r="DJ373" s="6"/>
      <c r="DK373" s="7">
        <f>ROUND(460.69,2)</f>
        <v>460.69</v>
      </c>
      <c r="DL373" s="6"/>
      <c r="DM373" s="6"/>
      <c r="DN373" s="6"/>
      <c r="DO373" s="6"/>
      <c r="DP373" s="6"/>
      <c r="DQ373" s="6"/>
      <c r="DR373" s="6"/>
      <c r="DS373" s="6"/>
      <c r="DT373" s="6"/>
      <c r="DU373" s="6"/>
      <c r="DV373" s="6"/>
      <c r="DW373" s="6"/>
      <c r="DX373" s="6"/>
      <c r="DY373" s="6"/>
      <c r="DZ373" s="6"/>
      <c r="EA373" s="6"/>
      <c r="EB373" s="6"/>
      <c r="EC373" s="6"/>
      <c r="ED373" s="6"/>
      <c r="EE373" s="6"/>
      <c r="EF373" s="6"/>
      <c r="EG373" s="6"/>
      <c r="EH373" s="6"/>
      <c r="EI373" s="6"/>
      <c r="EJ373" s="6"/>
      <c r="EK373" s="6"/>
      <c r="EL373" s="6"/>
      <c r="EM373" s="6"/>
      <c r="EN373" s="6"/>
      <c r="EO373" s="6"/>
      <c r="EP373" s="6"/>
      <c r="EQ373" s="7">
        <f>ROUND(196.8,2)</f>
        <v>196.8</v>
      </c>
      <c r="ER373" s="6"/>
      <c r="ES373" s="6"/>
      <c r="ET373" s="6"/>
      <c r="EU373" s="7">
        <f>ROUND(583.68,2)</f>
        <v>583.67999999999995</v>
      </c>
      <c r="EV373" s="7">
        <f>ROUND(11026.58,2)</f>
        <v>11026.58</v>
      </c>
    </row>
    <row r="374" spans="1:152">
      <c r="A374" s="4" t="s">
        <v>878</v>
      </c>
      <c r="B374" s="4" t="s">
        <v>1058</v>
      </c>
      <c r="C374" s="5" t="s">
        <v>152</v>
      </c>
      <c r="D374" s="5" t="s">
        <v>173</v>
      </c>
      <c r="E374" s="5" t="s">
        <v>879</v>
      </c>
      <c r="F374" s="5" t="s">
        <v>0</v>
      </c>
      <c r="G374" s="5" t="s">
        <v>155</v>
      </c>
      <c r="H374" s="10">
        <v>17.5</v>
      </c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7">
        <f>ROUND(209,2)</f>
        <v>209</v>
      </c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  <c r="BA374" s="6"/>
      <c r="BB374" s="6"/>
      <c r="BC374" s="6"/>
      <c r="BD374" s="6"/>
      <c r="BE374" s="6"/>
      <c r="BF374" s="6"/>
      <c r="BG374" s="6"/>
      <c r="BH374" s="6"/>
      <c r="BI374" s="6"/>
      <c r="BJ374" s="6"/>
      <c r="BK374" s="6"/>
      <c r="BL374" s="6"/>
      <c r="BM374" s="6"/>
      <c r="BN374" s="6"/>
      <c r="BO374" s="6"/>
      <c r="BP374" s="6"/>
      <c r="BQ374" s="6"/>
      <c r="BR374" s="6"/>
      <c r="BS374" s="6"/>
      <c r="BT374" s="6"/>
      <c r="BU374" s="6"/>
      <c r="BV374" s="6"/>
      <c r="BW374" s="6"/>
      <c r="BX374" s="6"/>
      <c r="BY374" s="6"/>
      <c r="BZ374" s="6"/>
      <c r="CA374" s="6"/>
      <c r="CB374" s="7">
        <f>ROUND(209,2)</f>
        <v>209</v>
      </c>
      <c r="CC374" s="6"/>
      <c r="CD374" s="6"/>
      <c r="CE374" s="6"/>
      <c r="CF374" s="6"/>
      <c r="CG374" s="6"/>
      <c r="CH374" s="6"/>
      <c r="CI374" s="6"/>
      <c r="CJ374" s="6"/>
      <c r="CK374" s="6"/>
      <c r="CL374" s="6"/>
      <c r="CM374" s="6"/>
      <c r="CN374" s="6"/>
      <c r="CO374" s="6"/>
      <c r="CP374" s="6"/>
      <c r="CQ374" s="6"/>
      <c r="CR374" s="6"/>
      <c r="CS374" s="6"/>
      <c r="CT374" s="6"/>
      <c r="CU374" s="6"/>
      <c r="CV374" s="6"/>
      <c r="CW374" s="6"/>
      <c r="CX374" s="6"/>
      <c r="CY374" s="6"/>
      <c r="CZ374" s="6"/>
      <c r="DA374" s="6"/>
      <c r="DB374" s="6"/>
      <c r="DC374" s="6"/>
      <c r="DD374" s="6"/>
      <c r="DE374" s="6"/>
      <c r="DF374" s="6"/>
      <c r="DG374" s="6"/>
      <c r="DH374" s="6"/>
      <c r="DI374" s="7">
        <f>ROUND(3657.5,2)</f>
        <v>3657.5</v>
      </c>
      <c r="DJ374" s="6"/>
      <c r="DK374" s="6"/>
      <c r="DL374" s="6"/>
      <c r="DM374" s="6"/>
      <c r="DN374" s="6"/>
      <c r="DO374" s="6"/>
      <c r="DP374" s="6"/>
      <c r="DQ374" s="6"/>
      <c r="DR374" s="6"/>
      <c r="DS374" s="6"/>
      <c r="DT374" s="6"/>
      <c r="DU374" s="6"/>
      <c r="DV374" s="6"/>
      <c r="DW374" s="6"/>
      <c r="DX374" s="6"/>
      <c r="DY374" s="6"/>
      <c r="DZ374" s="6"/>
      <c r="EA374" s="6"/>
      <c r="EB374" s="6"/>
      <c r="EC374" s="6"/>
      <c r="ED374" s="6"/>
      <c r="EE374" s="6"/>
      <c r="EF374" s="6"/>
      <c r="EG374" s="6"/>
      <c r="EH374" s="6"/>
      <c r="EI374" s="6"/>
      <c r="EJ374" s="6"/>
      <c r="EK374" s="6"/>
      <c r="EL374" s="6"/>
      <c r="EM374" s="6"/>
      <c r="EN374" s="6"/>
      <c r="EO374" s="6"/>
      <c r="EP374" s="6"/>
      <c r="EQ374" s="6"/>
      <c r="ER374" s="6"/>
      <c r="ES374" s="6"/>
      <c r="ET374" s="6"/>
      <c r="EU374" s="6"/>
      <c r="EV374" s="7">
        <f>ROUND(3657.5,2)</f>
        <v>3657.5</v>
      </c>
    </row>
    <row r="375" spans="1:152">
      <c r="A375" s="4" t="s">
        <v>880</v>
      </c>
      <c r="B375" s="4" t="s">
        <v>1058</v>
      </c>
      <c r="C375" s="5" t="s">
        <v>152</v>
      </c>
      <c r="D375" s="5" t="s">
        <v>319</v>
      </c>
      <c r="E375" s="5" t="s">
        <v>0</v>
      </c>
      <c r="F375" s="5" t="s">
        <v>0</v>
      </c>
      <c r="G375" s="5" t="s">
        <v>155</v>
      </c>
      <c r="H375" s="10">
        <v>25.84</v>
      </c>
      <c r="I375" s="6"/>
      <c r="J375" s="6"/>
      <c r="K375" s="6"/>
      <c r="L375" s="6"/>
      <c r="M375" s="7">
        <f>ROUND(384.679999999999,2)</f>
        <v>384.68</v>
      </c>
      <c r="N375" s="6"/>
      <c r="O375" s="6"/>
      <c r="P375" s="7">
        <f>ROUND(4.64,2)</f>
        <v>4.6399999999999997</v>
      </c>
      <c r="Q375" s="6"/>
      <c r="R375" s="6"/>
      <c r="S375" s="6"/>
      <c r="T375" s="6"/>
      <c r="U375" s="7">
        <f>ROUND(7,2)</f>
        <v>7</v>
      </c>
      <c r="V375" s="6"/>
      <c r="W375" s="7">
        <f>ROUND(1.65,2)</f>
        <v>1.65</v>
      </c>
      <c r="X375" s="7">
        <f>ROUND(0.5,2)</f>
        <v>0.5</v>
      </c>
      <c r="Y375" s="6"/>
      <c r="Z375" s="6"/>
      <c r="AA375" s="6"/>
      <c r="AB375" s="6"/>
      <c r="AC375" s="7">
        <f>ROUND(16.5,2)</f>
        <v>16.5</v>
      </c>
      <c r="AD375" s="6"/>
      <c r="AE375" s="6"/>
      <c r="AF375" s="7">
        <f>ROUND(115.35,2)</f>
        <v>115.35</v>
      </c>
      <c r="AG375" s="7">
        <f>ROUND(26.71,2)</f>
        <v>26.71</v>
      </c>
      <c r="AH375" s="7">
        <f>ROUND(21,2)</f>
        <v>21</v>
      </c>
      <c r="AI375" s="6"/>
      <c r="AJ375" s="6"/>
      <c r="AK375" s="6"/>
      <c r="AL375" s="7">
        <f>ROUND(159.82,2)</f>
        <v>159.82</v>
      </c>
      <c r="AM375" s="6"/>
      <c r="AN375" s="7">
        <f>ROUND(6.54,2)</f>
        <v>6.54</v>
      </c>
      <c r="AO375" s="6"/>
      <c r="AP375" s="7">
        <f>ROUND(24,2)</f>
        <v>24</v>
      </c>
      <c r="AQ375" s="6"/>
      <c r="AR375" s="6"/>
      <c r="AS375" s="6"/>
      <c r="AT375" s="6"/>
      <c r="AU375" s="6"/>
      <c r="AV375" s="7">
        <f>ROUND(2.75,2)</f>
        <v>2.75</v>
      </c>
      <c r="AW375" s="6"/>
      <c r="AX375" s="6"/>
      <c r="AY375" s="6"/>
      <c r="AZ375" s="6"/>
      <c r="BA375" s="6"/>
      <c r="BB375" s="6"/>
      <c r="BC375" s="6"/>
      <c r="BD375" s="7">
        <f>ROUND(0.05,2)</f>
        <v>0.05</v>
      </c>
      <c r="BE375" s="7">
        <f>ROUND(5,2)</f>
        <v>5</v>
      </c>
      <c r="BF375" s="6"/>
      <c r="BG375" s="6"/>
      <c r="BH375" s="7">
        <f>ROUND(8,2)</f>
        <v>8</v>
      </c>
      <c r="BI375" s="6"/>
      <c r="BJ375" s="6"/>
      <c r="BK375" s="6"/>
      <c r="BL375" s="6"/>
      <c r="BM375" s="7">
        <f>ROUND(21.58,2)</f>
        <v>21.58</v>
      </c>
      <c r="BN375" s="6"/>
      <c r="BO375" s="6"/>
      <c r="BP375" s="6"/>
      <c r="BQ375" s="6"/>
      <c r="BR375" s="6"/>
      <c r="BS375" s="6"/>
      <c r="BT375" s="6"/>
      <c r="BU375" s="6"/>
      <c r="BV375" s="6"/>
      <c r="BW375" s="6"/>
      <c r="BX375" s="6"/>
      <c r="BY375" s="6"/>
      <c r="BZ375" s="6"/>
      <c r="CA375" s="7">
        <f>ROUND(24,2)</f>
        <v>24</v>
      </c>
      <c r="CB375" s="7">
        <f>ROUND(829.77,2)</f>
        <v>829.77</v>
      </c>
      <c r="CC375" s="6"/>
      <c r="CD375" s="6"/>
      <c r="CE375" s="6"/>
      <c r="CF375" s="6"/>
      <c r="CG375" s="7">
        <f>ROUND(8537.9,2)</f>
        <v>8537.9</v>
      </c>
      <c r="CH375" s="6"/>
      <c r="CI375" s="6"/>
      <c r="CJ375" s="7">
        <f>ROUND(169.48,2)</f>
        <v>169.48</v>
      </c>
      <c r="CK375" s="6"/>
      <c r="CL375" s="6"/>
      <c r="CM375" s="6"/>
      <c r="CN375" s="6"/>
      <c r="CO375" s="7">
        <f>ROUND(170.24,2)</f>
        <v>170.24</v>
      </c>
      <c r="CP375" s="6"/>
      <c r="CQ375" s="7">
        <f>ROUND(40.23,2)</f>
        <v>40.229999999999997</v>
      </c>
      <c r="CR375" s="7">
        <f>ROUND(18.24,2)</f>
        <v>18.239999999999998</v>
      </c>
      <c r="CS375" s="6"/>
      <c r="CT375" s="6"/>
      <c r="CU375" s="6"/>
      <c r="CV375" s="6"/>
      <c r="CW375" s="7">
        <f>ROUND(369.78,2)</f>
        <v>369.78</v>
      </c>
      <c r="CX375" s="6"/>
      <c r="CY375" s="6"/>
      <c r="CZ375" s="6"/>
      <c r="DA375" s="7">
        <f>ROUND(2642.52999999999,2)</f>
        <v>2642.53</v>
      </c>
      <c r="DB375" s="7">
        <f>ROUND(953.089999999999,2)</f>
        <v>953.09</v>
      </c>
      <c r="DC375" s="7">
        <f>ROUND(493.3,2)</f>
        <v>493.3</v>
      </c>
      <c r="DD375" s="6"/>
      <c r="DE375" s="6"/>
      <c r="DF375" s="6"/>
      <c r="DG375" s="6"/>
      <c r="DH375" s="6"/>
      <c r="DI375" s="7">
        <f>ROUND(2796.85,2)</f>
        <v>2796.85</v>
      </c>
      <c r="DJ375" s="6"/>
      <c r="DK375" s="7">
        <f>ROUND(171.68,2)</f>
        <v>171.68</v>
      </c>
      <c r="DL375" s="6"/>
      <c r="DM375" s="7">
        <f>ROUND(583.68,2)</f>
        <v>583.67999999999995</v>
      </c>
      <c r="DN375" s="6"/>
      <c r="DO375" s="6"/>
      <c r="DP375" s="6"/>
      <c r="DQ375" s="6"/>
      <c r="DR375" s="6"/>
      <c r="DS375" s="6"/>
      <c r="DT375" s="6"/>
      <c r="DU375" s="6"/>
      <c r="DV375" s="6"/>
      <c r="DW375" s="7">
        <f>ROUND(67.29,2)</f>
        <v>67.290000000000006</v>
      </c>
      <c r="DX375" s="6"/>
      <c r="DY375" s="6"/>
      <c r="DZ375" s="6"/>
      <c r="EA375" s="6"/>
      <c r="EB375" s="6"/>
      <c r="EC375" s="6"/>
      <c r="ED375" s="6"/>
      <c r="EE375" s="7">
        <f>ROUND(500,2)</f>
        <v>500</v>
      </c>
      <c r="EF375" s="6"/>
      <c r="EG375" s="6"/>
      <c r="EH375" s="6"/>
      <c r="EI375" s="6"/>
      <c r="EJ375" s="6"/>
      <c r="EK375" s="6"/>
      <c r="EL375" s="6"/>
      <c r="EM375" s="6"/>
      <c r="EN375" s="6"/>
      <c r="EO375" s="6"/>
      <c r="EP375" s="6"/>
      <c r="EQ375" s="7">
        <f>ROUND(188.8,2)</f>
        <v>188.8</v>
      </c>
      <c r="ER375" s="6"/>
      <c r="ES375" s="6"/>
      <c r="ET375" s="6"/>
      <c r="EU375" s="7">
        <f>ROUND(583.68,2)</f>
        <v>583.67999999999995</v>
      </c>
      <c r="EV375" s="7">
        <f>ROUND(18286.7699999999,2)</f>
        <v>18286.77</v>
      </c>
    </row>
    <row r="376" spans="1:152">
      <c r="A376" s="4" t="s">
        <v>881</v>
      </c>
      <c r="B376" s="4" t="s">
        <v>1058</v>
      </c>
      <c r="C376" s="5" t="s">
        <v>152</v>
      </c>
      <c r="D376" s="5" t="s">
        <v>171</v>
      </c>
      <c r="E376" s="5" t="s">
        <v>0</v>
      </c>
      <c r="F376" s="5" t="s">
        <v>168</v>
      </c>
      <c r="G376" s="5" t="s">
        <v>155</v>
      </c>
      <c r="H376" s="10">
        <v>27.36</v>
      </c>
      <c r="I376" s="6"/>
      <c r="J376" s="6"/>
      <c r="K376" s="6"/>
      <c r="L376" s="6"/>
      <c r="M376" s="7">
        <f>ROUND(1349.25999999999,2)</f>
        <v>1349.26</v>
      </c>
      <c r="N376" s="6"/>
      <c r="O376" s="6"/>
      <c r="P376" s="6"/>
      <c r="Q376" s="6"/>
      <c r="R376" s="6"/>
      <c r="S376" s="6"/>
      <c r="T376" s="6"/>
      <c r="U376" s="6"/>
      <c r="V376" s="6"/>
      <c r="W376" s="7">
        <f>ROUND(0.75,2)</f>
        <v>0.75</v>
      </c>
      <c r="X376" s="6"/>
      <c r="Y376" s="6"/>
      <c r="Z376" s="6"/>
      <c r="AA376" s="6"/>
      <c r="AB376" s="6"/>
      <c r="AC376" s="7">
        <f>ROUND(32,2)</f>
        <v>32</v>
      </c>
      <c r="AD376" s="6"/>
      <c r="AE376" s="6"/>
      <c r="AF376" s="7">
        <f>ROUND(15.0499999999999,2)</f>
        <v>15.05</v>
      </c>
      <c r="AG376" s="6"/>
      <c r="AH376" s="7">
        <f>ROUND(35,2)</f>
        <v>35</v>
      </c>
      <c r="AI376" s="6"/>
      <c r="AJ376" s="6"/>
      <c r="AK376" s="6"/>
      <c r="AL376" s="7">
        <f>ROUND(8,2)</f>
        <v>8</v>
      </c>
      <c r="AM376" s="7">
        <f>ROUND(3.84,2)</f>
        <v>3.84</v>
      </c>
      <c r="AN376" s="6"/>
      <c r="AO376" s="6"/>
      <c r="AP376" s="6"/>
      <c r="AQ376" s="6"/>
      <c r="AR376" s="7">
        <f>ROUND(2,2)</f>
        <v>2</v>
      </c>
      <c r="AS376" s="6"/>
      <c r="AT376" s="6"/>
      <c r="AU376" s="6"/>
      <c r="AV376" s="6"/>
      <c r="AW376" s="6"/>
      <c r="AX376" s="6"/>
      <c r="AY376" s="6"/>
      <c r="AZ376" s="6"/>
      <c r="BA376" s="6"/>
      <c r="BB376" s="6"/>
      <c r="BC376" s="6"/>
      <c r="BD376" s="7">
        <f>ROUND(2.55,2)</f>
        <v>2.5499999999999998</v>
      </c>
      <c r="BE376" s="7">
        <f>ROUND(22.5,2)</f>
        <v>22.5</v>
      </c>
      <c r="BF376" s="6"/>
      <c r="BG376" s="6"/>
      <c r="BH376" s="6"/>
      <c r="BI376" s="6"/>
      <c r="BJ376" s="6"/>
      <c r="BK376" s="6"/>
      <c r="BL376" s="6"/>
      <c r="BM376" s="7">
        <f>ROUND(15,2)</f>
        <v>15</v>
      </c>
      <c r="BN376" s="6"/>
      <c r="BO376" s="6"/>
      <c r="BP376" s="6"/>
      <c r="BQ376" s="6"/>
      <c r="BR376" s="6"/>
      <c r="BS376" s="6"/>
      <c r="BT376" s="6"/>
      <c r="BU376" s="6"/>
      <c r="BV376" s="6"/>
      <c r="BW376" s="6"/>
      <c r="BX376" s="6"/>
      <c r="BY376" s="6"/>
      <c r="BZ376" s="6"/>
      <c r="CA376" s="6"/>
      <c r="CB376" s="7">
        <f>ROUND(1485.94999999999,2)</f>
        <v>1485.95</v>
      </c>
      <c r="CC376" s="6"/>
      <c r="CD376" s="6"/>
      <c r="CE376" s="6"/>
      <c r="CF376" s="6"/>
      <c r="CG376" s="7">
        <f>ROUND(29362.3999999999,2)</f>
        <v>29362.400000000001</v>
      </c>
      <c r="CH376" s="6"/>
      <c r="CI376" s="6"/>
      <c r="CJ376" s="6"/>
      <c r="CK376" s="6"/>
      <c r="CL376" s="6"/>
      <c r="CM376" s="6"/>
      <c r="CN376" s="6"/>
      <c r="CO376" s="6"/>
      <c r="CP376" s="6"/>
      <c r="CQ376" s="7">
        <f>ROUND(19.38,2)</f>
        <v>19.38</v>
      </c>
      <c r="CR376" s="6"/>
      <c r="CS376" s="6"/>
      <c r="CT376" s="6"/>
      <c r="CU376" s="6"/>
      <c r="CV376" s="6"/>
      <c r="CW376" s="7">
        <f>ROUND(666.72,2)</f>
        <v>666.72</v>
      </c>
      <c r="CX376" s="6"/>
      <c r="CY376" s="6"/>
      <c r="CZ376" s="6"/>
      <c r="DA376" s="7">
        <f>ROUND(336.94,2)</f>
        <v>336.94</v>
      </c>
      <c r="DB376" s="6"/>
      <c r="DC376" s="7">
        <f>ROUND(690.319999999999,2)</f>
        <v>690.32</v>
      </c>
      <c r="DD376" s="6"/>
      <c r="DE376" s="6"/>
      <c r="DF376" s="6"/>
      <c r="DG376" s="6"/>
      <c r="DH376" s="6"/>
      <c r="DI376" s="7">
        <f>ROUND(166.68,2)</f>
        <v>166.68</v>
      </c>
      <c r="DJ376" s="7">
        <f>ROUND(80,2)</f>
        <v>80</v>
      </c>
      <c r="DK376" s="6"/>
      <c r="DL376" s="6"/>
      <c r="DM376" s="6"/>
      <c r="DN376" s="6"/>
      <c r="DO376" s="6"/>
      <c r="DP376" s="7">
        <f>ROUND(41.67,2)</f>
        <v>41.67</v>
      </c>
      <c r="DQ376" s="6"/>
      <c r="DR376" s="6"/>
      <c r="DS376" s="6"/>
      <c r="DT376" s="6"/>
      <c r="DU376" s="6"/>
      <c r="DV376" s="6"/>
      <c r="DW376" s="6"/>
      <c r="DX376" s="6"/>
      <c r="DY376" s="6"/>
      <c r="DZ376" s="6"/>
      <c r="EA376" s="6"/>
      <c r="EB376" s="6"/>
      <c r="EC376" s="6"/>
      <c r="ED376" s="6"/>
      <c r="EE376" s="7">
        <f>ROUND(1500,2)</f>
        <v>1500</v>
      </c>
      <c r="EF376" s="6"/>
      <c r="EG376" s="6"/>
      <c r="EH376" s="6"/>
      <c r="EI376" s="6"/>
      <c r="EJ376" s="6"/>
      <c r="EK376" s="6"/>
      <c r="EL376" s="6"/>
      <c r="EM376" s="6"/>
      <c r="EN376" s="6"/>
      <c r="EO376" s="6"/>
      <c r="EP376" s="6"/>
      <c r="EQ376" s="7">
        <f>ROUND(2250,2)</f>
        <v>2250</v>
      </c>
      <c r="ER376" s="6"/>
      <c r="ES376" s="6"/>
      <c r="ET376" s="6"/>
      <c r="EU376" s="6"/>
      <c r="EV376" s="7">
        <f>ROUND(35114.1099999999,2)</f>
        <v>35114.11</v>
      </c>
    </row>
    <row r="377" spans="1:152">
      <c r="A377" s="4" t="s">
        <v>882</v>
      </c>
      <c r="B377" s="4"/>
      <c r="C377" s="5" t="s">
        <v>259</v>
      </c>
      <c r="D377" s="5" t="s">
        <v>260</v>
      </c>
      <c r="E377" s="5" t="s">
        <v>0</v>
      </c>
      <c r="F377" s="5" t="s">
        <v>0</v>
      </c>
      <c r="G377" s="5" t="s">
        <v>261</v>
      </c>
      <c r="H377" s="10">
        <v>16</v>
      </c>
      <c r="I377" s="7">
        <f>ROUND(132,2)</f>
        <v>132</v>
      </c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  <c r="BA377" s="6"/>
      <c r="BB377" s="6"/>
      <c r="BC377" s="6"/>
      <c r="BD377" s="6"/>
      <c r="BE377" s="6"/>
      <c r="BF377" s="6"/>
      <c r="BG377" s="6"/>
      <c r="BH377" s="6"/>
      <c r="BI377" s="6"/>
      <c r="BJ377" s="6"/>
      <c r="BK377" s="6"/>
      <c r="BL377" s="6"/>
      <c r="BM377" s="6"/>
      <c r="BN377" s="6"/>
      <c r="BO377" s="6"/>
      <c r="BP377" s="6"/>
      <c r="BQ377" s="6"/>
      <c r="BR377" s="6"/>
      <c r="BS377" s="6"/>
      <c r="BT377" s="6"/>
      <c r="BU377" s="6"/>
      <c r="BV377" s="7">
        <f>ROUND(6.5,2)</f>
        <v>6.5</v>
      </c>
      <c r="BW377" s="6"/>
      <c r="BX377" s="6"/>
      <c r="BY377" s="6"/>
      <c r="BZ377" s="6"/>
      <c r="CA377" s="6"/>
      <c r="CB377" s="7">
        <f>ROUND(138.5,2)</f>
        <v>138.5</v>
      </c>
      <c r="CC377" s="7">
        <f>ROUND(2112,2)</f>
        <v>2112</v>
      </c>
      <c r="CD377" s="6"/>
      <c r="CE377" s="6"/>
      <c r="CF377" s="6"/>
      <c r="CG377" s="6"/>
      <c r="CH377" s="6"/>
      <c r="CI377" s="6"/>
      <c r="CJ377" s="6"/>
      <c r="CK377" s="6"/>
      <c r="CL377" s="6"/>
      <c r="CM377" s="6"/>
      <c r="CN377" s="6"/>
      <c r="CO377" s="6"/>
      <c r="CP377" s="6"/>
      <c r="CQ377" s="6"/>
      <c r="CR377" s="6"/>
      <c r="CS377" s="6"/>
      <c r="CT377" s="6"/>
      <c r="CU377" s="6"/>
      <c r="CV377" s="6"/>
      <c r="CW377" s="6"/>
      <c r="CX377" s="6"/>
      <c r="CY377" s="6"/>
      <c r="CZ377" s="6"/>
      <c r="DA377" s="6"/>
      <c r="DB377" s="6"/>
      <c r="DC377" s="6"/>
      <c r="DD377" s="6"/>
      <c r="DE377" s="6"/>
      <c r="DF377" s="6"/>
      <c r="DG377" s="6"/>
      <c r="DH377" s="6"/>
      <c r="DI377" s="6"/>
      <c r="DJ377" s="6"/>
      <c r="DK377" s="6"/>
      <c r="DL377" s="6"/>
      <c r="DM377" s="6"/>
      <c r="DN377" s="6"/>
      <c r="DO377" s="6"/>
      <c r="DP377" s="6"/>
      <c r="DQ377" s="6"/>
      <c r="DR377" s="6"/>
      <c r="DS377" s="6"/>
      <c r="DT377" s="6"/>
      <c r="DU377" s="6"/>
      <c r="DV377" s="6"/>
      <c r="DW377" s="6"/>
      <c r="DX377" s="6"/>
      <c r="DY377" s="6"/>
      <c r="DZ377" s="6"/>
      <c r="EA377" s="6"/>
      <c r="EB377" s="6"/>
      <c r="EC377" s="6"/>
      <c r="ED377" s="6"/>
      <c r="EE377" s="6"/>
      <c r="EF377" s="6"/>
      <c r="EG377" s="6"/>
      <c r="EH377" s="6"/>
      <c r="EI377" s="7">
        <f>ROUND(156,2)</f>
        <v>156</v>
      </c>
      <c r="EJ377" s="6"/>
      <c r="EK377" s="6"/>
      <c r="EL377" s="6"/>
      <c r="EM377" s="6"/>
      <c r="EN377" s="6"/>
      <c r="EO377" s="6"/>
      <c r="EP377" s="6"/>
      <c r="EQ377" s="6"/>
      <c r="ER377" s="6"/>
      <c r="ES377" s="6"/>
      <c r="ET377" s="6"/>
      <c r="EU377" s="6"/>
      <c r="EV377" s="7">
        <f>ROUND(2268,2)</f>
        <v>2268</v>
      </c>
    </row>
    <row r="378" spans="1:152">
      <c r="A378" s="4" t="s">
        <v>883</v>
      </c>
      <c r="B378" s="4" t="s">
        <v>1058</v>
      </c>
      <c r="C378" s="5" t="s">
        <v>152</v>
      </c>
      <c r="D378" s="5" t="s">
        <v>192</v>
      </c>
      <c r="E378" s="5" t="s">
        <v>0</v>
      </c>
      <c r="F378" s="5" t="s">
        <v>0</v>
      </c>
      <c r="G378" s="5" t="s">
        <v>155</v>
      </c>
      <c r="H378" s="10">
        <v>30.4</v>
      </c>
      <c r="I378" s="6"/>
      <c r="J378" s="6"/>
      <c r="K378" s="6"/>
      <c r="L378" s="6"/>
      <c r="M378" s="7">
        <f>ROUND(1237.21999999999,2)</f>
        <v>1237.22</v>
      </c>
      <c r="N378" s="6"/>
      <c r="O378" s="6"/>
      <c r="P378" s="7">
        <f>ROUND(150.81,2)</f>
        <v>150.81</v>
      </c>
      <c r="Q378" s="6"/>
      <c r="R378" s="6"/>
      <c r="S378" s="6"/>
      <c r="T378" s="6"/>
      <c r="U378" s="7">
        <f>ROUND(21,2)</f>
        <v>21</v>
      </c>
      <c r="V378" s="7">
        <f>ROUND(3.25,2)</f>
        <v>3.25</v>
      </c>
      <c r="W378" s="7">
        <f>ROUND(8.81,2)</f>
        <v>8.81</v>
      </c>
      <c r="X378" s="7">
        <f>ROUND(0.33,2)</f>
        <v>0.33</v>
      </c>
      <c r="Y378" s="6"/>
      <c r="Z378" s="6"/>
      <c r="AA378" s="6"/>
      <c r="AB378" s="6"/>
      <c r="AC378" s="7">
        <f>ROUND(94.83,2)</f>
        <v>94.83</v>
      </c>
      <c r="AD378" s="6"/>
      <c r="AE378" s="6"/>
      <c r="AF378" s="7">
        <f>ROUND(490.89,2)</f>
        <v>490.89</v>
      </c>
      <c r="AG378" s="7">
        <f>ROUND(13.89,2)</f>
        <v>13.89</v>
      </c>
      <c r="AH378" s="7">
        <f>ROUND(96,2)</f>
        <v>96</v>
      </c>
      <c r="AI378" s="6"/>
      <c r="AJ378" s="7">
        <f>ROUND(104,2)</f>
        <v>104</v>
      </c>
      <c r="AK378" s="6"/>
      <c r="AL378" s="7">
        <f>ROUND(8.5,2)</f>
        <v>8.5</v>
      </c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7">
        <f>ROUND(16,2)</f>
        <v>16</v>
      </c>
      <c r="BC378" s="6"/>
      <c r="BD378" s="7">
        <f>ROUND(5.08,2)</f>
        <v>5.08</v>
      </c>
      <c r="BE378" s="7">
        <f>ROUND(8,2)</f>
        <v>8</v>
      </c>
      <c r="BF378" s="7">
        <f>ROUND(8,2)</f>
        <v>8</v>
      </c>
      <c r="BG378" s="7">
        <f>ROUND(27.86,2)</f>
        <v>27.86</v>
      </c>
      <c r="BH378" s="7">
        <f>ROUND(8,2)</f>
        <v>8</v>
      </c>
      <c r="BI378" s="6"/>
      <c r="BJ378" s="6"/>
      <c r="BK378" s="6"/>
      <c r="BL378" s="6"/>
      <c r="BM378" s="7">
        <f>ROUND(8,2)</f>
        <v>8</v>
      </c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7">
        <f>ROUND(2310.47,2)</f>
        <v>2310.4699999999998</v>
      </c>
      <c r="CC378" s="6"/>
      <c r="CD378" s="6"/>
      <c r="CE378" s="6"/>
      <c r="CF378" s="6"/>
      <c r="CG378" s="7">
        <f>ROUND(34728.5,2)</f>
        <v>34728.5</v>
      </c>
      <c r="CH378" s="6"/>
      <c r="CI378" s="6"/>
      <c r="CJ378" s="7">
        <f>ROUND(6357.48999999999,2)</f>
        <v>6357.49</v>
      </c>
      <c r="CK378" s="6"/>
      <c r="CL378" s="6"/>
      <c r="CM378" s="6"/>
      <c r="CN378" s="6"/>
      <c r="CO378" s="7">
        <f>ROUND(598.92,2)</f>
        <v>598.91999999999996</v>
      </c>
      <c r="CP378" s="7">
        <f>ROUND(135.43,2)</f>
        <v>135.43</v>
      </c>
      <c r="CQ378" s="7">
        <f>ROUND(250.329999999999,2)</f>
        <v>250.33</v>
      </c>
      <c r="CR378" s="7">
        <f>ROUND(13.75,2)</f>
        <v>13.75</v>
      </c>
      <c r="CS378" s="6"/>
      <c r="CT378" s="6"/>
      <c r="CU378" s="6"/>
      <c r="CV378" s="6"/>
      <c r="CW378" s="7">
        <f>ROUND(2707.39,2)</f>
        <v>2707.39</v>
      </c>
      <c r="CX378" s="6"/>
      <c r="CY378" s="6"/>
      <c r="CZ378" s="6"/>
      <c r="DA378" s="7">
        <f>ROUND(13893.23,2)</f>
        <v>13893.23</v>
      </c>
      <c r="DB378" s="7">
        <f>ROUND(580.68,2)</f>
        <v>580.67999999999995</v>
      </c>
      <c r="DC378" s="7">
        <f>ROUND(2750.72,2)</f>
        <v>2750.72</v>
      </c>
      <c r="DD378" s="6"/>
      <c r="DE378" s="7">
        <f>ROUND(2952,2)</f>
        <v>2952</v>
      </c>
      <c r="DF378" s="6"/>
      <c r="DG378" s="6"/>
      <c r="DH378" s="6"/>
      <c r="DI378" s="7">
        <f>ROUND(236.13,2)</f>
        <v>236.13</v>
      </c>
      <c r="DJ378" s="6"/>
      <c r="DK378" s="6"/>
      <c r="DL378" s="6"/>
      <c r="DM378" s="6"/>
      <c r="DN378" s="6"/>
      <c r="DO378" s="6"/>
      <c r="DP378" s="6"/>
      <c r="DQ378" s="6"/>
      <c r="DR378" s="6"/>
      <c r="DS378" s="6"/>
      <c r="DT378" s="6"/>
      <c r="DU378" s="6"/>
      <c r="DV378" s="6"/>
      <c r="DW378" s="6"/>
      <c r="DX378" s="6"/>
      <c r="DY378" s="6"/>
      <c r="DZ378" s="6"/>
      <c r="EA378" s="6"/>
      <c r="EB378" s="6"/>
      <c r="EC378" s="6"/>
      <c r="ED378" s="6"/>
      <c r="EE378" s="7">
        <f>ROUND(1275,2)</f>
        <v>1275</v>
      </c>
      <c r="EF378" s="6"/>
      <c r="EG378" s="6"/>
      <c r="EH378" s="6"/>
      <c r="EI378" s="6"/>
      <c r="EJ378" s="6"/>
      <c r="EK378" s="6"/>
      <c r="EL378" s="6"/>
      <c r="EM378" s="6"/>
      <c r="EN378" s="6"/>
      <c r="EO378" s="6"/>
      <c r="EP378" s="6"/>
      <c r="EQ378" s="7">
        <f>ROUND(1250,2)</f>
        <v>1250</v>
      </c>
      <c r="ER378" s="6"/>
      <c r="ES378" s="6"/>
      <c r="ET378" s="6"/>
      <c r="EU378" s="6"/>
      <c r="EV378" s="7">
        <f>ROUND(67729.5699999999,2)</f>
        <v>67729.570000000007</v>
      </c>
    </row>
    <row r="379" spans="1:152" ht="24">
      <c r="A379" s="4" t="s">
        <v>884</v>
      </c>
      <c r="B379" s="4"/>
      <c r="C379" s="5" t="s">
        <v>178</v>
      </c>
      <c r="D379" s="5" t="s">
        <v>885</v>
      </c>
      <c r="E379" s="5" t="s">
        <v>0</v>
      </c>
      <c r="F379" s="5" t="s">
        <v>0</v>
      </c>
      <c r="G379" s="5" t="s">
        <v>248</v>
      </c>
      <c r="H379" s="10">
        <v>19.100000000000001</v>
      </c>
      <c r="I379" s="7">
        <f>ROUND(1205.5,2)</f>
        <v>1205.5</v>
      </c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  <c r="BA379" s="6"/>
      <c r="BB379" s="6"/>
      <c r="BC379" s="6"/>
      <c r="BD379" s="6"/>
      <c r="BE379" s="6"/>
      <c r="BF379" s="6"/>
      <c r="BG379" s="6"/>
      <c r="BH379" s="7">
        <f>ROUND(20,2)</f>
        <v>20</v>
      </c>
      <c r="BI379" s="6"/>
      <c r="BJ379" s="6"/>
      <c r="BK379" s="6"/>
      <c r="BL379" s="6"/>
      <c r="BM379" s="6"/>
      <c r="BN379" s="6"/>
      <c r="BO379" s="6"/>
      <c r="BP379" s="6"/>
      <c r="BQ379" s="6"/>
      <c r="BR379" s="6"/>
      <c r="BS379" s="6"/>
      <c r="BT379" s="7">
        <f>ROUND(15,2)</f>
        <v>15</v>
      </c>
      <c r="BU379" s="6"/>
      <c r="BV379" s="7">
        <f>ROUND(8,2)</f>
        <v>8</v>
      </c>
      <c r="BW379" s="6"/>
      <c r="BX379" s="6"/>
      <c r="BY379" s="7">
        <f>ROUND(40,2)</f>
        <v>40</v>
      </c>
      <c r="BZ379" s="6"/>
      <c r="CA379" s="6"/>
      <c r="CB379" s="7">
        <f>ROUND(1288.5,2)</f>
        <v>1288.5</v>
      </c>
      <c r="CC379" s="7">
        <f>ROUND(20528.1499999999,2)</f>
        <v>20528.150000000001</v>
      </c>
      <c r="CD379" s="6"/>
      <c r="CE379" s="6"/>
      <c r="CF379" s="6"/>
      <c r="CG379" s="6"/>
      <c r="CH379" s="6"/>
      <c r="CI379" s="6"/>
      <c r="CJ379" s="6"/>
      <c r="CK379" s="6"/>
      <c r="CL379" s="6"/>
      <c r="CM379" s="6"/>
      <c r="CN379" s="6"/>
      <c r="CO379" s="6"/>
      <c r="CP379" s="6"/>
      <c r="CQ379" s="6"/>
      <c r="CR379" s="6"/>
      <c r="CS379" s="6"/>
      <c r="CT379" s="6"/>
      <c r="CU379" s="6"/>
      <c r="CV379" s="6"/>
      <c r="CW379" s="6"/>
      <c r="CX379" s="6"/>
      <c r="CY379" s="6"/>
      <c r="CZ379" s="6"/>
      <c r="DA379" s="6"/>
      <c r="DB379" s="6"/>
      <c r="DC379" s="6"/>
      <c r="DD379" s="6"/>
      <c r="DE379" s="6"/>
      <c r="DF379" s="6"/>
      <c r="DG379" s="6"/>
      <c r="DH379" s="6"/>
      <c r="DI379" s="6"/>
      <c r="DJ379" s="6"/>
      <c r="DK379" s="6"/>
      <c r="DL379" s="6"/>
      <c r="DM379" s="6"/>
      <c r="DN379" s="6"/>
      <c r="DO379" s="6"/>
      <c r="DP379" s="6"/>
      <c r="DQ379" s="6"/>
      <c r="DR379" s="6"/>
      <c r="DS379" s="6"/>
      <c r="DT379" s="6"/>
      <c r="DU379" s="6"/>
      <c r="DV379" s="6"/>
      <c r="DW379" s="6"/>
      <c r="DX379" s="6"/>
      <c r="DY379" s="6"/>
      <c r="DZ379" s="6"/>
      <c r="EA379" s="6"/>
      <c r="EB379" s="6"/>
      <c r="EC379" s="6"/>
      <c r="ED379" s="7">
        <f>ROUND(335.3,2)</f>
        <v>335.3</v>
      </c>
      <c r="EE379" s="7">
        <f>ROUND(916.8,2)</f>
        <v>916.8</v>
      </c>
      <c r="EF379" s="6"/>
      <c r="EG379" s="7">
        <f>ROUND(263.15,2)</f>
        <v>263.14999999999998</v>
      </c>
      <c r="EH379" s="6"/>
      <c r="EI379" s="7">
        <f>ROUND(216,2)</f>
        <v>216</v>
      </c>
      <c r="EJ379" s="6"/>
      <c r="EK379" s="6"/>
      <c r="EL379" s="6"/>
      <c r="EM379" s="6"/>
      <c r="EN379" s="6"/>
      <c r="EO379" s="6"/>
      <c r="EP379" s="6"/>
      <c r="EQ379" s="6"/>
      <c r="ER379" s="6"/>
      <c r="ES379" s="7">
        <f>ROUND(674.75,2)</f>
        <v>674.75</v>
      </c>
      <c r="ET379" s="6"/>
      <c r="EU379" s="6"/>
      <c r="EV379" s="7">
        <f>ROUND(22934.1499999999,2)</f>
        <v>22934.15</v>
      </c>
    </row>
    <row r="380" spans="1:152">
      <c r="A380" s="4" t="s">
        <v>886</v>
      </c>
      <c r="B380" s="4"/>
      <c r="C380" s="5" t="s">
        <v>259</v>
      </c>
      <c r="D380" s="5" t="s">
        <v>887</v>
      </c>
      <c r="E380" s="5" t="s">
        <v>0</v>
      </c>
      <c r="F380" s="5" t="s">
        <v>0</v>
      </c>
      <c r="G380" s="5" t="s">
        <v>888</v>
      </c>
      <c r="H380" s="10">
        <v>1268.52</v>
      </c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  <c r="BA380" s="6"/>
      <c r="BB380" s="6"/>
      <c r="BC380" s="6"/>
      <c r="BD380" s="6"/>
      <c r="BE380" s="6"/>
      <c r="BF380" s="6"/>
      <c r="BG380" s="6"/>
      <c r="BH380" s="7">
        <f>ROUND(24,2)</f>
        <v>24</v>
      </c>
      <c r="BI380" s="6"/>
      <c r="BJ380" s="6"/>
      <c r="BK380" s="6"/>
      <c r="BL380" s="6"/>
      <c r="BM380" s="6"/>
      <c r="BN380" s="6"/>
      <c r="BO380" s="6"/>
      <c r="BP380" s="6"/>
      <c r="BQ380" s="6"/>
      <c r="BR380" s="6"/>
      <c r="BS380" s="6"/>
      <c r="BT380" s="7">
        <f>ROUND(32,2)</f>
        <v>32</v>
      </c>
      <c r="BU380" s="7">
        <f>ROUND(32,2)</f>
        <v>32</v>
      </c>
      <c r="BV380" s="6"/>
      <c r="BW380" s="6"/>
      <c r="BX380" s="6"/>
      <c r="BY380" s="7">
        <f>ROUND(96,2)</f>
        <v>96</v>
      </c>
      <c r="BZ380" s="6"/>
      <c r="CA380" s="6"/>
      <c r="CB380" s="7">
        <f>ROUND(184,2)</f>
        <v>184</v>
      </c>
      <c r="CC380" s="7">
        <f>ROUND(59791.2399999999,2)</f>
        <v>59791.24</v>
      </c>
      <c r="CD380" s="6"/>
      <c r="CE380" s="6"/>
      <c r="CF380" s="6"/>
      <c r="CG380" s="6"/>
      <c r="CH380" s="6"/>
      <c r="CI380" s="6"/>
      <c r="CJ380" s="6"/>
      <c r="CK380" s="6"/>
      <c r="CL380" s="6"/>
      <c r="CM380" s="6"/>
      <c r="CN380" s="6"/>
      <c r="CO380" s="6"/>
      <c r="CP380" s="6"/>
      <c r="CQ380" s="6"/>
      <c r="CR380" s="6"/>
      <c r="CS380" s="6"/>
      <c r="CT380" s="6"/>
      <c r="CU380" s="6"/>
      <c r="CV380" s="6"/>
      <c r="CW380" s="6"/>
      <c r="CX380" s="6"/>
      <c r="CY380" s="6"/>
      <c r="CZ380" s="6"/>
      <c r="DA380" s="6"/>
      <c r="DB380" s="6"/>
      <c r="DC380" s="6"/>
      <c r="DD380" s="6"/>
      <c r="DE380" s="6"/>
      <c r="DF380" s="6"/>
      <c r="DG380" s="6"/>
      <c r="DH380" s="6"/>
      <c r="DI380" s="6"/>
      <c r="DJ380" s="6"/>
      <c r="DK380" s="6"/>
      <c r="DL380" s="6"/>
      <c r="DM380" s="6"/>
      <c r="DN380" s="6"/>
      <c r="DO380" s="6"/>
      <c r="DP380" s="6"/>
      <c r="DQ380" s="6"/>
      <c r="DR380" s="6"/>
      <c r="DS380" s="6"/>
      <c r="DT380" s="6"/>
      <c r="DU380" s="6"/>
      <c r="DV380" s="6"/>
      <c r="DW380" s="6"/>
      <c r="DX380" s="6"/>
      <c r="DY380" s="6"/>
      <c r="DZ380" s="6"/>
      <c r="EA380" s="6"/>
      <c r="EB380" s="6"/>
      <c r="EC380" s="6"/>
      <c r="ED380" s="6"/>
      <c r="EE380" s="7">
        <f>ROUND(3044.16,2)</f>
        <v>3044.16</v>
      </c>
      <c r="EF380" s="6"/>
      <c r="EG380" s="6"/>
      <c r="EH380" s="6"/>
      <c r="EI380" s="6"/>
      <c r="EJ380" s="6"/>
      <c r="EK380" s="6"/>
      <c r="EL380" s="6"/>
      <c r="EM380" s="6"/>
      <c r="EN380" s="6"/>
      <c r="EO380" s="6"/>
      <c r="EP380" s="6"/>
      <c r="EQ380" s="6"/>
      <c r="ER380" s="6"/>
      <c r="ES380" s="6"/>
      <c r="ET380" s="6"/>
      <c r="EU380" s="6"/>
      <c r="EV380" s="7">
        <f>ROUND(62835.3999999999,2)</f>
        <v>62835.4</v>
      </c>
    </row>
    <row r="381" spans="1:152">
      <c r="A381" s="4" t="s">
        <v>889</v>
      </c>
      <c r="B381" s="4" t="s">
        <v>1058</v>
      </c>
      <c r="C381" s="5" t="s">
        <v>152</v>
      </c>
      <c r="D381" s="5" t="s">
        <v>890</v>
      </c>
      <c r="E381" s="5" t="s">
        <v>0</v>
      </c>
      <c r="F381" s="5" t="s">
        <v>0</v>
      </c>
      <c r="G381" s="5" t="s">
        <v>155</v>
      </c>
      <c r="H381" s="10">
        <v>30.4</v>
      </c>
      <c r="I381" s="6"/>
      <c r="J381" s="6"/>
      <c r="K381" s="6"/>
      <c r="L381" s="6"/>
      <c r="M381" s="7">
        <f>ROUND(1131.27,2)</f>
        <v>1131.27</v>
      </c>
      <c r="N381" s="6"/>
      <c r="O381" s="6"/>
      <c r="P381" s="7">
        <f>ROUND(85.68,2)</f>
        <v>85.68</v>
      </c>
      <c r="Q381" s="6"/>
      <c r="R381" s="6"/>
      <c r="S381" s="6"/>
      <c r="T381" s="6"/>
      <c r="U381" s="7">
        <f>ROUND(6.58,2)</f>
        <v>6.58</v>
      </c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7">
        <f>ROUND(24,2)</f>
        <v>24</v>
      </c>
      <c r="AG381" s="7">
        <f>ROUND(12,2)</f>
        <v>12</v>
      </c>
      <c r="AH381" s="7">
        <f>ROUND(96,2)</f>
        <v>96</v>
      </c>
      <c r="AI381" s="6"/>
      <c r="AJ381" s="7">
        <f>ROUND(184,2)</f>
        <v>184</v>
      </c>
      <c r="AK381" s="6"/>
      <c r="AL381" s="7">
        <f>ROUND(14.33,2)</f>
        <v>14.33</v>
      </c>
      <c r="AM381" s="6"/>
      <c r="AN381" s="6"/>
      <c r="AO381" s="6"/>
      <c r="AP381" s="6"/>
      <c r="AQ381" s="6"/>
      <c r="AR381" s="6"/>
      <c r="AS381" s="6"/>
      <c r="AT381" s="7">
        <f>ROUND(116.82,2)</f>
        <v>116.82</v>
      </c>
      <c r="AU381" s="7">
        <f>ROUND(5.33,2)</f>
        <v>5.33</v>
      </c>
      <c r="AV381" s="6"/>
      <c r="AW381" s="6"/>
      <c r="AX381" s="6"/>
      <c r="AY381" s="6"/>
      <c r="AZ381" s="6"/>
      <c r="BA381" s="6"/>
      <c r="BB381" s="7">
        <f>ROUND(24,2)</f>
        <v>24</v>
      </c>
      <c r="BC381" s="7">
        <f>ROUND(328,2)</f>
        <v>328</v>
      </c>
      <c r="BD381" s="6"/>
      <c r="BE381" s="7">
        <f>ROUND(18.98,2)</f>
        <v>18.98</v>
      </c>
      <c r="BF381" s="6"/>
      <c r="BG381" s="6"/>
      <c r="BH381" s="7">
        <f>ROUND(8,2)</f>
        <v>8</v>
      </c>
      <c r="BI381" s="6"/>
      <c r="BJ381" s="6"/>
      <c r="BK381" s="6"/>
      <c r="BL381" s="6"/>
      <c r="BM381" s="7">
        <f>ROUND(56,2)</f>
        <v>56</v>
      </c>
      <c r="BN381" s="7">
        <f>ROUND(189,2)</f>
        <v>189</v>
      </c>
      <c r="BO381" s="6"/>
      <c r="BP381" s="6"/>
      <c r="BQ381" s="6"/>
      <c r="BR381" s="6"/>
      <c r="BS381" s="6"/>
      <c r="BT381" s="6"/>
      <c r="BU381" s="6"/>
      <c r="BV381" s="6"/>
      <c r="BW381" s="6"/>
      <c r="BX381" s="6"/>
      <c r="BY381" s="6"/>
      <c r="BZ381" s="6"/>
      <c r="CA381" s="7">
        <f>ROUND(16,2)</f>
        <v>16</v>
      </c>
      <c r="CB381" s="7">
        <f>ROUND(2315.99,2)</f>
        <v>2315.9899999999998</v>
      </c>
      <c r="CC381" s="6"/>
      <c r="CD381" s="6"/>
      <c r="CE381" s="6"/>
      <c r="CF381" s="6"/>
      <c r="CG381" s="7">
        <f>ROUND(31945.5199999999,2)</f>
        <v>31945.52</v>
      </c>
      <c r="CH381" s="6"/>
      <c r="CI381" s="6"/>
      <c r="CJ381" s="7">
        <f>ROUND(3624.34,2)</f>
        <v>3624.34</v>
      </c>
      <c r="CK381" s="6"/>
      <c r="CL381" s="6"/>
      <c r="CM381" s="6"/>
      <c r="CN381" s="6"/>
      <c r="CO381" s="7">
        <f>ROUND(200.03,2)</f>
        <v>200.03</v>
      </c>
      <c r="CP381" s="6"/>
      <c r="CQ381" s="6"/>
      <c r="CR381" s="6"/>
      <c r="CS381" s="6"/>
      <c r="CT381" s="6"/>
      <c r="CU381" s="6"/>
      <c r="CV381" s="6"/>
      <c r="CW381" s="6"/>
      <c r="CX381" s="6"/>
      <c r="CY381" s="6"/>
      <c r="CZ381" s="6"/>
      <c r="DA381" s="7">
        <f>ROUND(670.32,2)</f>
        <v>670.32</v>
      </c>
      <c r="DB381" s="7">
        <f>ROUND(547.2,2)</f>
        <v>547.20000000000005</v>
      </c>
      <c r="DC381" s="7">
        <f>ROUND(2729.75999999999,2)</f>
        <v>2729.76</v>
      </c>
      <c r="DD381" s="6"/>
      <c r="DE381" s="7">
        <f>ROUND(5195.36,2)</f>
        <v>5195.3599999999997</v>
      </c>
      <c r="DF381" s="6"/>
      <c r="DG381" s="6"/>
      <c r="DH381" s="6"/>
      <c r="DI381" s="7">
        <f>ROUND(398.09,2)</f>
        <v>398.09</v>
      </c>
      <c r="DJ381" s="6"/>
      <c r="DK381" s="6"/>
      <c r="DL381" s="6"/>
      <c r="DM381" s="6"/>
      <c r="DN381" s="6"/>
      <c r="DO381" s="6"/>
      <c r="DP381" s="6"/>
      <c r="DQ381" s="6"/>
      <c r="DR381" s="6"/>
      <c r="DS381" s="6"/>
      <c r="DT381" s="6"/>
      <c r="DU381" s="7">
        <f>ROUND(3283.94999999999,2)</f>
        <v>3283.95</v>
      </c>
      <c r="DV381" s="7">
        <f>ROUND(222.1,2)</f>
        <v>222.1</v>
      </c>
      <c r="DW381" s="6"/>
      <c r="DX381" s="6"/>
      <c r="DY381" s="6"/>
      <c r="DZ381" s="6"/>
      <c r="EA381" s="6"/>
      <c r="EB381" s="6"/>
      <c r="EC381" s="6"/>
      <c r="ED381" s="6"/>
      <c r="EE381" s="7">
        <f>ROUND(275,2)</f>
        <v>275</v>
      </c>
      <c r="EF381" s="6"/>
      <c r="EG381" s="6"/>
      <c r="EH381" s="6"/>
      <c r="EI381" s="6"/>
      <c r="EJ381" s="6"/>
      <c r="EK381" s="6"/>
      <c r="EL381" s="6"/>
      <c r="EM381" s="6"/>
      <c r="EN381" s="6"/>
      <c r="EO381" s="6"/>
      <c r="EP381" s="6"/>
      <c r="EQ381" s="7">
        <f>ROUND(1250,2)</f>
        <v>1250</v>
      </c>
      <c r="ER381" s="6"/>
      <c r="ES381" s="6"/>
      <c r="ET381" s="6"/>
      <c r="EU381" s="7">
        <f>ROUND(486.4,2)</f>
        <v>486.4</v>
      </c>
      <c r="EV381" s="7">
        <f>ROUND(50828.07,2)</f>
        <v>50828.07</v>
      </c>
    </row>
    <row r="382" spans="1:152">
      <c r="A382" s="4" t="s">
        <v>891</v>
      </c>
      <c r="B382" s="4" t="s">
        <v>1058</v>
      </c>
      <c r="C382" s="5" t="s">
        <v>152</v>
      </c>
      <c r="D382" s="5" t="s">
        <v>243</v>
      </c>
      <c r="E382" s="5" t="s">
        <v>0</v>
      </c>
      <c r="F382" s="5" t="s">
        <v>0</v>
      </c>
      <c r="G382" s="5" t="s">
        <v>155</v>
      </c>
      <c r="H382" s="10">
        <v>30.4</v>
      </c>
      <c r="I382" s="6"/>
      <c r="J382" s="6"/>
      <c r="K382" s="6"/>
      <c r="L382" s="6"/>
      <c r="M382" s="7">
        <f>ROUND(279.37,2)</f>
        <v>279.37</v>
      </c>
      <c r="N382" s="6"/>
      <c r="O382" s="6"/>
      <c r="P382" s="7">
        <f>ROUND(14.84,2)</f>
        <v>14.84</v>
      </c>
      <c r="Q382" s="6"/>
      <c r="R382" s="6"/>
      <c r="S382" s="6"/>
      <c r="T382" s="6"/>
      <c r="U382" s="6"/>
      <c r="V382" s="6"/>
      <c r="W382" s="7">
        <f>ROUND(0.33,2)</f>
        <v>0.33</v>
      </c>
      <c r="X382" s="7">
        <f>ROUND(0.33,2)</f>
        <v>0.33</v>
      </c>
      <c r="Y382" s="6"/>
      <c r="Z382" s="6"/>
      <c r="AA382" s="6"/>
      <c r="AB382" s="6"/>
      <c r="AC382" s="7">
        <f>ROUND(960.29,2)</f>
        <v>960.29</v>
      </c>
      <c r="AD382" s="6"/>
      <c r="AE382" s="6"/>
      <c r="AF382" s="7">
        <f>ROUND(2.92,2)</f>
        <v>2.92</v>
      </c>
      <c r="AG382" s="7">
        <f>ROUND(2.48,2)</f>
        <v>2.48</v>
      </c>
      <c r="AH382" s="7">
        <f>ROUND(56,2)</f>
        <v>56</v>
      </c>
      <c r="AI382" s="6"/>
      <c r="AJ382" s="7">
        <f>ROUND(56,2)</f>
        <v>56</v>
      </c>
      <c r="AK382" s="6"/>
      <c r="AL382" s="7">
        <f>ROUND(8,2)</f>
        <v>8</v>
      </c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7">
        <f>ROUND(40,2)</f>
        <v>40</v>
      </c>
      <c r="BC382" s="7">
        <f>ROUND(301.92,2)</f>
        <v>301.92</v>
      </c>
      <c r="BD382" s="7">
        <f>ROUND(4.92,2)</f>
        <v>4.92</v>
      </c>
      <c r="BE382" s="6"/>
      <c r="BF382" s="7">
        <f>ROUND(167.48,2)</f>
        <v>167.48</v>
      </c>
      <c r="BG382" s="7">
        <f>ROUND(203.57,2)</f>
        <v>203.57</v>
      </c>
      <c r="BH382" s="7">
        <f>ROUND(24,2)</f>
        <v>24</v>
      </c>
      <c r="BI382" s="6"/>
      <c r="BJ382" s="6"/>
      <c r="BK382" s="6"/>
      <c r="BL382" s="6"/>
      <c r="BM382" s="7">
        <f>ROUND(48,2)</f>
        <v>48</v>
      </c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7">
        <f>ROUND(2170.45,2)</f>
        <v>2170.4499999999998</v>
      </c>
      <c r="CC382" s="6"/>
      <c r="CD382" s="6"/>
      <c r="CE382" s="6"/>
      <c r="CF382" s="6"/>
      <c r="CG382" s="7">
        <f>ROUND(7761.73,2)</f>
        <v>7761.73</v>
      </c>
      <c r="CH382" s="6"/>
      <c r="CI382" s="6"/>
      <c r="CJ382" s="7">
        <f>ROUND(618.37,2)</f>
        <v>618.37</v>
      </c>
      <c r="CK382" s="6"/>
      <c r="CL382" s="6"/>
      <c r="CM382" s="6"/>
      <c r="CN382" s="6"/>
      <c r="CO382" s="6"/>
      <c r="CP382" s="6"/>
      <c r="CQ382" s="7">
        <f>ROUND(9.17,2)</f>
        <v>9.17</v>
      </c>
      <c r="CR382" s="7">
        <f>ROUND(13.75,2)</f>
        <v>13.75</v>
      </c>
      <c r="CS382" s="6"/>
      <c r="CT382" s="6"/>
      <c r="CU382" s="6"/>
      <c r="CV382" s="6"/>
      <c r="CW382" s="7">
        <f>ROUND(26697.82,2)</f>
        <v>26697.82</v>
      </c>
      <c r="CX382" s="6"/>
      <c r="CY382" s="6"/>
      <c r="CZ382" s="6"/>
      <c r="DA382" s="7">
        <f>ROUND(81.12,2)</f>
        <v>81.12</v>
      </c>
      <c r="DB382" s="7">
        <f>ROUND(103.34,2)</f>
        <v>103.34</v>
      </c>
      <c r="DC382" s="7">
        <f>ROUND(1555.68,2)</f>
        <v>1555.68</v>
      </c>
      <c r="DD382" s="6"/>
      <c r="DE382" s="7">
        <f>ROUND(1555.68,2)</f>
        <v>1555.68</v>
      </c>
      <c r="DF382" s="6"/>
      <c r="DG382" s="6"/>
      <c r="DH382" s="6"/>
      <c r="DI382" s="7">
        <f>ROUND(222.24,2)</f>
        <v>222.24</v>
      </c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7">
        <f>ROUND(3111.36,2)</f>
        <v>3111.36</v>
      </c>
      <c r="ED382" s="6"/>
      <c r="EE382" s="6"/>
      <c r="EF382" s="6"/>
      <c r="EG382" s="6"/>
      <c r="EH382" s="6"/>
      <c r="EI382" s="6"/>
      <c r="EJ382" s="6"/>
      <c r="EK382" s="6"/>
      <c r="EL382" s="6"/>
      <c r="EM382" s="6"/>
      <c r="EN382" s="6"/>
      <c r="EO382" s="6"/>
      <c r="EP382" s="6"/>
      <c r="EQ382" s="7">
        <f>ROUND(875.76,2)</f>
        <v>875.76</v>
      </c>
      <c r="ER382" s="6"/>
      <c r="ES382" s="6"/>
      <c r="ET382" s="6"/>
      <c r="EU382" s="6"/>
      <c r="EV382" s="7">
        <f>ROUND(42606.02,2)</f>
        <v>42606.02</v>
      </c>
    </row>
    <row r="383" spans="1:152">
      <c r="A383" s="4" t="s">
        <v>892</v>
      </c>
      <c r="B383" s="4" t="s">
        <v>1058</v>
      </c>
      <c r="C383" s="5" t="s">
        <v>211</v>
      </c>
      <c r="D383" s="5" t="s">
        <v>418</v>
      </c>
      <c r="E383" s="5" t="s">
        <v>893</v>
      </c>
      <c r="F383" s="5" t="s">
        <v>0</v>
      </c>
      <c r="G383" s="5" t="s">
        <v>532</v>
      </c>
      <c r="H383" s="10">
        <v>28.41</v>
      </c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  <c r="BA383" s="6"/>
      <c r="BB383" s="6"/>
      <c r="BC383" s="6"/>
      <c r="BD383" s="6"/>
      <c r="BE383" s="6"/>
      <c r="BF383" s="6"/>
      <c r="BG383" s="6"/>
      <c r="BH383" s="7">
        <f>ROUND(40,2)</f>
        <v>40</v>
      </c>
      <c r="BI383" s="6"/>
      <c r="BJ383" s="6"/>
      <c r="BK383" s="6"/>
      <c r="BL383" s="6"/>
      <c r="BM383" s="6"/>
      <c r="BN383" s="6"/>
      <c r="BO383" s="6"/>
      <c r="BP383" s="7">
        <f>ROUND(1680,2)</f>
        <v>1680</v>
      </c>
      <c r="BQ383" s="6"/>
      <c r="BR383" s="6"/>
      <c r="BS383" s="6"/>
      <c r="BT383" s="6"/>
      <c r="BU383" s="6"/>
      <c r="BV383" s="6"/>
      <c r="BW383" s="6"/>
      <c r="BX383" s="6"/>
      <c r="BY383" s="6"/>
      <c r="BZ383" s="6"/>
      <c r="CA383" s="7">
        <f>ROUND(200,2)</f>
        <v>200</v>
      </c>
      <c r="CB383" s="7">
        <f>ROUND(1920,2)</f>
        <v>1920</v>
      </c>
      <c r="CC383" s="6"/>
      <c r="CD383" s="6"/>
      <c r="CE383" s="6"/>
      <c r="CF383" s="6"/>
      <c r="CG383" s="6"/>
      <c r="CH383" s="6"/>
      <c r="CI383" s="6"/>
      <c r="CJ383" s="6"/>
      <c r="CK383" s="6"/>
      <c r="CL383" s="6"/>
      <c r="CM383" s="6"/>
      <c r="CN383" s="6"/>
      <c r="CO383" s="6"/>
      <c r="CP383" s="6"/>
      <c r="CQ383" s="6"/>
      <c r="CR383" s="6"/>
      <c r="CS383" s="6"/>
      <c r="CT383" s="6"/>
      <c r="CU383" s="6"/>
      <c r="CV383" s="6"/>
      <c r="CW383" s="6"/>
      <c r="CX383" s="6"/>
      <c r="CY383" s="6"/>
      <c r="CZ383" s="6"/>
      <c r="DA383" s="6"/>
      <c r="DB383" s="6"/>
      <c r="DC383" s="6"/>
      <c r="DD383" s="6"/>
      <c r="DE383" s="6"/>
      <c r="DF383" s="6"/>
      <c r="DG383" s="6"/>
      <c r="DH383" s="6"/>
      <c r="DI383" s="6"/>
      <c r="DJ383" s="6"/>
      <c r="DK383" s="6"/>
      <c r="DL383" s="6"/>
      <c r="DM383" s="6"/>
      <c r="DN383" s="6"/>
      <c r="DO383" s="6"/>
      <c r="DP383" s="6"/>
      <c r="DQ383" s="6"/>
      <c r="DR383" s="6"/>
      <c r="DS383" s="6"/>
      <c r="DT383" s="6"/>
      <c r="DU383" s="6"/>
      <c r="DV383" s="6"/>
      <c r="DW383" s="6"/>
      <c r="DX383" s="6"/>
      <c r="DY383" s="6"/>
      <c r="DZ383" s="6"/>
      <c r="EA383" s="6"/>
      <c r="EB383" s="6"/>
      <c r="EC383" s="6"/>
      <c r="ED383" s="6"/>
      <c r="EE383" s="6"/>
      <c r="EF383" s="6"/>
      <c r="EG383" s="6"/>
      <c r="EH383" s="6"/>
      <c r="EI383" s="6"/>
      <c r="EJ383" s="6"/>
      <c r="EK383" s="6"/>
      <c r="EL383" s="6"/>
      <c r="EM383" s="6"/>
      <c r="EN383" s="6"/>
      <c r="EO383" s="6"/>
      <c r="EP383" s="6"/>
      <c r="EQ383" s="6"/>
      <c r="ER383" s="6"/>
      <c r="ES383" s="6"/>
      <c r="ET383" s="6"/>
      <c r="EU383" s="7">
        <f>ROUND(5682,2)</f>
        <v>5682</v>
      </c>
      <c r="EV383" s="7">
        <f>ROUND(5682,2)</f>
        <v>5682</v>
      </c>
    </row>
    <row r="384" spans="1:152">
      <c r="A384" s="4" t="s">
        <v>894</v>
      </c>
      <c r="B384" s="4" t="s">
        <v>1058</v>
      </c>
      <c r="C384" s="5" t="s">
        <v>152</v>
      </c>
      <c r="D384" s="5" t="s">
        <v>386</v>
      </c>
      <c r="E384" s="5" t="s">
        <v>0</v>
      </c>
      <c r="F384" s="5" t="s">
        <v>0</v>
      </c>
      <c r="G384" s="5" t="s">
        <v>155</v>
      </c>
      <c r="H384" s="10">
        <v>30.4</v>
      </c>
      <c r="I384" s="6"/>
      <c r="J384" s="6"/>
      <c r="K384" s="6"/>
      <c r="L384" s="6"/>
      <c r="M384" s="7">
        <f>ROUND(1825.47,2)</f>
        <v>1825.47</v>
      </c>
      <c r="N384" s="6"/>
      <c r="O384" s="6"/>
      <c r="P384" s="7">
        <f>ROUND(519.35,2)</f>
        <v>519.35</v>
      </c>
      <c r="Q384" s="6"/>
      <c r="R384" s="6"/>
      <c r="S384" s="6"/>
      <c r="T384" s="6"/>
      <c r="U384" s="6"/>
      <c r="V384" s="7">
        <f>ROUND(28.25,2)</f>
        <v>28.25</v>
      </c>
      <c r="W384" s="6"/>
      <c r="X384" s="6"/>
      <c r="Y384" s="6"/>
      <c r="Z384" s="6"/>
      <c r="AA384" s="6"/>
      <c r="AB384" s="6"/>
      <c r="AC384" s="6"/>
      <c r="AD384" s="7">
        <f>ROUND(8.5,2)</f>
        <v>8.5</v>
      </c>
      <c r="AE384" s="6"/>
      <c r="AF384" s="6"/>
      <c r="AG384" s="7">
        <f>ROUND(29.43,2)</f>
        <v>29.43</v>
      </c>
      <c r="AH384" s="7">
        <f>ROUND(90,2)</f>
        <v>90</v>
      </c>
      <c r="AI384" s="6"/>
      <c r="AJ384" s="7">
        <f>ROUND(152,2)</f>
        <v>152</v>
      </c>
      <c r="AK384" s="6"/>
      <c r="AL384" s="7">
        <f>ROUND(10.7,2)</f>
        <v>10.7</v>
      </c>
      <c r="AM384" s="7">
        <f>ROUND(1.83,2)</f>
        <v>1.83</v>
      </c>
      <c r="AN384" s="7">
        <f>ROUND(7.93,2)</f>
        <v>7.93</v>
      </c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  <c r="BA384" s="6"/>
      <c r="BB384" s="6"/>
      <c r="BC384" s="6"/>
      <c r="BD384" s="7">
        <f>ROUND(0.02,2)</f>
        <v>0.02</v>
      </c>
      <c r="BE384" s="6"/>
      <c r="BF384" s="6"/>
      <c r="BG384" s="6"/>
      <c r="BH384" s="6"/>
      <c r="BI384" s="6"/>
      <c r="BJ384" s="6"/>
      <c r="BK384" s="6"/>
      <c r="BL384" s="6"/>
      <c r="BM384" s="7">
        <f>ROUND(14.58,2)</f>
        <v>14.58</v>
      </c>
      <c r="BN384" s="6"/>
      <c r="BO384" s="6"/>
      <c r="BP384" s="6"/>
      <c r="BQ384" s="6"/>
      <c r="BR384" s="6"/>
      <c r="BS384" s="6"/>
      <c r="BT384" s="6"/>
      <c r="BU384" s="6"/>
      <c r="BV384" s="6"/>
      <c r="BW384" s="6"/>
      <c r="BX384" s="6"/>
      <c r="BY384" s="6"/>
      <c r="BZ384" s="6"/>
      <c r="CA384" s="7">
        <f>ROUND(48,2)</f>
        <v>48</v>
      </c>
      <c r="CB384" s="7">
        <f>ROUND(2736.06,2)</f>
        <v>2736.06</v>
      </c>
      <c r="CC384" s="6"/>
      <c r="CD384" s="6"/>
      <c r="CE384" s="6"/>
      <c r="CF384" s="6"/>
      <c r="CG384" s="7">
        <f>ROUND(51337.7099999999,2)</f>
        <v>51337.71</v>
      </c>
      <c r="CH384" s="6"/>
      <c r="CI384" s="6"/>
      <c r="CJ384" s="7">
        <f>ROUND(21882.13,2)</f>
        <v>21882.13</v>
      </c>
      <c r="CK384" s="6"/>
      <c r="CL384" s="6"/>
      <c r="CM384" s="6"/>
      <c r="CN384" s="6"/>
      <c r="CO384" s="6"/>
      <c r="CP384" s="7">
        <f>ROUND(1209.48,2)</f>
        <v>1209.48</v>
      </c>
      <c r="CQ384" s="6"/>
      <c r="CR384" s="6"/>
      <c r="CS384" s="6"/>
      <c r="CT384" s="6"/>
      <c r="CU384" s="6"/>
      <c r="CV384" s="6"/>
      <c r="CW384" s="6"/>
      <c r="CX384" s="7">
        <f>ROUND(354.2,2)</f>
        <v>354.2</v>
      </c>
      <c r="CY384" s="6"/>
      <c r="CZ384" s="6"/>
      <c r="DA384" s="6"/>
      <c r="DB384" s="7">
        <f>ROUND(1323.38,2)</f>
        <v>1323.38</v>
      </c>
      <c r="DC384" s="7">
        <f>ROUND(2542.12,2)</f>
        <v>2542.12</v>
      </c>
      <c r="DD384" s="6"/>
      <c r="DE384" s="7">
        <f>ROUND(4327.36,2)</f>
        <v>4327.3599999999997</v>
      </c>
      <c r="DF384" s="6"/>
      <c r="DG384" s="6"/>
      <c r="DH384" s="6"/>
      <c r="DI384" s="7">
        <f>ROUND(303.01,2)</f>
        <v>303.01</v>
      </c>
      <c r="DJ384" s="7">
        <f>ROUND(50.84,2)</f>
        <v>50.84</v>
      </c>
      <c r="DK384" s="7">
        <f>ROUND(361.61,2)</f>
        <v>361.61</v>
      </c>
      <c r="DL384" s="6"/>
      <c r="DM384" s="6"/>
      <c r="DN384" s="6"/>
      <c r="DO384" s="6"/>
      <c r="DP384" s="6"/>
      <c r="DQ384" s="6"/>
      <c r="DR384" s="6"/>
      <c r="DS384" s="6"/>
      <c r="DT384" s="6"/>
      <c r="DU384" s="6"/>
      <c r="DV384" s="6"/>
      <c r="DW384" s="6"/>
      <c r="DX384" s="6"/>
      <c r="DY384" s="6"/>
      <c r="DZ384" s="6"/>
      <c r="EA384" s="6"/>
      <c r="EB384" s="6"/>
      <c r="EC384" s="6"/>
      <c r="ED384" s="6"/>
      <c r="EE384" s="7">
        <f>ROUND(2000,2)</f>
        <v>2000</v>
      </c>
      <c r="EF384" s="6"/>
      <c r="EG384" s="6"/>
      <c r="EH384" s="6"/>
      <c r="EI384" s="6"/>
      <c r="EJ384" s="6"/>
      <c r="EK384" s="6"/>
      <c r="EL384" s="6"/>
      <c r="EM384" s="6"/>
      <c r="EN384" s="6"/>
      <c r="EO384" s="6"/>
      <c r="EP384" s="6"/>
      <c r="EQ384" s="7">
        <f>ROUND(1250,2)</f>
        <v>1250</v>
      </c>
      <c r="ER384" s="6"/>
      <c r="ES384" s="6"/>
      <c r="ET384" s="6"/>
      <c r="EU384" s="7">
        <f>ROUND(1459.2,2)</f>
        <v>1459.2</v>
      </c>
      <c r="EV384" s="7">
        <f>ROUND(88401.0399999999,2)</f>
        <v>88401.04</v>
      </c>
    </row>
    <row r="385" spans="1:152" ht="24">
      <c r="A385" s="4" t="s">
        <v>895</v>
      </c>
      <c r="B385" s="4"/>
      <c r="C385" s="5" t="s">
        <v>259</v>
      </c>
      <c r="D385" s="5" t="s">
        <v>499</v>
      </c>
      <c r="E385" s="5" t="s">
        <v>0</v>
      </c>
      <c r="F385" s="5" t="s">
        <v>0</v>
      </c>
      <c r="G385" s="5" t="s">
        <v>896</v>
      </c>
      <c r="H385" s="10">
        <v>1089.42</v>
      </c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  <c r="BA385" s="6"/>
      <c r="BB385" s="6"/>
      <c r="BC385" s="6"/>
      <c r="BD385" s="6"/>
      <c r="BE385" s="6"/>
      <c r="BF385" s="6"/>
      <c r="BG385" s="6"/>
      <c r="BH385" s="6"/>
      <c r="BI385" s="6"/>
      <c r="BJ385" s="6"/>
      <c r="BK385" s="6"/>
      <c r="BL385" s="6"/>
      <c r="BM385" s="6"/>
      <c r="BN385" s="6"/>
      <c r="BO385" s="6"/>
      <c r="BP385" s="6"/>
      <c r="BQ385" s="6"/>
      <c r="BR385" s="6"/>
      <c r="BS385" s="6"/>
      <c r="BT385" s="7">
        <f>ROUND(16,2)</f>
        <v>16</v>
      </c>
      <c r="BU385" s="6"/>
      <c r="BV385" s="6"/>
      <c r="BW385" s="6"/>
      <c r="BX385" s="6"/>
      <c r="BY385" s="7">
        <f>ROUND(40,2)</f>
        <v>40</v>
      </c>
      <c r="BZ385" s="6"/>
      <c r="CA385" s="6"/>
      <c r="CB385" s="7">
        <f>ROUND(56,2)</f>
        <v>56</v>
      </c>
      <c r="CC385" s="7">
        <f>ROUND(28748.0099999999,2)</f>
        <v>28748.01</v>
      </c>
      <c r="CD385" s="6"/>
      <c r="CE385" s="6"/>
      <c r="CF385" s="6"/>
      <c r="CG385" s="6"/>
      <c r="CH385" s="6"/>
      <c r="CI385" s="6"/>
      <c r="CJ385" s="6"/>
      <c r="CK385" s="6"/>
      <c r="CL385" s="6"/>
      <c r="CM385" s="6"/>
      <c r="CN385" s="6"/>
      <c r="CO385" s="6"/>
      <c r="CP385" s="6"/>
      <c r="CQ385" s="6"/>
      <c r="CR385" s="6"/>
      <c r="CS385" s="6"/>
      <c r="CT385" s="6"/>
      <c r="CU385" s="6"/>
      <c r="CV385" s="6"/>
      <c r="CW385" s="6"/>
      <c r="CX385" s="6"/>
      <c r="CY385" s="6"/>
      <c r="CZ385" s="6"/>
      <c r="DA385" s="6"/>
      <c r="DB385" s="6"/>
      <c r="DC385" s="6"/>
      <c r="DD385" s="6"/>
      <c r="DE385" s="6"/>
      <c r="DF385" s="6"/>
      <c r="DG385" s="6"/>
      <c r="DH385" s="6"/>
      <c r="DI385" s="6"/>
      <c r="DJ385" s="6"/>
      <c r="DK385" s="6"/>
      <c r="DL385" s="6"/>
      <c r="DM385" s="6"/>
      <c r="DN385" s="6"/>
      <c r="DO385" s="6"/>
      <c r="DP385" s="6"/>
      <c r="DQ385" s="6"/>
      <c r="DR385" s="6"/>
      <c r="DS385" s="6"/>
      <c r="DT385" s="6"/>
      <c r="DU385" s="6"/>
      <c r="DV385" s="6"/>
      <c r="DW385" s="6"/>
      <c r="DX385" s="6"/>
      <c r="DY385" s="6"/>
      <c r="DZ385" s="6"/>
      <c r="EA385" s="6"/>
      <c r="EB385" s="6"/>
      <c r="EC385" s="6"/>
      <c r="ED385" s="6"/>
      <c r="EE385" s="7">
        <f>ROUND(435.84,2)</f>
        <v>435.84</v>
      </c>
      <c r="EF385" s="6"/>
      <c r="EG385" s="6"/>
      <c r="EH385" s="6"/>
      <c r="EI385" s="6"/>
      <c r="EJ385" s="6"/>
      <c r="EK385" s="6"/>
      <c r="EL385" s="6"/>
      <c r="EM385" s="6"/>
      <c r="EN385" s="6"/>
      <c r="EO385" s="6"/>
      <c r="EP385" s="6"/>
      <c r="EQ385" s="6"/>
      <c r="ER385" s="6"/>
      <c r="ES385" s="6"/>
      <c r="ET385" s="6"/>
      <c r="EU385" s="6"/>
      <c r="EV385" s="7">
        <f>ROUND(29183.8499999999,2)</f>
        <v>29183.85</v>
      </c>
    </row>
    <row r="386" spans="1:152">
      <c r="A386" s="4" t="s">
        <v>897</v>
      </c>
      <c r="B386" s="4" t="s">
        <v>1058</v>
      </c>
      <c r="C386" s="5" t="s">
        <v>152</v>
      </c>
      <c r="D386" s="5" t="s">
        <v>224</v>
      </c>
      <c r="E386" s="5" t="s">
        <v>0</v>
      </c>
      <c r="F386" s="5" t="s">
        <v>0</v>
      </c>
      <c r="G386" s="5" t="s">
        <v>155</v>
      </c>
      <c r="H386" s="10">
        <v>30.4</v>
      </c>
      <c r="I386" s="6"/>
      <c r="J386" s="6"/>
      <c r="K386" s="6"/>
      <c r="L386" s="6"/>
      <c r="M386" s="7">
        <f>ROUND(1210.57999999999,2)</f>
        <v>1210.58</v>
      </c>
      <c r="N386" s="6"/>
      <c r="O386" s="6"/>
      <c r="P386" s="7">
        <f>ROUND(310.45,2)</f>
        <v>310.45</v>
      </c>
      <c r="Q386" s="6"/>
      <c r="R386" s="6"/>
      <c r="S386" s="6"/>
      <c r="T386" s="6"/>
      <c r="U386" s="7">
        <f>ROUND(47,2)</f>
        <v>47</v>
      </c>
      <c r="V386" s="7">
        <f>ROUND(14.97,2)</f>
        <v>14.97</v>
      </c>
      <c r="W386" s="7">
        <f>ROUND(14.45,2)</f>
        <v>14.45</v>
      </c>
      <c r="X386" s="7">
        <f>ROUND(3.56,2)</f>
        <v>3.56</v>
      </c>
      <c r="Y386" s="7">
        <f>ROUND(0.08,2)</f>
        <v>0.08</v>
      </c>
      <c r="Z386" s="6"/>
      <c r="AA386" s="6"/>
      <c r="AB386" s="6"/>
      <c r="AC386" s="7">
        <f>ROUND(92.76,2)</f>
        <v>92.76</v>
      </c>
      <c r="AD386" s="7">
        <f>ROUND(24.29,2)</f>
        <v>24.29</v>
      </c>
      <c r="AE386" s="6"/>
      <c r="AF386" s="7">
        <f>ROUND(516.19,2)</f>
        <v>516.19000000000005</v>
      </c>
      <c r="AG386" s="7">
        <f>ROUND(129.9,2)</f>
        <v>129.9</v>
      </c>
      <c r="AH386" s="7">
        <f>ROUND(80,2)</f>
        <v>80</v>
      </c>
      <c r="AI386" s="6"/>
      <c r="AJ386" s="7">
        <f>ROUND(80,2)</f>
        <v>80</v>
      </c>
      <c r="AK386" s="6"/>
      <c r="AL386" s="7">
        <f>ROUND(8.5,2)</f>
        <v>8.5</v>
      </c>
      <c r="AM386" s="6"/>
      <c r="AN386" s="6"/>
      <c r="AO386" s="6"/>
      <c r="AP386" s="7">
        <f>ROUND(32,2)</f>
        <v>32</v>
      </c>
      <c r="AQ386" s="6"/>
      <c r="AR386" s="6"/>
      <c r="AS386" s="6"/>
      <c r="AT386" s="6"/>
      <c r="AU386" s="6"/>
      <c r="AV386" s="6"/>
      <c r="AW386" s="6"/>
      <c r="AX386" s="6"/>
      <c r="AY386" s="6"/>
      <c r="AZ386" s="6"/>
      <c r="BA386" s="6"/>
      <c r="BB386" s="7">
        <f>ROUND(16,2)</f>
        <v>16</v>
      </c>
      <c r="BC386" s="6"/>
      <c r="BD386" s="6"/>
      <c r="BE386" s="6"/>
      <c r="BF386" s="6"/>
      <c r="BG386" s="6"/>
      <c r="BH386" s="6"/>
      <c r="BI386" s="6"/>
      <c r="BJ386" s="6"/>
      <c r="BK386" s="6"/>
      <c r="BL386" s="6"/>
      <c r="BM386" s="6"/>
      <c r="BN386" s="6"/>
      <c r="BO386" s="6"/>
      <c r="BP386" s="6"/>
      <c r="BQ386" s="6"/>
      <c r="BR386" s="6"/>
      <c r="BS386" s="6"/>
      <c r="BT386" s="6"/>
      <c r="BU386" s="6"/>
      <c r="BV386" s="6"/>
      <c r="BW386" s="6"/>
      <c r="BX386" s="6"/>
      <c r="BY386" s="6"/>
      <c r="BZ386" s="6"/>
      <c r="CA386" s="6"/>
      <c r="CB386" s="7">
        <f>ROUND(2580.73,2)</f>
        <v>2580.73</v>
      </c>
      <c r="CC386" s="6"/>
      <c r="CD386" s="6"/>
      <c r="CE386" s="6"/>
      <c r="CF386" s="6"/>
      <c r="CG386" s="7">
        <f>ROUND(30139.2099999999,2)</f>
        <v>30139.21</v>
      </c>
      <c r="CH386" s="6"/>
      <c r="CI386" s="6"/>
      <c r="CJ386" s="7">
        <f>ROUND(11774.4799999999,2)</f>
        <v>11774.48</v>
      </c>
      <c r="CK386" s="6"/>
      <c r="CL386" s="6"/>
      <c r="CM386" s="6"/>
      <c r="CN386" s="6"/>
      <c r="CO386" s="7">
        <f>ROUND(1137.42999999999,2)</f>
        <v>1137.43</v>
      </c>
      <c r="CP386" s="7">
        <f>ROUND(543.13,2)</f>
        <v>543.13</v>
      </c>
      <c r="CQ386" s="7">
        <f>ROUND(359.04,2)</f>
        <v>359.04</v>
      </c>
      <c r="CR386" s="7">
        <f>ROUND(136.13,2)</f>
        <v>136.13</v>
      </c>
      <c r="CS386" s="7">
        <f>ROUND(4.86,2)</f>
        <v>4.8600000000000003</v>
      </c>
      <c r="CT386" s="6"/>
      <c r="CU386" s="6"/>
      <c r="CV386" s="6"/>
      <c r="CW386" s="7">
        <f>ROUND(2350.07999999999,2)</f>
        <v>2350.08</v>
      </c>
      <c r="CX386" s="7">
        <f>ROUND(1065.66,2)</f>
        <v>1065.6600000000001</v>
      </c>
      <c r="CY386" s="6"/>
      <c r="CZ386" s="6"/>
      <c r="DA386" s="7">
        <f>ROUND(13227.02,2)</f>
        <v>13227.02</v>
      </c>
      <c r="DB386" s="7">
        <f>ROUND(4844.44,2)</f>
        <v>4844.4399999999996</v>
      </c>
      <c r="DC386" s="7">
        <f>ROUND(2033.12,2)</f>
        <v>2033.12</v>
      </c>
      <c r="DD386" s="6"/>
      <c r="DE386" s="7">
        <f>ROUND(1933.44,2)</f>
        <v>1933.44</v>
      </c>
      <c r="DF386" s="6"/>
      <c r="DG386" s="6"/>
      <c r="DH386" s="6"/>
      <c r="DI386" s="7">
        <f>ROUND(205.43,2)</f>
        <v>205.43</v>
      </c>
      <c r="DJ386" s="6"/>
      <c r="DK386" s="6"/>
      <c r="DL386" s="6"/>
      <c r="DM386" s="7">
        <f>ROUND(773.37,2)</f>
        <v>773.37</v>
      </c>
      <c r="DN386" s="6"/>
      <c r="DO386" s="6"/>
      <c r="DP386" s="6"/>
      <c r="DQ386" s="6"/>
      <c r="DR386" s="6"/>
      <c r="DS386" s="6"/>
      <c r="DT386" s="6"/>
      <c r="DU386" s="6"/>
      <c r="DV386" s="6"/>
      <c r="DW386" s="6"/>
      <c r="DX386" s="6"/>
      <c r="DY386" s="6"/>
      <c r="DZ386" s="6"/>
      <c r="EA386" s="6"/>
      <c r="EB386" s="6"/>
      <c r="EC386" s="6"/>
      <c r="ED386" s="6"/>
      <c r="EE386" s="7">
        <f>ROUND(1275,2)</f>
        <v>1275</v>
      </c>
      <c r="EF386" s="6"/>
      <c r="EG386" s="6"/>
      <c r="EH386" s="6"/>
      <c r="EI386" s="6"/>
      <c r="EJ386" s="6"/>
      <c r="EK386" s="6"/>
      <c r="EL386" s="6"/>
      <c r="EM386" s="6"/>
      <c r="EN386" s="6"/>
      <c r="EO386" s="6"/>
      <c r="EP386" s="6"/>
      <c r="EQ386" s="7">
        <f>ROUND(1250,2)</f>
        <v>1250</v>
      </c>
      <c r="ER386" s="6"/>
      <c r="ES386" s="6"/>
      <c r="ET386" s="6"/>
      <c r="EU386" s="6"/>
      <c r="EV386" s="7">
        <f>ROUND(73051.84,2)</f>
        <v>73051.839999999997</v>
      </c>
    </row>
    <row r="387" spans="1:152">
      <c r="A387" s="4" t="s">
        <v>898</v>
      </c>
      <c r="B387" s="4" t="s">
        <v>1058</v>
      </c>
      <c r="C387" s="5" t="s">
        <v>152</v>
      </c>
      <c r="D387" s="5" t="s">
        <v>899</v>
      </c>
      <c r="E387" s="5" t="s">
        <v>0</v>
      </c>
      <c r="F387" s="5" t="s">
        <v>0</v>
      </c>
      <c r="G387" s="5" t="s">
        <v>155</v>
      </c>
      <c r="H387" s="10">
        <v>30.4</v>
      </c>
      <c r="I387" s="6"/>
      <c r="J387" s="6"/>
      <c r="K387" s="6"/>
      <c r="L387" s="6"/>
      <c r="M387" s="7">
        <f>ROUND(1760.37,2)</f>
        <v>1760.37</v>
      </c>
      <c r="N387" s="6"/>
      <c r="O387" s="6"/>
      <c r="P387" s="7">
        <f>ROUND(498.269999999999,2)</f>
        <v>498.27</v>
      </c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7">
        <f>ROUND(7.58,2)</f>
        <v>7.58</v>
      </c>
      <c r="AH387" s="7">
        <f>ROUND(90,2)</f>
        <v>90</v>
      </c>
      <c r="AI387" s="6"/>
      <c r="AJ387" s="7">
        <f>ROUND(200,2)</f>
        <v>200</v>
      </c>
      <c r="AK387" s="6"/>
      <c r="AL387" s="7">
        <f>ROUND(8,2)</f>
        <v>8</v>
      </c>
      <c r="AM387" s="7">
        <f>ROUND(1.4,2)</f>
        <v>1.4</v>
      </c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  <c r="BA387" s="6"/>
      <c r="BB387" s="7">
        <f>ROUND(16,2)</f>
        <v>16</v>
      </c>
      <c r="BC387" s="6"/>
      <c r="BD387" s="6"/>
      <c r="BE387" s="6"/>
      <c r="BF387" s="6"/>
      <c r="BG387" s="6"/>
      <c r="BH387" s="7">
        <f>ROUND(10,2)</f>
        <v>10</v>
      </c>
      <c r="BI387" s="6"/>
      <c r="BJ387" s="6"/>
      <c r="BK387" s="6"/>
      <c r="BL387" s="6"/>
      <c r="BM387" s="7">
        <f>ROUND(8,2)</f>
        <v>8</v>
      </c>
      <c r="BN387" s="6"/>
      <c r="BO387" s="6"/>
      <c r="BP387" s="6"/>
      <c r="BQ387" s="6"/>
      <c r="BR387" s="6"/>
      <c r="BS387" s="6"/>
      <c r="BT387" s="6"/>
      <c r="BU387" s="6"/>
      <c r="BV387" s="6"/>
      <c r="BW387" s="6"/>
      <c r="BX387" s="6"/>
      <c r="BY387" s="6"/>
      <c r="BZ387" s="6"/>
      <c r="CA387" s="7">
        <f>ROUND(24,2)</f>
        <v>24</v>
      </c>
      <c r="CB387" s="7">
        <f>ROUND(2623.61999999999,2)</f>
        <v>2623.62</v>
      </c>
      <c r="CC387" s="6"/>
      <c r="CD387" s="6"/>
      <c r="CE387" s="6"/>
      <c r="CF387" s="6"/>
      <c r="CG387" s="7">
        <f>ROUND(49595.1499999999,2)</f>
        <v>49595.15</v>
      </c>
      <c r="CH387" s="6"/>
      <c r="CI387" s="6"/>
      <c r="CJ387" s="7">
        <f>ROUND(21149.7499999999,2)</f>
        <v>21149.75</v>
      </c>
      <c r="CK387" s="6"/>
      <c r="CL387" s="6"/>
      <c r="CM387" s="6"/>
      <c r="CN387" s="6"/>
      <c r="CO387" s="6"/>
      <c r="CP387" s="6"/>
      <c r="CQ387" s="6"/>
      <c r="CR387" s="6"/>
      <c r="CS387" s="6"/>
      <c r="CT387" s="6"/>
      <c r="CU387" s="6"/>
      <c r="CV387" s="6"/>
      <c r="CW387" s="6"/>
      <c r="CX387" s="6"/>
      <c r="CY387" s="6"/>
      <c r="CZ387" s="6"/>
      <c r="DA387" s="6"/>
      <c r="DB387" s="7">
        <f>ROUND(315.86,2)</f>
        <v>315.86</v>
      </c>
      <c r="DC387" s="7">
        <f>ROUND(2653.24,2)</f>
        <v>2653.24</v>
      </c>
      <c r="DD387" s="6"/>
      <c r="DE387" s="7">
        <f>ROUND(5555.99999999999,2)</f>
        <v>5556</v>
      </c>
      <c r="DF387" s="6"/>
      <c r="DG387" s="6"/>
      <c r="DH387" s="6"/>
      <c r="DI387" s="7">
        <f>ROUND(222.24,2)</f>
        <v>222.24</v>
      </c>
      <c r="DJ387" s="7">
        <f>ROUND(38.89,2)</f>
        <v>38.89</v>
      </c>
      <c r="DK387" s="6"/>
      <c r="DL387" s="6"/>
      <c r="DM387" s="6"/>
      <c r="DN387" s="6"/>
      <c r="DO387" s="6"/>
      <c r="DP387" s="6"/>
      <c r="DQ387" s="6"/>
      <c r="DR387" s="6"/>
      <c r="DS387" s="6"/>
      <c r="DT387" s="6"/>
      <c r="DU387" s="6"/>
      <c r="DV387" s="6"/>
      <c r="DW387" s="6"/>
      <c r="DX387" s="6"/>
      <c r="DY387" s="6"/>
      <c r="DZ387" s="6"/>
      <c r="EA387" s="6"/>
      <c r="EB387" s="6"/>
      <c r="EC387" s="6"/>
      <c r="ED387" s="6"/>
      <c r="EE387" s="7">
        <f>ROUND(1400,2)</f>
        <v>1400</v>
      </c>
      <c r="EF387" s="6"/>
      <c r="EG387" s="6"/>
      <c r="EH387" s="6"/>
      <c r="EI387" s="6"/>
      <c r="EJ387" s="6"/>
      <c r="EK387" s="6"/>
      <c r="EL387" s="6"/>
      <c r="EM387" s="6"/>
      <c r="EN387" s="6"/>
      <c r="EO387" s="6"/>
      <c r="EP387" s="6"/>
      <c r="EQ387" s="7">
        <f>ROUND(1250,2)</f>
        <v>1250</v>
      </c>
      <c r="ER387" s="6"/>
      <c r="ES387" s="6"/>
      <c r="ET387" s="6"/>
      <c r="EU387" s="7">
        <f>ROUND(729.6,2)</f>
        <v>729.6</v>
      </c>
      <c r="EV387" s="7">
        <f>ROUND(82910.73,2)</f>
        <v>82910.73</v>
      </c>
    </row>
    <row r="388" spans="1:152">
      <c r="A388" s="4" t="s">
        <v>900</v>
      </c>
      <c r="B388" s="4" t="s">
        <v>1058</v>
      </c>
      <c r="C388" s="5" t="s">
        <v>152</v>
      </c>
      <c r="D388" s="5" t="s">
        <v>173</v>
      </c>
      <c r="E388" s="5" t="s">
        <v>901</v>
      </c>
      <c r="F388" s="5" t="s">
        <v>0</v>
      </c>
      <c r="G388" s="5" t="s">
        <v>155</v>
      </c>
      <c r="H388" s="10">
        <v>17.5</v>
      </c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7">
        <f>ROUND(56,2)</f>
        <v>56</v>
      </c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  <c r="BA388" s="6"/>
      <c r="BB388" s="6"/>
      <c r="BC388" s="6"/>
      <c r="BD388" s="6"/>
      <c r="BE388" s="6"/>
      <c r="BF388" s="6"/>
      <c r="BG388" s="6"/>
      <c r="BH388" s="6"/>
      <c r="BI388" s="6"/>
      <c r="BJ388" s="6"/>
      <c r="BK388" s="6"/>
      <c r="BL388" s="6"/>
      <c r="BM388" s="7">
        <f>ROUND(5,2)</f>
        <v>5</v>
      </c>
      <c r="BN388" s="6"/>
      <c r="BO388" s="6"/>
      <c r="BP388" s="6"/>
      <c r="BQ388" s="6"/>
      <c r="BR388" s="6"/>
      <c r="BS388" s="6"/>
      <c r="BT388" s="6"/>
      <c r="BU388" s="6"/>
      <c r="BV388" s="6"/>
      <c r="BW388" s="6"/>
      <c r="BX388" s="6"/>
      <c r="BY388" s="6"/>
      <c r="BZ388" s="6"/>
      <c r="CA388" s="6"/>
      <c r="CB388" s="7">
        <f>ROUND(61,2)</f>
        <v>61</v>
      </c>
      <c r="CC388" s="6"/>
      <c r="CD388" s="6"/>
      <c r="CE388" s="6"/>
      <c r="CF388" s="6"/>
      <c r="CG388" s="6"/>
      <c r="CH388" s="6"/>
      <c r="CI388" s="6"/>
      <c r="CJ388" s="6"/>
      <c r="CK388" s="6"/>
      <c r="CL388" s="6"/>
      <c r="CM388" s="6"/>
      <c r="CN388" s="6"/>
      <c r="CO388" s="6"/>
      <c r="CP388" s="6"/>
      <c r="CQ388" s="6"/>
      <c r="CR388" s="6"/>
      <c r="CS388" s="6"/>
      <c r="CT388" s="6"/>
      <c r="CU388" s="6"/>
      <c r="CV388" s="6"/>
      <c r="CW388" s="6"/>
      <c r="CX388" s="6"/>
      <c r="CY388" s="6"/>
      <c r="CZ388" s="6"/>
      <c r="DA388" s="6"/>
      <c r="DB388" s="6"/>
      <c r="DC388" s="6"/>
      <c r="DD388" s="6"/>
      <c r="DE388" s="6"/>
      <c r="DF388" s="6"/>
      <c r="DG388" s="6"/>
      <c r="DH388" s="6"/>
      <c r="DI388" s="7">
        <f>ROUND(980,2)</f>
        <v>980</v>
      </c>
      <c r="DJ388" s="6"/>
      <c r="DK388" s="6"/>
      <c r="DL388" s="6"/>
      <c r="DM388" s="6"/>
      <c r="DN388" s="6"/>
      <c r="DO388" s="6"/>
      <c r="DP388" s="6"/>
      <c r="DQ388" s="6"/>
      <c r="DR388" s="6"/>
      <c r="DS388" s="6"/>
      <c r="DT388" s="6"/>
      <c r="DU388" s="6"/>
      <c r="DV388" s="6"/>
      <c r="DW388" s="6"/>
      <c r="DX388" s="6"/>
      <c r="DY388" s="6"/>
      <c r="DZ388" s="6"/>
      <c r="EA388" s="6"/>
      <c r="EB388" s="6"/>
      <c r="EC388" s="6"/>
      <c r="ED388" s="6"/>
      <c r="EE388" s="6"/>
      <c r="EF388" s="6"/>
      <c r="EG388" s="6"/>
      <c r="EH388" s="6"/>
      <c r="EI388" s="6"/>
      <c r="EJ388" s="6"/>
      <c r="EK388" s="6"/>
      <c r="EL388" s="6"/>
      <c r="EM388" s="6"/>
      <c r="EN388" s="6"/>
      <c r="EO388" s="6"/>
      <c r="EP388" s="6"/>
      <c r="EQ388" s="6"/>
      <c r="ER388" s="6"/>
      <c r="ES388" s="6"/>
      <c r="ET388" s="6"/>
      <c r="EU388" s="6"/>
      <c r="EV388" s="7">
        <f>ROUND(980,2)</f>
        <v>980</v>
      </c>
    </row>
    <row r="389" spans="1:152">
      <c r="A389" s="4" t="s">
        <v>902</v>
      </c>
      <c r="B389" s="4" t="s">
        <v>1058</v>
      </c>
      <c r="C389" s="5" t="s">
        <v>152</v>
      </c>
      <c r="D389" s="5" t="s">
        <v>171</v>
      </c>
      <c r="E389" s="5" t="s">
        <v>0</v>
      </c>
      <c r="F389" s="5" t="s">
        <v>0</v>
      </c>
      <c r="G389" s="5" t="s">
        <v>155</v>
      </c>
      <c r="H389" s="10">
        <v>27.36</v>
      </c>
      <c r="I389" s="6"/>
      <c r="J389" s="6"/>
      <c r="K389" s="6"/>
      <c r="L389" s="6"/>
      <c r="M389" s="7">
        <f>ROUND(859.08,2)</f>
        <v>859.08</v>
      </c>
      <c r="N389" s="6"/>
      <c r="O389" s="6"/>
      <c r="P389" s="7">
        <f>ROUND(124.6,2)</f>
        <v>124.6</v>
      </c>
      <c r="Q389" s="6"/>
      <c r="R389" s="6"/>
      <c r="S389" s="6"/>
      <c r="T389" s="6"/>
      <c r="U389" s="7">
        <f>ROUND(50.2,2)</f>
        <v>50.2</v>
      </c>
      <c r="V389" s="7">
        <f>ROUND(8.65,2)</f>
        <v>8.65</v>
      </c>
      <c r="W389" s="7">
        <f>ROUND(6.06,2)</f>
        <v>6.06</v>
      </c>
      <c r="X389" s="7">
        <f>ROUND(1.99,2)</f>
        <v>1.99</v>
      </c>
      <c r="Y389" s="6"/>
      <c r="Z389" s="6"/>
      <c r="AA389" s="6"/>
      <c r="AB389" s="6"/>
      <c r="AC389" s="7">
        <f>ROUND(103.29,2)</f>
        <v>103.29</v>
      </c>
      <c r="AD389" s="6"/>
      <c r="AE389" s="6"/>
      <c r="AF389" s="7">
        <f>ROUND(874.12,2)</f>
        <v>874.12</v>
      </c>
      <c r="AG389" s="7">
        <f>ROUND(93.4499999999999,2)</f>
        <v>93.45</v>
      </c>
      <c r="AH389" s="7">
        <f>ROUND(88,2)</f>
        <v>88</v>
      </c>
      <c r="AI389" s="6"/>
      <c r="AJ389" s="7">
        <f>ROUND(32,2)</f>
        <v>32</v>
      </c>
      <c r="AK389" s="6"/>
      <c r="AL389" s="7">
        <f>ROUND(8,2)</f>
        <v>8</v>
      </c>
      <c r="AM389" s="7">
        <f>ROUND(2.33,2)</f>
        <v>2.33</v>
      </c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7">
        <f>ROUND(0.5,2)</f>
        <v>0.5</v>
      </c>
      <c r="AY389" s="7">
        <f>ROUND(3.17,2)</f>
        <v>3.17</v>
      </c>
      <c r="AZ389" s="6"/>
      <c r="BA389" s="6"/>
      <c r="BB389" s="7">
        <f>ROUND(8,2)</f>
        <v>8</v>
      </c>
      <c r="BC389" s="7">
        <f>ROUND(8,2)</f>
        <v>8</v>
      </c>
      <c r="BD389" s="6"/>
      <c r="BE389" s="6"/>
      <c r="BF389" s="6"/>
      <c r="BG389" s="6"/>
      <c r="BH389" s="6"/>
      <c r="BI389" s="6"/>
      <c r="BJ389" s="6"/>
      <c r="BK389" s="6"/>
      <c r="BL389" s="7">
        <f>ROUND(56,2)</f>
        <v>56</v>
      </c>
      <c r="BM389" s="6"/>
      <c r="BN389" s="6"/>
      <c r="BO389" s="6"/>
      <c r="BP389" s="6"/>
      <c r="BQ389" s="6"/>
      <c r="BR389" s="6"/>
      <c r="BS389" s="6"/>
      <c r="BT389" s="6"/>
      <c r="BU389" s="6"/>
      <c r="BV389" s="6"/>
      <c r="BW389" s="6"/>
      <c r="BX389" s="6"/>
      <c r="BY389" s="6"/>
      <c r="BZ389" s="6"/>
      <c r="CA389" s="7">
        <f>ROUND(8,2)</f>
        <v>8</v>
      </c>
      <c r="CB389" s="7">
        <f>ROUND(2335.44,2)</f>
        <v>2335.44</v>
      </c>
      <c r="CC389" s="6"/>
      <c r="CD389" s="6"/>
      <c r="CE389" s="6"/>
      <c r="CF389" s="6"/>
      <c r="CG389" s="7">
        <f>ROUND(18808.48,2)</f>
        <v>18808.48</v>
      </c>
      <c r="CH389" s="6"/>
      <c r="CI389" s="6"/>
      <c r="CJ389" s="7">
        <f>ROUND(4313.84999999999,2)</f>
        <v>4313.8500000000004</v>
      </c>
      <c r="CK389" s="6"/>
      <c r="CL389" s="6"/>
      <c r="CM389" s="6"/>
      <c r="CN389" s="6"/>
      <c r="CO389" s="7">
        <f>ROUND(1133.82,2)</f>
        <v>1133.82</v>
      </c>
      <c r="CP389" s="7">
        <f>ROUND(271.12,2)</f>
        <v>271.12</v>
      </c>
      <c r="CQ389" s="7">
        <f>ROUND(128.57,2)</f>
        <v>128.57</v>
      </c>
      <c r="CR389" s="7">
        <f>ROUND(72.05,2)</f>
        <v>72.05</v>
      </c>
      <c r="CS389" s="6"/>
      <c r="CT389" s="6"/>
      <c r="CU389" s="6"/>
      <c r="CV389" s="6"/>
      <c r="CW389" s="7">
        <f>ROUND(2293.32,2)</f>
        <v>2293.3200000000002</v>
      </c>
      <c r="CX389" s="6"/>
      <c r="CY389" s="6"/>
      <c r="CZ389" s="6"/>
      <c r="DA389" s="7">
        <f>ROUND(18748.94,2)</f>
        <v>18748.939999999999</v>
      </c>
      <c r="DB389" s="7">
        <f>ROUND(2986.33,2)</f>
        <v>2986.33</v>
      </c>
      <c r="DC389" s="7">
        <f>ROUND(1937.88,2)</f>
        <v>1937.88</v>
      </c>
      <c r="DD389" s="6"/>
      <c r="DE389" s="7">
        <f>ROUND(875.52,2)</f>
        <v>875.52</v>
      </c>
      <c r="DF389" s="6"/>
      <c r="DG389" s="6"/>
      <c r="DH389" s="6"/>
      <c r="DI389" s="7">
        <f>ROUND(166.68,2)</f>
        <v>166.68</v>
      </c>
      <c r="DJ389" s="7">
        <f>ROUND(48.55,2)</f>
        <v>48.55</v>
      </c>
      <c r="DK389" s="6"/>
      <c r="DL389" s="6"/>
      <c r="DM389" s="6"/>
      <c r="DN389" s="6"/>
      <c r="DO389" s="6"/>
      <c r="DP389" s="6"/>
      <c r="DQ389" s="6"/>
      <c r="DR389" s="6"/>
      <c r="DS389" s="6"/>
      <c r="DT389" s="6"/>
      <c r="DU389" s="6"/>
      <c r="DV389" s="6"/>
      <c r="DW389" s="6"/>
      <c r="DX389" s="6"/>
      <c r="DY389" s="7">
        <f>ROUND(10.42,2)</f>
        <v>10.42</v>
      </c>
      <c r="DZ389" s="7">
        <f>ROUND(99.07,2)</f>
        <v>99.07</v>
      </c>
      <c r="EA389" s="6"/>
      <c r="EB389" s="6"/>
      <c r="EC389" s="6"/>
      <c r="ED389" s="6"/>
      <c r="EE389" s="7">
        <f>ROUND(2150,2)</f>
        <v>2150</v>
      </c>
      <c r="EF389" s="6"/>
      <c r="EG389" s="6"/>
      <c r="EH389" s="6"/>
      <c r="EI389" s="6"/>
      <c r="EJ389" s="6"/>
      <c r="EK389" s="6"/>
      <c r="EL389" s="6"/>
      <c r="EM389" s="6"/>
      <c r="EN389" s="6"/>
      <c r="EO389" s="6"/>
      <c r="EP389" s="6"/>
      <c r="EQ389" s="7">
        <f>ROUND(1500,2)</f>
        <v>1500</v>
      </c>
      <c r="ER389" s="6"/>
      <c r="ES389" s="6"/>
      <c r="ET389" s="6"/>
      <c r="EU389" s="7">
        <f>ROUND(218.88,2)</f>
        <v>218.88</v>
      </c>
      <c r="EV389" s="7">
        <f>ROUND(55763.48,2)</f>
        <v>55763.48</v>
      </c>
    </row>
    <row r="390" spans="1:152">
      <c r="A390" s="4" t="s">
        <v>903</v>
      </c>
      <c r="B390" s="4" t="s">
        <v>1058</v>
      </c>
      <c r="C390" s="5" t="s">
        <v>152</v>
      </c>
      <c r="D390" s="5" t="s">
        <v>381</v>
      </c>
      <c r="E390" s="5" t="s">
        <v>0</v>
      </c>
      <c r="F390" s="5" t="s">
        <v>0</v>
      </c>
      <c r="G390" s="5" t="s">
        <v>155</v>
      </c>
      <c r="H390" s="10">
        <v>30.4</v>
      </c>
      <c r="I390" s="6"/>
      <c r="J390" s="6"/>
      <c r="K390" s="6"/>
      <c r="L390" s="6"/>
      <c r="M390" s="7">
        <f>ROUND(1817.95999999999,2)</f>
        <v>1817.96</v>
      </c>
      <c r="N390" s="6"/>
      <c r="O390" s="6"/>
      <c r="P390" s="7">
        <f>ROUND(191.65,2)</f>
        <v>191.65</v>
      </c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7">
        <f>ROUND(26.5,2)</f>
        <v>26.5</v>
      </c>
      <c r="AH390" s="7">
        <f>ROUND(96,2)</f>
        <v>96</v>
      </c>
      <c r="AI390" s="6"/>
      <c r="AJ390" s="7">
        <f>ROUND(144,2)</f>
        <v>144</v>
      </c>
      <c r="AK390" s="6"/>
      <c r="AL390" s="7">
        <f>ROUND(5.47,2)</f>
        <v>5.47</v>
      </c>
      <c r="AM390" s="7">
        <f>ROUND(1.92,2)</f>
        <v>1.92</v>
      </c>
      <c r="AN390" s="7">
        <f>ROUND(3.62,2)</f>
        <v>3.62</v>
      </c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  <c r="BA390" s="6"/>
      <c r="BB390" s="7">
        <f>ROUND(16,2)</f>
        <v>16</v>
      </c>
      <c r="BC390" s="6"/>
      <c r="BD390" s="7">
        <f>ROUND(0.02,2)</f>
        <v>0.02</v>
      </c>
      <c r="BE390" s="7">
        <f>ROUND(7.3,2)</f>
        <v>7.3</v>
      </c>
      <c r="BF390" s="7">
        <f>ROUND(29.58,2)</f>
        <v>29.58</v>
      </c>
      <c r="BG390" s="7">
        <f>ROUND(11.49,2)</f>
        <v>11.49</v>
      </c>
      <c r="BH390" s="6"/>
      <c r="BI390" s="6"/>
      <c r="BJ390" s="6"/>
      <c r="BK390" s="6"/>
      <c r="BL390" s="6"/>
      <c r="BM390" s="7">
        <f>ROUND(8,2)</f>
        <v>8</v>
      </c>
      <c r="BN390" s="6"/>
      <c r="BO390" s="6"/>
      <c r="BP390" s="6"/>
      <c r="BQ390" s="6"/>
      <c r="BR390" s="6"/>
      <c r="BS390" s="6"/>
      <c r="BT390" s="6"/>
      <c r="BU390" s="6"/>
      <c r="BV390" s="6"/>
      <c r="BW390" s="6"/>
      <c r="BX390" s="6"/>
      <c r="BY390" s="6"/>
      <c r="BZ390" s="6"/>
      <c r="CA390" s="6"/>
      <c r="CB390" s="7">
        <f>ROUND(2359.50999999999,2)</f>
        <v>2359.5100000000002</v>
      </c>
      <c r="CC390" s="6"/>
      <c r="CD390" s="6"/>
      <c r="CE390" s="6"/>
      <c r="CF390" s="6"/>
      <c r="CG390" s="7">
        <f>ROUND(51208.42,2)</f>
        <v>51208.42</v>
      </c>
      <c r="CH390" s="6"/>
      <c r="CI390" s="6"/>
      <c r="CJ390" s="7">
        <f>ROUND(8134.22,2)</f>
        <v>8134.22</v>
      </c>
      <c r="CK390" s="6"/>
      <c r="CL390" s="6"/>
      <c r="CM390" s="6"/>
      <c r="CN390" s="6"/>
      <c r="CO390" s="6"/>
      <c r="CP390" s="6"/>
      <c r="CQ390" s="6"/>
      <c r="CR390" s="6"/>
      <c r="CS390" s="6"/>
      <c r="CT390" s="6"/>
      <c r="CU390" s="6"/>
      <c r="CV390" s="6"/>
      <c r="CW390" s="6"/>
      <c r="CX390" s="6"/>
      <c r="CY390" s="6"/>
      <c r="CZ390" s="6"/>
      <c r="DA390" s="6"/>
      <c r="DB390" s="7">
        <f>ROUND(1105.61,2)</f>
        <v>1105.6099999999999</v>
      </c>
      <c r="DC390" s="7">
        <f>ROUND(2729.75999999999,2)</f>
        <v>2729.76</v>
      </c>
      <c r="DD390" s="6"/>
      <c r="DE390" s="7">
        <f>ROUND(4021.27999999999,2)</f>
        <v>4021.28</v>
      </c>
      <c r="DF390" s="6"/>
      <c r="DG390" s="6"/>
      <c r="DH390" s="6"/>
      <c r="DI390" s="7">
        <f>ROUND(151.96,2)</f>
        <v>151.96</v>
      </c>
      <c r="DJ390" s="7">
        <f>ROUND(53.34,2)</f>
        <v>53.34</v>
      </c>
      <c r="DK390" s="7">
        <f>ROUND(150.85,2)</f>
        <v>150.85</v>
      </c>
      <c r="DL390" s="6"/>
      <c r="DM390" s="6"/>
      <c r="DN390" s="6"/>
      <c r="DO390" s="6"/>
      <c r="DP390" s="6"/>
      <c r="DQ390" s="6"/>
      <c r="DR390" s="6"/>
      <c r="DS390" s="6"/>
      <c r="DT390" s="6"/>
      <c r="DU390" s="6"/>
      <c r="DV390" s="6"/>
      <c r="DW390" s="6"/>
      <c r="DX390" s="6"/>
      <c r="DY390" s="6"/>
      <c r="DZ390" s="6"/>
      <c r="EA390" s="6"/>
      <c r="EB390" s="6"/>
      <c r="EC390" s="7">
        <f>ROUND(666.72,2)</f>
        <v>666.72</v>
      </c>
      <c r="ED390" s="6"/>
      <c r="EE390" s="7">
        <f>ROUND(875,2)</f>
        <v>875</v>
      </c>
      <c r="EF390" s="6"/>
      <c r="EG390" s="6"/>
      <c r="EH390" s="6"/>
      <c r="EI390" s="6"/>
      <c r="EJ390" s="6"/>
      <c r="EK390" s="6"/>
      <c r="EL390" s="6"/>
      <c r="EM390" s="6"/>
      <c r="EN390" s="6"/>
      <c r="EO390" s="6"/>
      <c r="EP390" s="6"/>
      <c r="EQ390" s="7">
        <f>ROUND(1250,2)</f>
        <v>1250</v>
      </c>
      <c r="ER390" s="6"/>
      <c r="ES390" s="6"/>
      <c r="ET390" s="6"/>
      <c r="EU390" s="6"/>
      <c r="EV390" s="7">
        <f>ROUND(70347.1599999999,2)</f>
        <v>70347.16</v>
      </c>
    </row>
    <row r="391" spans="1:152">
      <c r="A391" s="4" t="s">
        <v>904</v>
      </c>
      <c r="B391" s="4" t="s">
        <v>1058</v>
      </c>
      <c r="C391" s="5" t="s">
        <v>152</v>
      </c>
      <c r="D391" s="5" t="s">
        <v>905</v>
      </c>
      <c r="E391" s="5" t="s">
        <v>0</v>
      </c>
      <c r="F391" s="5" t="s">
        <v>0</v>
      </c>
      <c r="G391" s="5" t="s">
        <v>155</v>
      </c>
      <c r="H391" s="10">
        <v>30.4</v>
      </c>
      <c r="I391" s="6"/>
      <c r="J391" s="6"/>
      <c r="K391" s="6"/>
      <c r="L391" s="6"/>
      <c r="M391" s="7">
        <f>ROUND(1500.23,2)</f>
        <v>1500.23</v>
      </c>
      <c r="N391" s="6"/>
      <c r="O391" s="6"/>
      <c r="P391" s="7">
        <f>ROUND(283.039999999999,2)</f>
        <v>283.04000000000002</v>
      </c>
      <c r="Q391" s="6"/>
      <c r="R391" s="6"/>
      <c r="S391" s="6"/>
      <c r="T391" s="6"/>
      <c r="U391" s="6"/>
      <c r="V391" s="6"/>
      <c r="W391" s="7">
        <f>ROUND(1.67,2)</f>
        <v>1.67</v>
      </c>
      <c r="X391" s="6"/>
      <c r="Y391" s="6"/>
      <c r="Z391" s="6"/>
      <c r="AA391" s="6"/>
      <c r="AB391" s="6"/>
      <c r="AC391" s="7">
        <f>ROUND(123.98,2)</f>
        <v>123.98</v>
      </c>
      <c r="AD391" s="7">
        <f>ROUND(11.77,2)</f>
        <v>11.77</v>
      </c>
      <c r="AE391" s="6"/>
      <c r="AF391" s="6"/>
      <c r="AG391" s="7">
        <f>ROUND(6.5,2)</f>
        <v>6.5</v>
      </c>
      <c r="AH391" s="7">
        <f>ROUND(88,2)</f>
        <v>88</v>
      </c>
      <c r="AI391" s="6"/>
      <c r="AJ391" s="7">
        <f>ROUND(160,2)</f>
        <v>160</v>
      </c>
      <c r="AK391" s="6"/>
      <c r="AL391" s="7">
        <f>ROUND(12.2,2)</f>
        <v>12.2</v>
      </c>
      <c r="AM391" s="7">
        <f>ROUND(6.25,2)</f>
        <v>6.25</v>
      </c>
      <c r="AN391" s="7">
        <f>ROUND(4.82,2)</f>
        <v>4.82</v>
      </c>
      <c r="AO391" s="6"/>
      <c r="AP391" s="6"/>
      <c r="AQ391" s="7">
        <f>ROUND(17.03,2)</f>
        <v>17.03</v>
      </c>
      <c r="AR391" s="6"/>
      <c r="AS391" s="6"/>
      <c r="AT391" s="7">
        <f>ROUND(148.5,2)</f>
        <v>148.5</v>
      </c>
      <c r="AU391" s="6"/>
      <c r="AV391" s="6"/>
      <c r="AW391" s="6"/>
      <c r="AX391" s="6"/>
      <c r="AY391" s="6"/>
      <c r="AZ391" s="6"/>
      <c r="BA391" s="6"/>
      <c r="BB391" s="7">
        <f>ROUND(8,2)</f>
        <v>8</v>
      </c>
      <c r="BC391" s="7">
        <f>ROUND(48,2)</f>
        <v>48</v>
      </c>
      <c r="BD391" s="6"/>
      <c r="BE391" s="7">
        <f>ROUND(12.34,2)</f>
        <v>12.34</v>
      </c>
      <c r="BF391" s="6"/>
      <c r="BG391" s="6"/>
      <c r="BH391" s="6"/>
      <c r="BI391" s="6"/>
      <c r="BJ391" s="6"/>
      <c r="BK391" s="6"/>
      <c r="BL391" s="6"/>
      <c r="BM391" s="6"/>
      <c r="BN391" s="6"/>
      <c r="BO391" s="6"/>
      <c r="BP391" s="6"/>
      <c r="BQ391" s="6"/>
      <c r="BR391" s="6"/>
      <c r="BS391" s="6"/>
      <c r="BT391" s="6"/>
      <c r="BU391" s="6"/>
      <c r="BV391" s="6"/>
      <c r="BW391" s="6"/>
      <c r="BX391" s="6"/>
      <c r="BY391" s="6"/>
      <c r="BZ391" s="6"/>
      <c r="CA391" s="6"/>
      <c r="CB391" s="7">
        <f>ROUND(2432.33,2)</f>
        <v>2432.33</v>
      </c>
      <c r="CC391" s="6"/>
      <c r="CD391" s="6"/>
      <c r="CE391" s="6"/>
      <c r="CF391" s="6"/>
      <c r="CG391" s="7">
        <f>ROUND(42325.5099999999,2)</f>
        <v>42325.51</v>
      </c>
      <c r="CH391" s="6"/>
      <c r="CI391" s="6"/>
      <c r="CJ391" s="7">
        <f>ROUND(11985.06,2)</f>
        <v>11985.06</v>
      </c>
      <c r="CK391" s="6"/>
      <c r="CL391" s="6"/>
      <c r="CM391" s="6"/>
      <c r="CN391" s="6"/>
      <c r="CO391" s="6"/>
      <c r="CP391" s="6"/>
      <c r="CQ391" s="7">
        <f>ROUND(46.39,2)</f>
        <v>46.39</v>
      </c>
      <c r="CR391" s="6"/>
      <c r="CS391" s="6"/>
      <c r="CT391" s="6"/>
      <c r="CU391" s="6"/>
      <c r="CV391" s="6"/>
      <c r="CW391" s="7">
        <f>ROUND(3444.17,2)</f>
        <v>3444.17</v>
      </c>
      <c r="CX391" s="7">
        <f>ROUND(490.46,2)</f>
        <v>490.46</v>
      </c>
      <c r="CY391" s="6"/>
      <c r="CZ391" s="6"/>
      <c r="DA391" s="6"/>
      <c r="DB391" s="7">
        <f>ROUND(270.86,2)</f>
        <v>270.86</v>
      </c>
      <c r="DC391" s="7">
        <f>ROUND(2486.56,2)</f>
        <v>2486.56</v>
      </c>
      <c r="DD391" s="6"/>
      <c r="DE391" s="7">
        <f>ROUND(4465.75999999999,2)</f>
        <v>4465.76</v>
      </c>
      <c r="DF391" s="6"/>
      <c r="DG391" s="6"/>
      <c r="DH391" s="6"/>
      <c r="DI391" s="7">
        <f>ROUND(348.61,2)</f>
        <v>348.61</v>
      </c>
      <c r="DJ391" s="7">
        <f>ROUND(238.49,2)</f>
        <v>238.49</v>
      </c>
      <c r="DK391" s="7">
        <f>ROUND(219.79,2)</f>
        <v>219.79</v>
      </c>
      <c r="DL391" s="6"/>
      <c r="DM391" s="6"/>
      <c r="DN391" s="6"/>
      <c r="DO391" s="7">
        <f>ROUND(473.09,2)</f>
        <v>473.09</v>
      </c>
      <c r="DP391" s="6"/>
      <c r="DQ391" s="6"/>
      <c r="DR391" s="6"/>
      <c r="DS391" s="6"/>
      <c r="DT391" s="6"/>
      <c r="DU391" s="7">
        <f>ROUND(4157.69,2)</f>
        <v>4157.6899999999996</v>
      </c>
      <c r="DV391" s="6"/>
      <c r="DW391" s="6"/>
      <c r="DX391" s="6"/>
      <c r="DY391" s="6"/>
      <c r="DZ391" s="6"/>
      <c r="EA391" s="6"/>
      <c r="EB391" s="6"/>
      <c r="EC391" s="6"/>
      <c r="ED391" s="6"/>
      <c r="EE391" s="7">
        <f>ROUND(900,2)</f>
        <v>900</v>
      </c>
      <c r="EF391" s="6"/>
      <c r="EG391" s="6"/>
      <c r="EH391" s="6"/>
      <c r="EI391" s="6"/>
      <c r="EJ391" s="6"/>
      <c r="EK391" s="6"/>
      <c r="EL391" s="6"/>
      <c r="EM391" s="6"/>
      <c r="EN391" s="6"/>
      <c r="EO391" s="6"/>
      <c r="EP391" s="6"/>
      <c r="EQ391" s="7">
        <f>ROUND(1250,2)</f>
        <v>1250</v>
      </c>
      <c r="ER391" s="6"/>
      <c r="ES391" s="6"/>
      <c r="ET391" s="6"/>
      <c r="EU391" s="6"/>
      <c r="EV391" s="7">
        <f>ROUND(73102.4399999999,2)</f>
        <v>73102.44</v>
      </c>
    </row>
    <row r="392" spans="1:152" ht="24">
      <c r="A392" s="4" t="s">
        <v>906</v>
      </c>
      <c r="B392" s="4"/>
      <c r="C392" s="5" t="s">
        <v>810</v>
      </c>
      <c r="D392" s="5" t="s">
        <v>907</v>
      </c>
      <c r="E392" s="5" t="s">
        <v>0</v>
      </c>
      <c r="F392" s="5" t="s">
        <v>0</v>
      </c>
      <c r="G392" s="5" t="s">
        <v>908</v>
      </c>
      <c r="H392" s="10">
        <v>1683.66</v>
      </c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  <c r="BA392" s="6"/>
      <c r="BB392" s="6"/>
      <c r="BC392" s="6"/>
      <c r="BD392" s="6"/>
      <c r="BE392" s="6"/>
      <c r="BF392" s="6"/>
      <c r="BG392" s="6"/>
      <c r="BH392" s="7">
        <f>ROUND(24,2)</f>
        <v>24</v>
      </c>
      <c r="BI392" s="6"/>
      <c r="BJ392" s="6"/>
      <c r="BK392" s="6"/>
      <c r="BL392" s="6"/>
      <c r="BM392" s="6"/>
      <c r="BN392" s="6"/>
      <c r="BO392" s="6"/>
      <c r="BP392" s="6"/>
      <c r="BQ392" s="6"/>
      <c r="BR392" s="6"/>
      <c r="BS392" s="6"/>
      <c r="BT392" s="7">
        <f>ROUND(32,2)</f>
        <v>32</v>
      </c>
      <c r="BU392" s="7">
        <f>ROUND(32,2)</f>
        <v>32</v>
      </c>
      <c r="BV392" s="6"/>
      <c r="BW392" s="6"/>
      <c r="BX392" s="6"/>
      <c r="BY392" s="7">
        <f>ROUND(64,2)</f>
        <v>64</v>
      </c>
      <c r="BZ392" s="6"/>
      <c r="CA392" s="6"/>
      <c r="CB392" s="7">
        <f>ROUND(152,2)</f>
        <v>152</v>
      </c>
      <c r="CC392" s="7">
        <f>ROUND(82033.6799999999,2)</f>
        <v>82033.679999999993</v>
      </c>
      <c r="CD392" s="6"/>
      <c r="CE392" s="6"/>
      <c r="CF392" s="6"/>
      <c r="CG392" s="6"/>
      <c r="CH392" s="6"/>
      <c r="CI392" s="6"/>
      <c r="CJ392" s="6"/>
      <c r="CK392" s="6"/>
      <c r="CL392" s="6"/>
      <c r="CM392" s="6"/>
      <c r="CN392" s="6"/>
      <c r="CO392" s="6"/>
      <c r="CP392" s="6"/>
      <c r="CQ392" s="6"/>
      <c r="CR392" s="6"/>
      <c r="CS392" s="6"/>
      <c r="CT392" s="6"/>
      <c r="CU392" s="6"/>
      <c r="CV392" s="6"/>
      <c r="CW392" s="6"/>
      <c r="CX392" s="6"/>
      <c r="CY392" s="6"/>
      <c r="CZ392" s="6"/>
      <c r="DA392" s="6"/>
      <c r="DB392" s="6"/>
      <c r="DC392" s="6"/>
      <c r="DD392" s="6"/>
      <c r="DE392" s="6"/>
      <c r="DF392" s="6"/>
      <c r="DG392" s="6"/>
      <c r="DH392" s="6"/>
      <c r="DI392" s="6"/>
      <c r="DJ392" s="6"/>
      <c r="DK392" s="6"/>
      <c r="DL392" s="6"/>
      <c r="DM392" s="6"/>
      <c r="DN392" s="6"/>
      <c r="DO392" s="6"/>
      <c r="DP392" s="6"/>
      <c r="DQ392" s="6"/>
      <c r="DR392" s="6"/>
      <c r="DS392" s="6"/>
      <c r="DT392" s="7">
        <f>ROUND(8075.6,2)</f>
        <v>8075.6</v>
      </c>
      <c r="DU392" s="6"/>
      <c r="DV392" s="6"/>
      <c r="DW392" s="6"/>
      <c r="DX392" s="6"/>
      <c r="DY392" s="6"/>
      <c r="DZ392" s="6"/>
      <c r="EA392" s="6"/>
      <c r="EB392" s="6"/>
      <c r="EC392" s="6"/>
      <c r="ED392" s="6"/>
      <c r="EE392" s="7">
        <f>ROUND(4040.64,2)</f>
        <v>4040.64</v>
      </c>
      <c r="EF392" s="6"/>
      <c r="EG392" s="6"/>
      <c r="EH392" s="6"/>
      <c r="EI392" s="6"/>
      <c r="EJ392" s="6"/>
      <c r="EK392" s="6"/>
      <c r="EL392" s="6"/>
      <c r="EM392" s="6"/>
      <c r="EN392" s="6"/>
      <c r="EO392" s="6"/>
      <c r="EP392" s="6"/>
      <c r="EQ392" s="6"/>
      <c r="ER392" s="6"/>
      <c r="ES392" s="6"/>
      <c r="ET392" s="6"/>
      <c r="EU392" s="6"/>
      <c r="EV392" s="7">
        <f>ROUND(94149.9199999999,2)</f>
        <v>94149.92</v>
      </c>
    </row>
    <row r="393" spans="1:152">
      <c r="A393" s="4" t="s">
        <v>909</v>
      </c>
      <c r="B393" s="4" t="s">
        <v>1058</v>
      </c>
      <c r="C393" s="5" t="s">
        <v>152</v>
      </c>
      <c r="D393" s="5" t="s">
        <v>910</v>
      </c>
      <c r="E393" s="5" t="s">
        <v>0</v>
      </c>
      <c r="F393" s="5" t="s">
        <v>0</v>
      </c>
      <c r="G393" s="5" t="s">
        <v>155</v>
      </c>
      <c r="H393" s="10">
        <v>30.4</v>
      </c>
      <c r="I393" s="6"/>
      <c r="J393" s="6"/>
      <c r="K393" s="6"/>
      <c r="L393" s="6"/>
      <c r="M393" s="7">
        <f>ROUND(1380.82,2)</f>
        <v>1380.82</v>
      </c>
      <c r="N393" s="6"/>
      <c r="O393" s="6"/>
      <c r="P393" s="7">
        <f>ROUND(117.98,2)</f>
        <v>117.98</v>
      </c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7">
        <f>ROUND(352,2)</f>
        <v>352</v>
      </c>
      <c r="AD393" s="7">
        <f>ROUND(8,2)</f>
        <v>8</v>
      </c>
      <c r="AE393" s="6"/>
      <c r="AF393" s="6"/>
      <c r="AG393" s="6"/>
      <c r="AH393" s="7">
        <f>ROUND(90,2)</f>
        <v>90</v>
      </c>
      <c r="AI393" s="6"/>
      <c r="AJ393" s="7">
        <f>ROUND(152,2)</f>
        <v>152</v>
      </c>
      <c r="AK393" s="6"/>
      <c r="AL393" s="7">
        <f>ROUND(8,2)</f>
        <v>8</v>
      </c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  <c r="BA393" s="6"/>
      <c r="BB393" s="7">
        <f>ROUND(32,2)</f>
        <v>32</v>
      </c>
      <c r="BC393" s="7">
        <f>ROUND(48,2)</f>
        <v>48</v>
      </c>
      <c r="BD393" s="7">
        <f>ROUND(5,2)</f>
        <v>5</v>
      </c>
      <c r="BE393" s="7">
        <f>ROUND(9.66,2)</f>
        <v>9.66</v>
      </c>
      <c r="BF393" s="6"/>
      <c r="BG393" s="6"/>
      <c r="BH393" s="6"/>
      <c r="BI393" s="6"/>
      <c r="BJ393" s="6"/>
      <c r="BK393" s="6"/>
      <c r="BL393" s="6"/>
      <c r="BM393" s="7">
        <f>ROUND(24,2)</f>
        <v>24</v>
      </c>
      <c r="BN393" s="6"/>
      <c r="BO393" s="6"/>
      <c r="BP393" s="6"/>
      <c r="BQ393" s="6"/>
      <c r="BR393" s="6"/>
      <c r="BS393" s="6"/>
      <c r="BT393" s="6"/>
      <c r="BU393" s="6"/>
      <c r="BV393" s="6"/>
      <c r="BW393" s="6"/>
      <c r="BX393" s="6"/>
      <c r="BY393" s="6"/>
      <c r="BZ393" s="6"/>
      <c r="CA393" s="6"/>
      <c r="CB393" s="7">
        <f>ROUND(2227.46,2)</f>
        <v>2227.46</v>
      </c>
      <c r="CC393" s="6"/>
      <c r="CD393" s="6"/>
      <c r="CE393" s="6"/>
      <c r="CF393" s="6"/>
      <c r="CG393" s="7">
        <f>ROUND(38925.1,2)</f>
        <v>38925.1</v>
      </c>
      <c r="CH393" s="6"/>
      <c r="CI393" s="6"/>
      <c r="CJ393" s="7">
        <f>ROUND(4916.24999999999,2)</f>
        <v>4916.25</v>
      </c>
      <c r="CK393" s="6"/>
      <c r="CL393" s="6"/>
      <c r="CM393" s="6"/>
      <c r="CN393" s="6"/>
      <c r="CO393" s="6"/>
      <c r="CP393" s="6"/>
      <c r="CQ393" s="6"/>
      <c r="CR393" s="6"/>
      <c r="CS393" s="6"/>
      <c r="CT393" s="6"/>
      <c r="CU393" s="6"/>
      <c r="CV393" s="6"/>
      <c r="CW393" s="7">
        <f>ROUND(9862.39999999999,2)</f>
        <v>9862.4</v>
      </c>
      <c r="CX393" s="7">
        <f>ROUND(364.8,2)</f>
        <v>364.8</v>
      </c>
      <c r="CY393" s="6"/>
      <c r="CZ393" s="6"/>
      <c r="DA393" s="6"/>
      <c r="DB393" s="6"/>
      <c r="DC393" s="7">
        <f>ROUND(2563.07999999999,2)</f>
        <v>2563.08</v>
      </c>
      <c r="DD393" s="6"/>
      <c r="DE393" s="7">
        <f>ROUND(4222.55999999999,2)</f>
        <v>4222.5600000000004</v>
      </c>
      <c r="DF393" s="6"/>
      <c r="DG393" s="6"/>
      <c r="DH393" s="6"/>
      <c r="DI393" s="7">
        <f>ROUND(222.24,2)</f>
        <v>222.24</v>
      </c>
      <c r="DJ393" s="6"/>
      <c r="DK393" s="6"/>
      <c r="DL393" s="6"/>
      <c r="DM393" s="6"/>
      <c r="DN393" s="6"/>
      <c r="DO393" s="6"/>
      <c r="DP393" s="6"/>
      <c r="DQ393" s="6"/>
      <c r="DR393" s="6"/>
      <c r="DS393" s="6"/>
      <c r="DT393" s="6"/>
      <c r="DU393" s="6"/>
      <c r="DV393" s="6"/>
      <c r="DW393" s="6"/>
      <c r="DX393" s="6"/>
      <c r="DY393" s="6"/>
      <c r="DZ393" s="6"/>
      <c r="EA393" s="6"/>
      <c r="EB393" s="6"/>
      <c r="EC393" s="6"/>
      <c r="ED393" s="6"/>
      <c r="EE393" s="7">
        <f>ROUND(625,2)</f>
        <v>625</v>
      </c>
      <c r="EF393" s="6"/>
      <c r="EG393" s="6"/>
      <c r="EH393" s="6"/>
      <c r="EI393" s="6"/>
      <c r="EJ393" s="6"/>
      <c r="EK393" s="6"/>
      <c r="EL393" s="6"/>
      <c r="EM393" s="6"/>
      <c r="EN393" s="6"/>
      <c r="EO393" s="6"/>
      <c r="EP393" s="6"/>
      <c r="EQ393" s="7">
        <f>ROUND(1250,2)</f>
        <v>1250</v>
      </c>
      <c r="ER393" s="6"/>
      <c r="ES393" s="6"/>
      <c r="ET393" s="6"/>
      <c r="EU393" s="6"/>
      <c r="EV393" s="7">
        <f>ROUND(62951.4299999999,2)</f>
        <v>62951.43</v>
      </c>
    </row>
    <row r="394" spans="1:152">
      <c r="A394" s="4" t="s">
        <v>911</v>
      </c>
      <c r="B394" s="4" t="s">
        <v>1058</v>
      </c>
      <c r="C394" s="5" t="s">
        <v>152</v>
      </c>
      <c r="D394" s="5" t="s">
        <v>825</v>
      </c>
      <c r="E394" s="5" t="s">
        <v>0</v>
      </c>
      <c r="F394" s="5" t="s">
        <v>0</v>
      </c>
      <c r="G394" s="5" t="s">
        <v>155</v>
      </c>
      <c r="H394" s="10">
        <v>30.4</v>
      </c>
      <c r="I394" s="6"/>
      <c r="J394" s="6"/>
      <c r="K394" s="6"/>
      <c r="L394" s="6"/>
      <c r="M394" s="7">
        <f>ROUND(1007.43,2)</f>
        <v>1007.43</v>
      </c>
      <c r="N394" s="6"/>
      <c r="O394" s="6"/>
      <c r="P394" s="7">
        <f>ROUND(280.11,2)</f>
        <v>280.11</v>
      </c>
      <c r="Q394" s="6"/>
      <c r="R394" s="6"/>
      <c r="S394" s="6"/>
      <c r="T394" s="6"/>
      <c r="U394" s="7">
        <f>ROUND(25.9,2)</f>
        <v>25.9</v>
      </c>
      <c r="V394" s="7">
        <f>ROUND(42.61,2)</f>
        <v>42.61</v>
      </c>
      <c r="W394" s="7">
        <f>ROUND(14.02,2)</f>
        <v>14.02</v>
      </c>
      <c r="X394" s="7">
        <f>ROUND(1.89,2)</f>
        <v>1.89</v>
      </c>
      <c r="Y394" s="6"/>
      <c r="Z394" s="6"/>
      <c r="AA394" s="6"/>
      <c r="AB394" s="6"/>
      <c r="AC394" s="7">
        <f>ROUND(203.379999999999,2)</f>
        <v>203.38</v>
      </c>
      <c r="AD394" s="7">
        <f>ROUND(19.55,2)</f>
        <v>19.55</v>
      </c>
      <c r="AE394" s="6"/>
      <c r="AF394" s="7">
        <f>ROUND(669.24,2)</f>
        <v>669.24</v>
      </c>
      <c r="AG394" s="7">
        <f>ROUND(111.9,2)</f>
        <v>111.9</v>
      </c>
      <c r="AH394" s="7">
        <f>ROUND(88,2)</f>
        <v>88</v>
      </c>
      <c r="AI394" s="6"/>
      <c r="AJ394" s="7">
        <f>ROUND(24,2)</f>
        <v>24</v>
      </c>
      <c r="AK394" s="6"/>
      <c r="AL394" s="7">
        <f>ROUND(8,2)</f>
        <v>8</v>
      </c>
      <c r="AM394" s="6"/>
      <c r="AN394" s="6"/>
      <c r="AO394" s="6"/>
      <c r="AP394" s="7">
        <f>ROUND(40,2)</f>
        <v>40</v>
      </c>
      <c r="AQ394" s="6"/>
      <c r="AR394" s="6"/>
      <c r="AS394" s="6"/>
      <c r="AT394" s="6"/>
      <c r="AU394" s="6"/>
      <c r="AV394" s="6"/>
      <c r="AW394" s="7">
        <f>ROUND(1.83,2)</f>
        <v>1.83</v>
      </c>
      <c r="AX394" s="6"/>
      <c r="AY394" s="7">
        <f>ROUND(4.4,2)</f>
        <v>4.4000000000000004</v>
      </c>
      <c r="AZ394" s="6"/>
      <c r="BA394" s="6"/>
      <c r="BB394" s="6"/>
      <c r="BC394" s="6"/>
      <c r="BD394" s="6"/>
      <c r="BE394" s="7">
        <f>ROUND(3.2,2)</f>
        <v>3.2</v>
      </c>
      <c r="BF394" s="6"/>
      <c r="BG394" s="7">
        <f>ROUND(3.33,2)</f>
        <v>3.33</v>
      </c>
      <c r="BH394" s="6"/>
      <c r="BI394" s="6"/>
      <c r="BJ394" s="6"/>
      <c r="BK394" s="6"/>
      <c r="BL394" s="6"/>
      <c r="BM394" s="7">
        <f>ROUND(8,2)</f>
        <v>8</v>
      </c>
      <c r="BN394" s="6"/>
      <c r="BO394" s="6"/>
      <c r="BP394" s="6"/>
      <c r="BQ394" s="6"/>
      <c r="BR394" s="6"/>
      <c r="BS394" s="6"/>
      <c r="BT394" s="6"/>
      <c r="BU394" s="6"/>
      <c r="BV394" s="6"/>
      <c r="BW394" s="6"/>
      <c r="BX394" s="6"/>
      <c r="BY394" s="6"/>
      <c r="BZ394" s="6"/>
      <c r="CA394" s="7">
        <f>ROUND(96,2)</f>
        <v>96</v>
      </c>
      <c r="CB394" s="7">
        <f>ROUND(2652.79,2)</f>
        <v>2652.79</v>
      </c>
      <c r="CC394" s="6"/>
      <c r="CD394" s="6"/>
      <c r="CE394" s="6"/>
      <c r="CF394" s="6"/>
      <c r="CG394" s="7">
        <f>ROUND(28520.0699999999,2)</f>
        <v>28520.07</v>
      </c>
      <c r="CH394" s="6"/>
      <c r="CI394" s="6"/>
      <c r="CJ394" s="7">
        <f>ROUND(11885.91,2)</f>
        <v>11885.91</v>
      </c>
      <c r="CK394" s="6"/>
      <c r="CL394" s="6"/>
      <c r="CM394" s="6"/>
      <c r="CN394" s="6"/>
      <c r="CO394" s="7">
        <f>ROUND(723.38,2)</f>
        <v>723.38</v>
      </c>
      <c r="CP394" s="7">
        <f>ROUND(1783.17999999999,2)</f>
        <v>1783.18</v>
      </c>
      <c r="CQ394" s="7">
        <f>ROUND(398.06,2)</f>
        <v>398.06</v>
      </c>
      <c r="CR394" s="7">
        <f>ROUND(78.75,2)</f>
        <v>78.75</v>
      </c>
      <c r="CS394" s="6"/>
      <c r="CT394" s="6"/>
      <c r="CU394" s="6"/>
      <c r="CV394" s="6"/>
      <c r="CW394" s="7">
        <f>ROUND(5711.00999999999,2)</f>
        <v>5711.01</v>
      </c>
      <c r="CX394" s="7">
        <f>ROUND(843.47,2)</f>
        <v>843.47</v>
      </c>
      <c r="CY394" s="6"/>
      <c r="CZ394" s="6"/>
      <c r="DA394" s="7">
        <f>ROUND(18821.8099999999,2)</f>
        <v>18821.810000000001</v>
      </c>
      <c r="DB394" s="7">
        <f>ROUND(4721.84,2)</f>
        <v>4721.84</v>
      </c>
      <c r="DC394" s="7">
        <f>ROUND(2486.56,2)</f>
        <v>2486.56</v>
      </c>
      <c r="DD394" s="6"/>
      <c r="DE394" s="7">
        <f>ROUND(666.72,2)</f>
        <v>666.72</v>
      </c>
      <c r="DF394" s="6"/>
      <c r="DG394" s="6"/>
      <c r="DH394" s="6"/>
      <c r="DI394" s="7">
        <f>ROUND(222.24,2)</f>
        <v>222.24</v>
      </c>
      <c r="DJ394" s="6"/>
      <c r="DK394" s="6"/>
      <c r="DL394" s="6"/>
      <c r="DM394" s="7">
        <f>ROUND(1111.2,2)</f>
        <v>1111.2</v>
      </c>
      <c r="DN394" s="6"/>
      <c r="DO394" s="6"/>
      <c r="DP394" s="6"/>
      <c r="DQ394" s="6"/>
      <c r="DR394" s="7">
        <f>ROUND(500,2)</f>
        <v>500</v>
      </c>
      <c r="DS394" s="6"/>
      <c r="DT394" s="6"/>
      <c r="DU394" s="6"/>
      <c r="DV394" s="6"/>
      <c r="DW394" s="6"/>
      <c r="DX394" s="7">
        <f>ROUND(76.67,2)</f>
        <v>76.67</v>
      </c>
      <c r="DY394" s="6"/>
      <c r="DZ394" s="7">
        <f>ROUND(184.34,2)</f>
        <v>184.34</v>
      </c>
      <c r="EA394" s="6"/>
      <c r="EB394" s="6"/>
      <c r="EC394" s="6"/>
      <c r="ED394" s="6"/>
      <c r="EE394" s="7">
        <f>ROUND(1375,2)</f>
        <v>1375</v>
      </c>
      <c r="EF394" s="6"/>
      <c r="EG394" s="6"/>
      <c r="EH394" s="6"/>
      <c r="EI394" s="6"/>
      <c r="EJ394" s="6"/>
      <c r="EK394" s="6"/>
      <c r="EL394" s="6"/>
      <c r="EM394" s="6"/>
      <c r="EN394" s="6"/>
      <c r="EO394" s="6"/>
      <c r="EP394" s="6"/>
      <c r="EQ394" s="7">
        <f>ROUND(1250,2)</f>
        <v>1250</v>
      </c>
      <c r="ER394" s="6"/>
      <c r="ES394" s="6"/>
      <c r="ET394" s="6"/>
      <c r="EU394" s="7">
        <f>ROUND(2918.4,2)</f>
        <v>2918.4</v>
      </c>
      <c r="EV394" s="7">
        <f>ROUND(84278.6099999999,2)</f>
        <v>84278.61</v>
      </c>
    </row>
    <row r="395" spans="1:152">
      <c r="A395" s="4" t="s">
        <v>912</v>
      </c>
      <c r="B395" s="4" t="s">
        <v>1058</v>
      </c>
      <c r="C395" s="5" t="s">
        <v>152</v>
      </c>
      <c r="D395" s="5" t="s">
        <v>166</v>
      </c>
      <c r="E395" s="5" t="s">
        <v>0</v>
      </c>
      <c r="F395" s="5" t="s">
        <v>0</v>
      </c>
      <c r="G395" s="5" t="s">
        <v>155</v>
      </c>
      <c r="H395" s="10">
        <v>30.4</v>
      </c>
      <c r="I395" s="6"/>
      <c r="J395" s="6"/>
      <c r="K395" s="6"/>
      <c r="L395" s="6"/>
      <c r="M395" s="7">
        <f>ROUND(982.68,2)</f>
        <v>982.68</v>
      </c>
      <c r="N395" s="6"/>
      <c r="O395" s="6"/>
      <c r="P395" s="7">
        <f>ROUND(180.2,2)</f>
        <v>180.2</v>
      </c>
      <c r="Q395" s="6"/>
      <c r="R395" s="6"/>
      <c r="S395" s="6"/>
      <c r="T395" s="6"/>
      <c r="U395" s="7">
        <f>ROUND(10.15,2)</f>
        <v>10.15</v>
      </c>
      <c r="V395" s="7">
        <f>ROUND(14.93,2)</f>
        <v>14.93</v>
      </c>
      <c r="W395" s="7">
        <f>ROUND(0.98,2)</f>
        <v>0.98</v>
      </c>
      <c r="X395" s="7">
        <f>ROUND(0.33,2)</f>
        <v>0.33</v>
      </c>
      <c r="Y395" s="6"/>
      <c r="Z395" s="6"/>
      <c r="AA395" s="6"/>
      <c r="AB395" s="6"/>
      <c r="AC395" s="7">
        <f>ROUND(459.01,2)</f>
        <v>459.01</v>
      </c>
      <c r="AD395" s="7">
        <f>ROUND(3.46999999999999,2)</f>
        <v>3.47</v>
      </c>
      <c r="AE395" s="6"/>
      <c r="AF395" s="7">
        <f>ROUND(350.37,2)</f>
        <v>350.37</v>
      </c>
      <c r="AG395" s="7">
        <f>ROUND(48.29,2)</f>
        <v>48.29</v>
      </c>
      <c r="AH395" s="7">
        <f>ROUND(90,2)</f>
        <v>90</v>
      </c>
      <c r="AI395" s="6"/>
      <c r="AJ395" s="7">
        <f>ROUND(64,2)</f>
        <v>64</v>
      </c>
      <c r="AK395" s="6"/>
      <c r="AL395" s="7">
        <f>ROUND(8.5,2)</f>
        <v>8.5</v>
      </c>
      <c r="AM395" s="7">
        <f>ROUND(2,2)</f>
        <v>2</v>
      </c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  <c r="BA395" s="6"/>
      <c r="BB395" s="7">
        <f>ROUND(24,2)</f>
        <v>24</v>
      </c>
      <c r="BC395" s="6"/>
      <c r="BD395" s="6"/>
      <c r="BE395" s="7">
        <f>ROUND(0.07,2)</f>
        <v>7.0000000000000007E-2</v>
      </c>
      <c r="BF395" s="7">
        <f>ROUND(108,2)</f>
        <v>108</v>
      </c>
      <c r="BG395" s="7">
        <f>ROUND(40,2)</f>
        <v>40</v>
      </c>
      <c r="BH395" s="6"/>
      <c r="BI395" s="6"/>
      <c r="BJ395" s="6"/>
      <c r="BK395" s="6"/>
      <c r="BL395" s="6"/>
      <c r="BM395" s="7">
        <f>ROUND(4,2)</f>
        <v>4</v>
      </c>
      <c r="BN395" s="6"/>
      <c r="BO395" s="6"/>
      <c r="BP395" s="6"/>
      <c r="BQ395" s="6"/>
      <c r="BR395" s="6"/>
      <c r="BS395" s="6"/>
      <c r="BT395" s="6"/>
      <c r="BU395" s="6"/>
      <c r="BV395" s="6"/>
      <c r="BW395" s="6"/>
      <c r="BX395" s="6"/>
      <c r="BY395" s="6"/>
      <c r="BZ395" s="6"/>
      <c r="CA395" s="6"/>
      <c r="CB395" s="7">
        <f>ROUND(2390.98,2)</f>
        <v>2390.98</v>
      </c>
      <c r="CC395" s="6"/>
      <c r="CD395" s="6"/>
      <c r="CE395" s="6"/>
      <c r="CF395" s="6"/>
      <c r="CG395" s="7">
        <f>ROUND(27950.4699999999,2)</f>
        <v>27950.47</v>
      </c>
      <c r="CH395" s="6"/>
      <c r="CI395" s="6"/>
      <c r="CJ395" s="7">
        <f>ROUND(7854.38,2)</f>
        <v>7854.38</v>
      </c>
      <c r="CK395" s="6"/>
      <c r="CL395" s="6"/>
      <c r="CM395" s="6"/>
      <c r="CN395" s="6"/>
      <c r="CO395" s="7">
        <f>ROUND(281.979999999999,2)</f>
        <v>281.98</v>
      </c>
      <c r="CP395" s="7">
        <f>ROUND(625.49,2)</f>
        <v>625.49</v>
      </c>
      <c r="CQ395" s="7">
        <f>ROUND(27.27,2)</f>
        <v>27.27</v>
      </c>
      <c r="CR395" s="7">
        <f>ROUND(13.75,2)</f>
        <v>13.75</v>
      </c>
      <c r="CS395" s="6"/>
      <c r="CT395" s="6"/>
      <c r="CU395" s="6"/>
      <c r="CV395" s="6"/>
      <c r="CW395" s="7">
        <f>ROUND(12752.74,2)</f>
        <v>12752.74</v>
      </c>
      <c r="CX395" s="7">
        <f>ROUND(144.59,2)</f>
        <v>144.59</v>
      </c>
      <c r="CY395" s="6"/>
      <c r="CZ395" s="6"/>
      <c r="DA395" s="7">
        <f>ROUND(9793.39999999999,2)</f>
        <v>9793.4</v>
      </c>
      <c r="DB395" s="7">
        <f>ROUND(2015.31,2)</f>
        <v>2015.31</v>
      </c>
      <c r="DC395" s="7">
        <f>ROUND(2563.07999999999,2)</f>
        <v>2563.08</v>
      </c>
      <c r="DD395" s="6"/>
      <c r="DE395" s="7">
        <f>ROUND(1777.92,2)</f>
        <v>1777.92</v>
      </c>
      <c r="DF395" s="6"/>
      <c r="DG395" s="6"/>
      <c r="DH395" s="6"/>
      <c r="DI395" s="7">
        <f>ROUND(236.13,2)</f>
        <v>236.13</v>
      </c>
      <c r="DJ395" s="7">
        <f>ROUND(55.56,2)</f>
        <v>55.56</v>
      </c>
      <c r="DK395" s="6"/>
      <c r="DL395" s="6"/>
      <c r="DM395" s="6"/>
      <c r="DN395" s="6"/>
      <c r="DO395" s="6"/>
      <c r="DP395" s="6"/>
      <c r="DQ395" s="6"/>
      <c r="DR395" s="6"/>
      <c r="DS395" s="6"/>
      <c r="DT395" s="6"/>
      <c r="DU395" s="6"/>
      <c r="DV395" s="6"/>
      <c r="DW395" s="6"/>
      <c r="DX395" s="6"/>
      <c r="DY395" s="6"/>
      <c r="DZ395" s="6"/>
      <c r="EA395" s="6"/>
      <c r="EB395" s="6"/>
      <c r="EC395" s="7">
        <f>ROUND(1555.68,2)</f>
        <v>1555.68</v>
      </c>
      <c r="ED395" s="6"/>
      <c r="EE395" s="7">
        <f>ROUND(425,2)</f>
        <v>425</v>
      </c>
      <c r="EF395" s="6"/>
      <c r="EG395" s="6"/>
      <c r="EH395" s="6"/>
      <c r="EI395" s="6"/>
      <c r="EJ395" s="6"/>
      <c r="EK395" s="6"/>
      <c r="EL395" s="6"/>
      <c r="EM395" s="6"/>
      <c r="EN395" s="6"/>
      <c r="EO395" s="6"/>
      <c r="EP395" s="6"/>
      <c r="EQ395" s="7">
        <f>ROUND(1250,2)</f>
        <v>1250</v>
      </c>
      <c r="ER395" s="6"/>
      <c r="ES395" s="6"/>
      <c r="ET395" s="6"/>
      <c r="EU395" s="6"/>
      <c r="EV395" s="7">
        <f>ROUND(69322.7499999999,2)</f>
        <v>69322.75</v>
      </c>
    </row>
    <row r="396" spans="1:152">
      <c r="A396" s="4" t="s">
        <v>913</v>
      </c>
      <c r="B396" s="4" t="s">
        <v>1058</v>
      </c>
      <c r="C396" s="5" t="s">
        <v>211</v>
      </c>
      <c r="D396" s="5" t="s">
        <v>914</v>
      </c>
      <c r="E396" s="5" t="s">
        <v>0</v>
      </c>
      <c r="F396" s="5" t="s">
        <v>0</v>
      </c>
      <c r="G396" s="5" t="s">
        <v>532</v>
      </c>
      <c r="H396" s="10">
        <v>30.67</v>
      </c>
      <c r="I396" s="6"/>
      <c r="J396" s="6"/>
      <c r="K396" s="6"/>
      <c r="L396" s="6"/>
      <c r="M396" s="6"/>
      <c r="N396" s="7">
        <f>ROUND(1840,2)</f>
        <v>1840</v>
      </c>
      <c r="O396" s="7">
        <f>ROUND(556,2)</f>
        <v>556</v>
      </c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7">
        <f>ROUND(88,2)</f>
        <v>88</v>
      </c>
      <c r="AI396" s="6"/>
      <c r="AJ396" s="7">
        <f>ROUND(144,2)</f>
        <v>144</v>
      </c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  <c r="BA396" s="6"/>
      <c r="BB396" s="6"/>
      <c r="BC396" s="6"/>
      <c r="BD396" s="6"/>
      <c r="BE396" s="6"/>
      <c r="BF396" s="6"/>
      <c r="BG396" s="6"/>
      <c r="BH396" s="6"/>
      <c r="BI396" s="6"/>
      <c r="BJ396" s="6"/>
      <c r="BK396" s="6"/>
      <c r="BL396" s="6"/>
      <c r="BM396" s="6"/>
      <c r="BN396" s="6"/>
      <c r="BO396" s="7">
        <f>ROUND(8,2)</f>
        <v>8</v>
      </c>
      <c r="BP396" s="6"/>
      <c r="BQ396" s="6"/>
      <c r="BR396" s="6"/>
      <c r="BS396" s="6"/>
      <c r="BT396" s="6"/>
      <c r="BU396" s="6"/>
      <c r="BV396" s="6"/>
      <c r="BW396" s="6"/>
      <c r="BX396" s="6"/>
      <c r="BY396" s="6"/>
      <c r="BZ396" s="6"/>
      <c r="CA396" s="7">
        <f>ROUND(56,2)</f>
        <v>56</v>
      </c>
      <c r="CB396" s="7">
        <f>ROUND(2692,2)</f>
        <v>2692</v>
      </c>
      <c r="CC396" s="6"/>
      <c r="CD396" s="6"/>
      <c r="CE396" s="6"/>
      <c r="CF396" s="6"/>
      <c r="CG396" s="6"/>
      <c r="CH396" s="7">
        <f>ROUND(52984.32,2)</f>
        <v>52984.32</v>
      </c>
      <c r="CI396" s="7">
        <f>ROUND(23947.44,2)</f>
        <v>23947.439999999999</v>
      </c>
      <c r="CJ396" s="6"/>
      <c r="CK396" s="6"/>
      <c r="CL396" s="6"/>
      <c r="CM396" s="6"/>
      <c r="CN396" s="6"/>
      <c r="CO396" s="6"/>
      <c r="CP396" s="6"/>
      <c r="CQ396" s="6"/>
      <c r="CR396" s="6"/>
      <c r="CS396" s="6"/>
      <c r="CT396" s="6"/>
      <c r="CU396" s="6"/>
      <c r="CV396" s="6"/>
      <c r="CW396" s="6"/>
      <c r="CX396" s="6"/>
      <c r="CY396" s="6"/>
      <c r="CZ396" s="6"/>
      <c r="DA396" s="6"/>
      <c r="DB396" s="6"/>
      <c r="DC396" s="7">
        <f>ROUND(2572.4,2)</f>
        <v>2572.4</v>
      </c>
      <c r="DD396" s="6"/>
      <c r="DE396" s="7">
        <f>ROUND(4217.6,2)</f>
        <v>4217.6000000000004</v>
      </c>
      <c r="DF396" s="6"/>
      <c r="DG396" s="6"/>
      <c r="DH396" s="6"/>
      <c r="DI396" s="6"/>
      <c r="DJ396" s="6"/>
      <c r="DK396" s="6"/>
      <c r="DL396" s="6"/>
      <c r="DM396" s="6"/>
      <c r="DN396" s="6"/>
      <c r="DO396" s="6"/>
      <c r="DP396" s="6"/>
      <c r="DQ396" s="6"/>
      <c r="DR396" s="6"/>
      <c r="DS396" s="6"/>
      <c r="DT396" s="6"/>
      <c r="DU396" s="6"/>
      <c r="DV396" s="6"/>
      <c r="DW396" s="6"/>
      <c r="DX396" s="6"/>
      <c r="DY396" s="6"/>
      <c r="DZ396" s="6"/>
      <c r="EA396" s="6"/>
      <c r="EB396" s="6"/>
      <c r="EC396" s="6"/>
      <c r="ED396" s="6"/>
      <c r="EE396" s="7">
        <f>ROUND(2000,2)</f>
        <v>2000</v>
      </c>
      <c r="EF396" s="6"/>
      <c r="EG396" s="6"/>
      <c r="EH396" s="6"/>
      <c r="EI396" s="6"/>
      <c r="EJ396" s="6"/>
      <c r="EK396" s="6"/>
      <c r="EL396" s="6"/>
      <c r="EM396" s="6"/>
      <c r="EN396" s="6"/>
      <c r="EO396" s="6"/>
      <c r="EP396" s="6"/>
      <c r="EQ396" s="7">
        <f>ROUND(1250,2)</f>
        <v>1250</v>
      </c>
      <c r="ER396" s="6"/>
      <c r="ES396" s="6"/>
      <c r="ET396" s="6"/>
      <c r="EU396" s="7">
        <f>ROUND(1717.52,2)</f>
        <v>1717.52</v>
      </c>
      <c r="EV396" s="7">
        <f>ROUND(88689.2799999999,2)</f>
        <v>88689.279999999999</v>
      </c>
    </row>
    <row r="397" spans="1:152">
      <c r="A397" s="4" t="s">
        <v>915</v>
      </c>
      <c r="B397" s="4" t="s">
        <v>1058</v>
      </c>
      <c r="C397" s="5" t="s">
        <v>152</v>
      </c>
      <c r="D397" s="5" t="s">
        <v>916</v>
      </c>
      <c r="E397" s="5" t="s">
        <v>0</v>
      </c>
      <c r="F397" s="5" t="s">
        <v>0</v>
      </c>
      <c r="G397" s="5" t="s">
        <v>155</v>
      </c>
      <c r="H397" s="10">
        <v>30.4</v>
      </c>
      <c r="I397" s="6"/>
      <c r="J397" s="6"/>
      <c r="K397" s="6"/>
      <c r="L397" s="6"/>
      <c r="M397" s="7">
        <f>ROUND(1118.46,2)</f>
        <v>1118.46</v>
      </c>
      <c r="N397" s="6"/>
      <c r="O397" s="6"/>
      <c r="P397" s="7">
        <f>ROUND(174.22,2)</f>
        <v>174.22</v>
      </c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7">
        <f>ROUND(584,2)</f>
        <v>584</v>
      </c>
      <c r="AD397" s="7">
        <f>ROUND(224.249999999999,2)</f>
        <v>224.25</v>
      </c>
      <c r="AE397" s="6"/>
      <c r="AF397" s="6"/>
      <c r="AG397" s="6"/>
      <c r="AH397" s="7">
        <f>ROUND(90,2)</f>
        <v>90</v>
      </c>
      <c r="AI397" s="6"/>
      <c r="AJ397" s="7">
        <f>ROUND(224,2)</f>
        <v>224</v>
      </c>
      <c r="AK397" s="6"/>
      <c r="AL397" s="7">
        <f>ROUND(8,2)</f>
        <v>8</v>
      </c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  <c r="BA397" s="6"/>
      <c r="BB397" s="7">
        <f>ROUND(24,2)</f>
        <v>24</v>
      </c>
      <c r="BC397" s="7">
        <f>ROUND(56,2)</f>
        <v>56</v>
      </c>
      <c r="BD397" s="7">
        <f>ROUND(7.33,2)</f>
        <v>7.33</v>
      </c>
      <c r="BE397" s="7">
        <f>ROUND(15.64,2)</f>
        <v>15.64</v>
      </c>
      <c r="BF397" s="6"/>
      <c r="BG397" s="6"/>
      <c r="BH397" s="6"/>
      <c r="BI397" s="6"/>
      <c r="BJ397" s="6"/>
      <c r="BK397" s="6"/>
      <c r="BL397" s="6"/>
      <c r="BM397" s="7">
        <f>ROUND(16,2)</f>
        <v>16</v>
      </c>
      <c r="BN397" s="6"/>
      <c r="BO397" s="6"/>
      <c r="BP397" s="6"/>
      <c r="BQ397" s="6"/>
      <c r="BR397" s="6"/>
      <c r="BS397" s="6"/>
      <c r="BT397" s="6"/>
      <c r="BU397" s="6"/>
      <c r="BV397" s="6"/>
      <c r="BW397" s="6"/>
      <c r="BX397" s="6"/>
      <c r="BY397" s="6"/>
      <c r="BZ397" s="6"/>
      <c r="CA397" s="7">
        <f>ROUND(16,2)</f>
        <v>16</v>
      </c>
      <c r="CB397" s="7">
        <f>ROUND(2557.9,2)</f>
        <v>2557.9</v>
      </c>
      <c r="CC397" s="6"/>
      <c r="CD397" s="6"/>
      <c r="CE397" s="6"/>
      <c r="CF397" s="6"/>
      <c r="CG397" s="7">
        <f>ROUND(31154.65,2)</f>
        <v>31154.65</v>
      </c>
      <c r="CH397" s="6"/>
      <c r="CI397" s="6"/>
      <c r="CJ397" s="7">
        <f>ROUND(7364.87,2)</f>
        <v>7364.87</v>
      </c>
      <c r="CK397" s="6"/>
      <c r="CL397" s="6"/>
      <c r="CM397" s="6"/>
      <c r="CN397" s="6"/>
      <c r="CO397" s="6"/>
      <c r="CP397" s="6"/>
      <c r="CQ397" s="6"/>
      <c r="CR397" s="6"/>
      <c r="CS397" s="6"/>
      <c r="CT397" s="6"/>
      <c r="CU397" s="6"/>
      <c r="CV397" s="6"/>
      <c r="CW397" s="7">
        <f>ROUND(16810.4,2)</f>
        <v>16810.400000000001</v>
      </c>
      <c r="CX397" s="7">
        <f>ROUND(9619.26,2)</f>
        <v>9619.26</v>
      </c>
      <c r="CY397" s="6"/>
      <c r="CZ397" s="6"/>
      <c r="DA397" s="6"/>
      <c r="DB397" s="6"/>
      <c r="DC397" s="7">
        <f>ROUND(2563.08,2)</f>
        <v>2563.08</v>
      </c>
      <c r="DD397" s="6"/>
      <c r="DE397" s="7">
        <f>ROUND(6222.71999999999,2)</f>
        <v>6222.72</v>
      </c>
      <c r="DF397" s="6"/>
      <c r="DG397" s="6"/>
      <c r="DH397" s="6"/>
      <c r="DI397" s="7">
        <f>ROUND(222.24,2)</f>
        <v>222.24</v>
      </c>
      <c r="DJ397" s="6"/>
      <c r="DK397" s="6"/>
      <c r="DL397" s="6"/>
      <c r="DM397" s="6"/>
      <c r="DN397" s="6"/>
      <c r="DO397" s="6"/>
      <c r="DP397" s="6"/>
      <c r="DQ397" s="6"/>
      <c r="DR397" s="6"/>
      <c r="DS397" s="6"/>
      <c r="DT397" s="6"/>
      <c r="DU397" s="6"/>
      <c r="DV397" s="6"/>
      <c r="DW397" s="6"/>
      <c r="DX397" s="6"/>
      <c r="DY397" s="6"/>
      <c r="DZ397" s="6"/>
      <c r="EA397" s="6"/>
      <c r="EB397" s="6"/>
      <c r="EC397" s="6"/>
      <c r="ED397" s="6"/>
      <c r="EE397" s="7">
        <f>ROUND(650,2)</f>
        <v>650</v>
      </c>
      <c r="EF397" s="6"/>
      <c r="EG397" s="6"/>
      <c r="EH397" s="6"/>
      <c r="EI397" s="6"/>
      <c r="EJ397" s="6"/>
      <c r="EK397" s="6"/>
      <c r="EL397" s="6"/>
      <c r="EM397" s="6"/>
      <c r="EN397" s="6"/>
      <c r="EO397" s="6"/>
      <c r="EP397" s="6"/>
      <c r="EQ397" s="7">
        <f>ROUND(1250,2)</f>
        <v>1250</v>
      </c>
      <c r="ER397" s="6"/>
      <c r="ES397" s="6"/>
      <c r="ET397" s="6"/>
      <c r="EU397" s="7">
        <f>ROUND(486.4,2)</f>
        <v>486.4</v>
      </c>
      <c r="EV397" s="7">
        <f>ROUND(76343.62,2)</f>
        <v>76343.62</v>
      </c>
    </row>
    <row r="398" spans="1:152">
      <c r="A398" s="4" t="s">
        <v>917</v>
      </c>
      <c r="B398" s="4" t="s">
        <v>1058</v>
      </c>
      <c r="C398" s="5" t="s">
        <v>152</v>
      </c>
      <c r="D398" s="5" t="s">
        <v>199</v>
      </c>
      <c r="E398" s="5" t="s">
        <v>0</v>
      </c>
      <c r="F398" s="5" t="s">
        <v>0</v>
      </c>
      <c r="G398" s="5" t="s">
        <v>155</v>
      </c>
      <c r="H398" s="10">
        <v>30.4</v>
      </c>
      <c r="I398" s="6"/>
      <c r="J398" s="6"/>
      <c r="K398" s="6"/>
      <c r="L398" s="6"/>
      <c r="M398" s="7">
        <f>ROUND(1348.32999999999,2)</f>
        <v>1348.33</v>
      </c>
      <c r="N398" s="6"/>
      <c r="O398" s="6"/>
      <c r="P398" s="7">
        <f>ROUND(1.45,2)</f>
        <v>1.45</v>
      </c>
      <c r="Q398" s="6"/>
      <c r="R398" s="6"/>
      <c r="S398" s="6"/>
      <c r="T398" s="7">
        <f>ROUND(0.58,2)</f>
        <v>0.57999999999999996</v>
      </c>
      <c r="U398" s="6"/>
      <c r="V398" s="6"/>
      <c r="W398" s="6"/>
      <c r="X398" s="6"/>
      <c r="Y398" s="6"/>
      <c r="Z398" s="6"/>
      <c r="AA398" s="6"/>
      <c r="AB398" s="6"/>
      <c r="AC398" s="7">
        <f>ROUND(28,2)</f>
        <v>28</v>
      </c>
      <c r="AD398" s="6"/>
      <c r="AE398" s="6"/>
      <c r="AF398" s="7">
        <f>ROUND(1.4,2)</f>
        <v>1.4</v>
      </c>
      <c r="AG398" s="6"/>
      <c r="AH398" s="7">
        <f>ROUND(35,2)</f>
        <v>35</v>
      </c>
      <c r="AI398" s="6"/>
      <c r="AJ398" s="7">
        <f>ROUND(35,2)</f>
        <v>35</v>
      </c>
      <c r="AK398" s="6"/>
      <c r="AL398" s="7">
        <f>ROUND(10,2)</f>
        <v>10</v>
      </c>
      <c r="AM398" s="7">
        <f>ROUND(1.75,2)</f>
        <v>1.75</v>
      </c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  <c r="BA398" s="6"/>
      <c r="BB398" s="7">
        <f>ROUND(15,2)</f>
        <v>15</v>
      </c>
      <c r="BC398" s="7">
        <f>ROUND(35,2)</f>
        <v>35</v>
      </c>
      <c r="BD398" s="6"/>
      <c r="BE398" s="6"/>
      <c r="BF398" s="6"/>
      <c r="BG398" s="6"/>
      <c r="BH398" s="7">
        <f>ROUND(5,2)</f>
        <v>5</v>
      </c>
      <c r="BI398" s="6"/>
      <c r="BJ398" s="6"/>
      <c r="BK398" s="7">
        <f>ROUND(4,2)</f>
        <v>4</v>
      </c>
      <c r="BL398" s="6"/>
      <c r="BM398" s="7">
        <f>ROUND(5,2)</f>
        <v>5</v>
      </c>
      <c r="BN398" s="6"/>
      <c r="BO398" s="6"/>
      <c r="BP398" s="6"/>
      <c r="BQ398" s="6"/>
      <c r="BR398" s="6"/>
      <c r="BS398" s="6"/>
      <c r="BT398" s="6"/>
      <c r="BU398" s="6"/>
      <c r="BV398" s="6"/>
      <c r="BW398" s="6"/>
      <c r="BX398" s="6"/>
      <c r="BY398" s="6"/>
      <c r="BZ398" s="6"/>
      <c r="CA398" s="6"/>
      <c r="CB398" s="7">
        <f>ROUND(1525.50999999999,2)</f>
        <v>1525.51</v>
      </c>
      <c r="CC398" s="6"/>
      <c r="CD398" s="6"/>
      <c r="CE398" s="6"/>
      <c r="CF398" s="6"/>
      <c r="CG398" s="7">
        <f>ROUND(31721.15,2)</f>
        <v>31721.15</v>
      </c>
      <c r="CH398" s="6"/>
      <c r="CI398" s="6"/>
      <c r="CJ398" s="7">
        <f>ROUND(48.94,2)</f>
        <v>48.94</v>
      </c>
      <c r="CK398" s="6"/>
      <c r="CL398" s="6"/>
      <c r="CM398" s="6"/>
      <c r="CN398" s="7">
        <f>ROUND(26.1,2)</f>
        <v>26.1</v>
      </c>
      <c r="CO398" s="6"/>
      <c r="CP398" s="6"/>
      <c r="CQ398" s="6"/>
      <c r="CR398" s="6"/>
      <c r="CS398" s="6"/>
      <c r="CT398" s="6"/>
      <c r="CU398" s="6"/>
      <c r="CV398" s="6"/>
      <c r="CW398" s="7">
        <f>ROUND(630,2)</f>
        <v>630</v>
      </c>
      <c r="CX398" s="6"/>
      <c r="CY398" s="6"/>
      <c r="CZ398" s="6"/>
      <c r="DA398" s="7">
        <f>ROUND(31.5,2)</f>
        <v>31.5</v>
      </c>
      <c r="DB398" s="6"/>
      <c r="DC398" s="7">
        <f>ROUND(866.55,2)</f>
        <v>866.55</v>
      </c>
      <c r="DD398" s="6"/>
      <c r="DE398" s="7">
        <f>ROUND(787.56,2)</f>
        <v>787.56</v>
      </c>
      <c r="DF398" s="6"/>
      <c r="DG398" s="6"/>
      <c r="DH398" s="6"/>
      <c r="DI398" s="7">
        <f>ROUND(225.01,2)</f>
        <v>225.01</v>
      </c>
      <c r="DJ398" s="7">
        <f>ROUND(39.38,2)</f>
        <v>39.380000000000003</v>
      </c>
      <c r="DK398" s="6"/>
      <c r="DL398" s="6"/>
      <c r="DM398" s="6"/>
      <c r="DN398" s="6"/>
      <c r="DO398" s="6"/>
      <c r="DP398" s="6"/>
      <c r="DQ398" s="6"/>
      <c r="DR398" s="6"/>
      <c r="DS398" s="6"/>
      <c r="DT398" s="6"/>
      <c r="DU398" s="6"/>
      <c r="DV398" s="6"/>
      <c r="DW398" s="6"/>
      <c r="DX398" s="6"/>
      <c r="DY398" s="6"/>
      <c r="DZ398" s="6"/>
      <c r="EA398" s="6"/>
      <c r="EB398" s="6"/>
      <c r="EC398" s="6"/>
      <c r="ED398" s="6"/>
      <c r="EE398" s="7">
        <f>ROUND(500,2)</f>
        <v>500</v>
      </c>
      <c r="EF398" s="6"/>
      <c r="EG398" s="6"/>
      <c r="EH398" s="6"/>
      <c r="EI398" s="6"/>
      <c r="EJ398" s="6"/>
      <c r="EK398" s="6"/>
      <c r="EL398" s="6"/>
      <c r="EM398" s="6"/>
      <c r="EN398" s="6"/>
      <c r="EO398" s="6"/>
      <c r="EP398" s="6"/>
      <c r="EQ398" s="7">
        <f>ROUND(625,2)</f>
        <v>625</v>
      </c>
      <c r="ER398" s="6"/>
      <c r="ES398" s="6"/>
      <c r="ET398" s="6"/>
      <c r="EU398" s="6"/>
      <c r="EV398" s="7">
        <f>ROUND(35501.1899999999,2)</f>
        <v>35501.19</v>
      </c>
    </row>
    <row r="399" spans="1:152" ht="24">
      <c r="A399" s="4" t="s">
        <v>918</v>
      </c>
      <c r="B399" s="4" t="s">
        <v>1058</v>
      </c>
      <c r="C399" s="5" t="s">
        <v>152</v>
      </c>
      <c r="D399" s="5" t="s">
        <v>497</v>
      </c>
      <c r="E399" s="5" t="s">
        <v>0</v>
      </c>
      <c r="F399" s="5" t="s">
        <v>0</v>
      </c>
      <c r="G399" s="5" t="s">
        <v>919</v>
      </c>
      <c r="H399" s="10">
        <v>1129.03</v>
      </c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7">
        <f>ROUND(2,2)</f>
        <v>2</v>
      </c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  <c r="BA399" s="6"/>
      <c r="BB399" s="6"/>
      <c r="BC399" s="6"/>
      <c r="BD399" s="6"/>
      <c r="BE399" s="6"/>
      <c r="BF399" s="6"/>
      <c r="BG399" s="6"/>
      <c r="BH399" s="7">
        <f>ROUND(8,2)</f>
        <v>8</v>
      </c>
      <c r="BI399" s="6"/>
      <c r="BJ399" s="6"/>
      <c r="BK399" s="6"/>
      <c r="BL399" s="6"/>
      <c r="BM399" s="6"/>
      <c r="BN399" s="6"/>
      <c r="BO399" s="6"/>
      <c r="BP399" s="6"/>
      <c r="BQ399" s="6"/>
      <c r="BR399" s="6"/>
      <c r="BS399" s="6"/>
      <c r="BT399" s="7">
        <f>ROUND(24,2)</f>
        <v>24</v>
      </c>
      <c r="BU399" s="6"/>
      <c r="BV399" s="6"/>
      <c r="BW399" s="6"/>
      <c r="BX399" s="6"/>
      <c r="BY399" s="7">
        <f>ROUND(40,2)</f>
        <v>40</v>
      </c>
      <c r="BZ399" s="6"/>
      <c r="CA399" s="6"/>
      <c r="CB399" s="7">
        <f>ROUND(74,2)</f>
        <v>74</v>
      </c>
      <c r="CC399" s="7">
        <f>ROUND(33081.78,2)</f>
        <v>33081.78</v>
      </c>
      <c r="CD399" s="6"/>
      <c r="CE399" s="6"/>
      <c r="CF399" s="6"/>
      <c r="CG399" s="6"/>
      <c r="CH399" s="6"/>
      <c r="CI399" s="6"/>
      <c r="CJ399" s="6"/>
      <c r="CK399" s="6"/>
      <c r="CL399" s="6"/>
      <c r="CM399" s="6"/>
      <c r="CN399" s="6"/>
      <c r="CO399" s="6"/>
      <c r="CP399" s="6"/>
      <c r="CQ399" s="6"/>
      <c r="CR399" s="6"/>
      <c r="CS399" s="6"/>
      <c r="CT399" s="6"/>
      <c r="CU399" s="6"/>
      <c r="CV399" s="7">
        <f>ROUND(750,2)</f>
        <v>750</v>
      </c>
      <c r="CW399" s="6"/>
      <c r="CX399" s="6"/>
      <c r="CY399" s="6"/>
      <c r="CZ399" s="6"/>
      <c r="DA399" s="6"/>
      <c r="DB399" s="6"/>
      <c r="DC399" s="6"/>
      <c r="DD399" s="6"/>
      <c r="DE399" s="6"/>
      <c r="DF399" s="6"/>
      <c r="DG399" s="6"/>
      <c r="DH399" s="6"/>
      <c r="DI399" s="6"/>
      <c r="DJ399" s="6"/>
      <c r="DK399" s="6"/>
      <c r="DL399" s="6"/>
      <c r="DM399" s="6"/>
      <c r="DN399" s="6"/>
      <c r="DO399" s="6"/>
      <c r="DP399" s="6"/>
      <c r="DQ399" s="6"/>
      <c r="DR399" s="6"/>
      <c r="DS399" s="6"/>
      <c r="DT399" s="6"/>
      <c r="DU399" s="6"/>
      <c r="DV399" s="6"/>
      <c r="DW399" s="6"/>
      <c r="DX399" s="6"/>
      <c r="DY399" s="6"/>
      <c r="DZ399" s="6"/>
      <c r="EA399" s="6"/>
      <c r="EB399" s="6"/>
      <c r="EC399" s="6"/>
      <c r="ED399" s="6"/>
      <c r="EE399" s="7">
        <f>ROUND(677.52,2)</f>
        <v>677.52</v>
      </c>
      <c r="EF399" s="6"/>
      <c r="EG399" s="6"/>
      <c r="EH399" s="6"/>
      <c r="EI399" s="6"/>
      <c r="EJ399" s="6"/>
      <c r="EK399" s="6"/>
      <c r="EL399" s="6"/>
      <c r="EM399" s="6"/>
      <c r="EN399" s="6"/>
      <c r="EO399" s="6"/>
      <c r="EP399" s="6"/>
      <c r="EQ399" s="6"/>
      <c r="ER399" s="6"/>
      <c r="ES399" s="6"/>
      <c r="ET399" s="6"/>
      <c r="EU399" s="6"/>
      <c r="EV399" s="7">
        <f>ROUND(34509.3,2)</f>
        <v>34509.300000000003</v>
      </c>
    </row>
    <row r="400" spans="1:152" ht="24">
      <c r="A400" s="4" t="s">
        <v>920</v>
      </c>
      <c r="B400" s="4"/>
      <c r="C400" s="5" t="s">
        <v>233</v>
      </c>
      <c r="D400" s="5" t="s">
        <v>921</v>
      </c>
      <c r="E400" s="5" t="s">
        <v>254</v>
      </c>
      <c r="F400" s="5" t="s">
        <v>0</v>
      </c>
      <c r="G400" s="5" t="s">
        <v>236</v>
      </c>
      <c r="H400" s="10">
        <v>15</v>
      </c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  <c r="BA400" s="6"/>
      <c r="BB400" s="6"/>
      <c r="BC400" s="6"/>
      <c r="BD400" s="6"/>
      <c r="BE400" s="6"/>
      <c r="BF400" s="6"/>
      <c r="BG400" s="6"/>
      <c r="BH400" s="6"/>
      <c r="BI400" s="6"/>
      <c r="BJ400" s="6"/>
      <c r="BK400" s="6"/>
      <c r="BL400" s="6"/>
      <c r="BM400" s="6"/>
      <c r="BN400" s="6"/>
      <c r="BO400" s="6"/>
      <c r="BP400" s="6"/>
      <c r="BQ400" s="6"/>
      <c r="BR400" s="6"/>
      <c r="BS400" s="6"/>
      <c r="BT400" s="6"/>
      <c r="BU400" s="7">
        <f>ROUND(16,2)</f>
        <v>16</v>
      </c>
      <c r="BV400" s="6"/>
      <c r="BW400" s="6"/>
      <c r="BX400" s="6"/>
      <c r="BY400" s="6"/>
      <c r="BZ400" s="6"/>
      <c r="CA400" s="7">
        <f>ROUND(80,2)</f>
        <v>80</v>
      </c>
      <c r="CB400" s="7">
        <f>ROUND(96,2)</f>
        <v>96</v>
      </c>
      <c r="CC400" s="6"/>
      <c r="CD400" s="6"/>
      <c r="CE400" s="6"/>
      <c r="CF400" s="6"/>
      <c r="CG400" s="6"/>
      <c r="CH400" s="6"/>
      <c r="CI400" s="6"/>
      <c r="CJ400" s="6"/>
      <c r="CK400" s="6"/>
      <c r="CL400" s="6"/>
      <c r="CM400" s="6"/>
      <c r="CN400" s="6"/>
      <c r="CO400" s="6"/>
      <c r="CP400" s="6"/>
      <c r="CQ400" s="6"/>
      <c r="CR400" s="6"/>
      <c r="CS400" s="6"/>
      <c r="CT400" s="6"/>
      <c r="CU400" s="6"/>
      <c r="CV400" s="6"/>
      <c r="CW400" s="6"/>
      <c r="CX400" s="6"/>
      <c r="CY400" s="6"/>
      <c r="CZ400" s="6"/>
      <c r="DA400" s="6"/>
      <c r="DB400" s="6"/>
      <c r="DC400" s="6"/>
      <c r="DD400" s="6"/>
      <c r="DE400" s="6"/>
      <c r="DF400" s="6"/>
      <c r="DG400" s="6"/>
      <c r="DH400" s="6"/>
      <c r="DI400" s="6"/>
      <c r="DJ400" s="6"/>
      <c r="DK400" s="6"/>
      <c r="DL400" s="6"/>
      <c r="DM400" s="6"/>
      <c r="DN400" s="6"/>
      <c r="DO400" s="6"/>
      <c r="DP400" s="6"/>
      <c r="DQ400" s="6"/>
      <c r="DR400" s="6"/>
      <c r="DS400" s="6"/>
      <c r="DT400" s="6"/>
      <c r="DU400" s="6"/>
      <c r="DV400" s="6"/>
      <c r="DW400" s="6"/>
      <c r="DX400" s="6"/>
      <c r="DY400" s="6"/>
      <c r="DZ400" s="6"/>
      <c r="EA400" s="6"/>
      <c r="EB400" s="6"/>
      <c r="EC400" s="6"/>
      <c r="ED400" s="6"/>
      <c r="EE400" s="6"/>
      <c r="EF400" s="6"/>
      <c r="EG400" s="6"/>
      <c r="EH400" s="7">
        <f>ROUND(240,2)</f>
        <v>240</v>
      </c>
      <c r="EI400" s="6"/>
      <c r="EJ400" s="6"/>
      <c r="EK400" s="6"/>
      <c r="EL400" s="6"/>
      <c r="EM400" s="6"/>
      <c r="EN400" s="6"/>
      <c r="EO400" s="6"/>
      <c r="EP400" s="6"/>
      <c r="EQ400" s="6"/>
      <c r="ER400" s="6"/>
      <c r="ES400" s="6"/>
      <c r="ET400" s="6"/>
      <c r="EU400" s="7">
        <f>ROUND(1200,2)</f>
        <v>1200</v>
      </c>
      <c r="EV400" s="7">
        <f>ROUND(1440,2)</f>
        <v>1440</v>
      </c>
    </row>
    <row r="401" spans="1:152">
      <c r="A401" s="4" t="s">
        <v>922</v>
      </c>
      <c r="B401" s="4" t="s">
        <v>1058</v>
      </c>
      <c r="C401" s="5" t="s">
        <v>152</v>
      </c>
      <c r="D401" s="5" t="s">
        <v>298</v>
      </c>
      <c r="E401" s="5" t="s">
        <v>0</v>
      </c>
      <c r="F401" s="5" t="s">
        <v>0</v>
      </c>
      <c r="G401" s="5" t="s">
        <v>155</v>
      </c>
      <c r="H401" s="10">
        <v>30.4</v>
      </c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  <c r="BA401" s="6"/>
      <c r="BB401" s="6"/>
      <c r="BC401" s="7">
        <f>ROUND(2840,2)</f>
        <v>2840</v>
      </c>
      <c r="BD401" s="6"/>
      <c r="BE401" s="6"/>
      <c r="BF401" s="6"/>
      <c r="BG401" s="6"/>
      <c r="BH401" s="7">
        <f>ROUND(56,2)</f>
        <v>56</v>
      </c>
      <c r="BI401" s="6"/>
      <c r="BJ401" s="6"/>
      <c r="BK401" s="6"/>
      <c r="BL401" s="6"/>
      <c r="BM401" s="6"/>
      <c r="BN401" s="6"/>
      <c r="BO401" s="6"/>
      <c r="BP401" s="6"/>
      <c r="BQ401" s="6"/>
      <c r="BR401" s="6"/>
      <c r="BS401" s="6"/>
      <c r="BT401" s="6"/>
      <c r="BU401" s="6"/>
      <c r="BV401" s="6"/>
      <c r="BW401" s="6"/>
      <c r="BX401" s="6"/>
      <c r="BY401" s="6"/>
      <c r="BZ401" s="6"/>
      <c r="CA401" s="7">
        <f>ROUND(80,2)</f>
        <v>80</v>
      </c>
      <c r="CB401" s="7">
        <f>ROUND(2976,2)</f>
        <v>2976</v>
      </c>
      <c r="CC401" s="6"/>
      <c r="CD401" s="6"/>
      <c r="CE401" s="6"/>
      <c r="CF401" s="6"/>
      <c r="CG401" s="6"/>
      <c r="CH401" s="6"/>
      <c r="CI401" s="6"/>
      <c r="CJ401" s="6"/>
      <c r="CK401" s="6"/>
      <c r="CL401" s="6"/>
      <c r="CM401" s="6"/>
      <c r="CN401" s="6"/>
      <c r="CO401" s="6"/>
      <c r="CP401" s="6"/>
      <c r="CQ401" s="6"/>
      <c r="CR401" s="6"/>
      <c r="CS401" s="6"/>
      <c r="CT401" s="6"/>
      <c r="CU401" s="6"/>
      <c r="CV401" s="6"/>
      <c r="CW401" s="6"/>
      <c r="CX401" s="6"/>
      <c r="CY401" s="6"/>
      <c r="CZ401" s="6"/>
      <c r="DA401" s="6"/>
      <c r="DB401" s="6"/>
      <c r="DC401" s="6"/>
      <c r="DD401" s="6"/>
      <c r="DE401" s="6"/>
      <c r="DF401" s="6"/>
      <c r="DG401" s="6"/>
      <c r="DH401" s="6"/>
      <c r="DI401" s="6"/>
      <c r="DJ401" s="6"/>
      <c r="DK401" s="6"/>
      <c r="DL401" s="6"/>
      <c r="DM401" s="6"/>
      <c r="DN401" s="6"/>
      <c r="DO401" s="6"/>
      <c r="DP401" s="6"/>
      <c r="DQ401" s="6"/>
      <c r="DR401" s="7">
        <f>ROUND(500,2)</f>
        <v>500</v>
      </c>
      <c r="DS401" s="6"/>
      <c r="DT401" s="6"/>
      <c r="DU401" s="6"/>
      <c r="DV401" s="6"/>
      <c r="DW401" s="6"/>
      <c r="DX401" s="6"/>
      <c r="DY401" s="6"/>
      <c r="DZ401" s="6"/>
      <c r="EA401" s="6"/>
      <c r="EB401" s="6"/>
      <c r="EC401" s="6"/>
      <c r="ED401" s="6"/>
      <c r="EE401" s="6"/>
      <c r="EF401" s="6"/>
      <c r="EG401" s="6"/>
      <c r="EH401" s="6"/>
      <c r="EI401" s="6"/>
      <c r="EJ401" s="6"/>
      <c r="EK401" s="6"/>
      <c r="EL401" s="6"/>
      <c r="EM401" s="6"/>
      <c r="EN401" s="6"/>
      <c r="EO401" s="6"/>
      <c r="EP401" s="6"/>
      <c r="EQ401" s="6"/>
      <c r="ER401" s="6"/>
      <c r="ES401" s="6"/>
      <c r="ET401" s="6"/>
      <c r="EU401" s="7">
        <f>ROUND(2432,2)</f>
        <v>2432</v>
      </c>
      <c r="EV401" s="7">
        <f>ROUND(2932,2)</f>
        <v>2932</v>
      </c>
    </row>
    <row r="402" spans="1:152">
      <c r="A402" s="4" t="s">
        <v>923</v>
      </c>
      <c r="B402" s="4" t="s">
        <v>1058</v>
      </c>
      <c r="C402" s="5" t="s">
        <v>152</v>
      </c>
      <c r="D402" s="5" t="s">
        <v>298</v>
      </c>
      <c r="E402" s="5" t="s">
        <v>0</v>
      </c>
      <c r="F402" s="5" t="s">
        <v>0</v>
      </c>
      <c r="G402" s="5" t="s">
        <v>155</v>
      </c>
      <c r="H402" s="10">
        <v>30.4</v>
      </c>
      <c r="I402" s="6"/>
      <c r="J402" s="6"/>
      <c r="K402" s="6"/>
      <c r="L402" s="6"/>
      <c r="M402" s="7">
        <f>ROUND(1116.38999999999,2)</f>
        <v>1116.3900000000001</v>
      </c>
      <c r="N402" s="6"/>
      <c r="O402" s="6"/>
      <c r="P402" s="7">
        <f>ROUND(248.639999999999,2)</f>
        <v>248.64</v>
      </c>
      <c r="Q402" s="6"/>
      <c r="R402" s="6"/>
      <c r="S402" s="6"/>
      <c r="T402" s="6"/>
      <c r="U402" s="7">
        <f>ROUND(45.85,2)</f>
        <v>45.85</v>
      </c>
      <c r="V402" s="7">
        <f>ROUND(28.89,2)</f>
        <v>28.89</v>
      </c>
      <c r="W402" s="7">
        <f>ROUND(9.75,2)</f>
        <v>9.75</v>
      </c>
      <c r="X402" s="7">
        <f>ROUND(3.38,2)</f>
        <v>3.38</v>
      </c>
      <c r="Y402" s="6"/>
      <c r="Z402" s="6"/>
      <c r="AA402" s="6"/>
      <c r="AB402" s="6"/>
      <c r="AC402" s="7">
        <f>ROUND(291.429999999999,2)</f>
        <v>291.43</v>
      </c>
      <c r="AD402" s="7">
        <f>ROUND(11,2)</f>
        <v>11</v>
      </c>
      <c r="AE402" s="6"/>
      <c r="AF402" s="7">
        <f>ROUND(467.229999999999,2)</f>
        <v>467.23</v>
      </c>
      <c r="AG402" s="7">
        <f>ROUND(119.15,2)</f>
        <v>119.15</v>
      </c>
      <c r="AH402" s="7">
        <f>ROUND(88,2)</f>
        <v>88</v>
      </c>
      <c r="AI402" s="6"/>
      <c r="AJ402" s="7">
        <f>ROUND(40,2)</f>
        <v>40</v>
      </c>
      <c r="AK402" s="6"/>
      <c r="AL402" s="7">
        <f>ROUND(16,2)</f>
        <v>16</v>
      </c>
      <c r="AM402" s="6"/>
      <c r="AN402" s="6"/>
      <c r="AO402" s="6"/>
      <c r="AP402" s="6"/>
      <c r="AQ402" s="6"/>
      <c r="AR402" s="6"/>
      <c r="AS402" s="6"/>
      <c r="AT402" s="6"/>
      <c r="AU402" s="6"/>
      <c r="AV402" s="7">
        <f>ROUND(5.3,2)</f>
        <v>5.3</v>
      </c>
      <c r="AW402" s="7">
        <f>ROUND(2.87,2)</f>
        <v>2.87</v>
      </c>
      <c r="AX402" s="6"/>
      <c r="AY402" s="6"/>
      <c r="AZ402" s="6"/>
      <c r="BA402" s="6"/>
      <c r="BB402" s="6"/>
      <c r="BC402" s="6"/>
      <c r="BD402" s="7">
        <f>ROUND(0.33,2)</f>
        <v>0.33</v>
      </c>
      <c r="BE402" s="6"/>
      <c r="BF402" s="6"/>
      <c r="BG402" s="6"/>
      <c r="BH402" s="6"/>
      <c r="BI402" s="6"/>
      <c r="BJ402" s="6"/>
      <c r="BK402" s="6"/>
      <c r="BL402" s="6"/>
      <c r="BM402" s="7">
        <f>ROUND(8,2)</f>
        <v>8</v>
      </c>
      <c r="BN402" s="6"/>
      <c r="BO402" s="6"/>
      <c r="BP402" s="6"/>
      <c r="BQ402" s="6"/>
      <c r="BR402" s="6"/>
      <c r="BS402" s="6"/>
      <c r="BT402" s="6"/>
      <c r="BU402" s="6"/>
      <c r="BV402" s="6"/>
      <c r="BW402" s="6"/>
      <c r="BX402" s="6"/>
      <c r="BY402" s="6"/>
      <c r="BZ402" s="6"/>
      <c r="CA402" s="7">
        <f>ROUND(40,2)</f>
        <v>40</v>
      </c>
      <c r="CB402" s="7">
        <f>ROUND(2542.21,2)</f>
        <v>2542.21</v>
      </c>
      <c r="CC402" s="6"/>
      <c r="CD402" s="6"/>
      <c r="CE402" s="6"/>
      <c r="CF402" s="6"/>
      <c r="CG402" s="7">
        <f>ROUND(27118.4999999999,2)</f>
        <v>27118.5</v>
      </c>
      <c r="CH402" s="6"/>
      <c r="CI402" s="6"/>
      <c r="CJ402" s="7">
        <f>ROUND(9198.52,2)</f>
        <v>9198.52</v>
      </c>
      <c r="CK402" s="6"/>
      <c r="CL402" s="6"/>
      <c r="CM402" s="6"/>
      <c r="CN402" s="6"/>
      <c r="CO402" s="7">
        <f>ROUND(1072.45,2)</f>
        <v>1072.45</v>
      </c>
      <c r="CP402" s="7">
        <f>ROUND(1012.19,2)</f>
        <v>1012.19</v>
      </c>
      <c r="CQ402" s="7">
        <f>ROUND(236.779999999999,2)</f>
        <v>236.78</v>
      </c>
      <c r="CR402" s="7">
        <f>ROUND(120.1,2)</f>
        <v>120.1</v>
      </c>
      <c r="CS402" s="6"/>
      <c r="CT402" s="6"/>
      <c r="CU402" s="6"/>
      <c r="CV402" s="6"/>
      <c r="CW402" s="7">
        <f>ROUND(6907.16,2)</f>
        <v>6907.16</v>
      </c>
      <c r="CX402" s="7">
        <f>ROUND(479.719999999999,2)</f>
        <v>479.72</v>
      </c>
      <c r="CY402" s="6"/>
      <c r="CZ402" s="6"/>
      <c r="DA402" s="7">
        <f>ROUND(11661.69,2)</f>
        <v>11661.69</v>
      </c>
      <c r="DB402" s="7">
        <f>ROUND(4635.59,2)</f>
        <v>4635.59</v>
      </c>
      <c r="DC402" s="7">
        <f>ROUND(2166.52,2)</f>
        <v>2166.52</v>
      </c>
      <c r="DD402" s="6"/>
      <c r="DE402" s="7">
        <f>ROUND(933.4,2)</f>
        <v>933.4</v>
      </c>
      <c r="DF402" s="6"/>
      <c r="DG402" s="6"/>
      <c r="DH402" s="6"/>
      <c r="DI402" s="7">
        <f>ROUND(429.88,2)</f>
        <v>429.88</v>
      </c>
      <c r="DJ402" s="6"/>
      <c r="DK402" s="6"/>
      <c r="DL402" s="6"/>
      <c r="DM402" s="6"/>
      <c r="DN402" s="6"/>
      <c r="DO402" s="6"/>
      <c r="DP402" s="6"/>
      <c r="DQ402" s="6"/>
      <c r="DR402" s="7">
        <f>ROUND(500,2)</f>
        <v>500</v>
      </c>
      <c r="DS402" s="6"/>
      <c r="DT402" s="6"/>
      <c r="DU402" s="6"/>
      <c r="DV402" s="6"/>
      <c r="DW402" s="7">
        <f>ROUND(124.47,2)</f>
        <v>124.47</v>
      </c>
      <c r="DX402" s="7">
        <f>ROUND(101.1,2)</f>
        <v>101.1</v>
      </c>
      <c r="DY402" s="6"/>
      <c r="DZ402" s="6"/>
      <c r="EA402" s="6"/>
      <c r="EB402" s="6"/>
      <c r="EC402" s="6"/>
      <c r="ED402" s="6"/>
      <c r="EE402" s="7">
        <f>ROUND(1400,2)</f>
        <v>1400</v>
      </c>
      <c r="EF402" s="6"/>
      <c r="EG402" s="6"/>
      <c r="EH402" s="6"/>
      <c r="EI402" s="6"/>
      <c r="EJ402" s="6"/>
      <c r="EK402" s="6"/>
      <c r="EL402" s="6"/>
      <c r="EM402" s="6"/>
      <c r="EN402" s="6"/>
      <c r="EO402" s="6"/>
      <c r="EP402" s="6"/>
      <c r="EQ402" s="7">
        <f>ROUND(1250,2)</f>
        <v>1250</v>
      </c>
      <c r="ER402" s="6"/>
      <c r="ES402" s="6"/>
      <c r="ET402" s="6"/>
      <c r="EU402" s="7">
        <f>ROUND(1216,2)</f>
        <v>1216</v>
      </c>
      <c r="EV402" s="7">
        <f>ROUND(70564.0699999999,2)</f>
        <v>70564.070000000007</v>
      </c>
    </row>
    <row r="403" spans="1:152">
      <c r="A403" s="4" t="s">
        <v>924</v>
      </c>
      <c r="B403" s="4" t="s">
        <v>1058</v>
      </c>
      <c r="C403" s="5" t="s">
        <v>152</v>
      </c>
      <c r="D403" s="5" t="s">
        <v>171</v>
      </c>
      <c r="E403" s="5" t="s">
        <v>0</v>
      </c>
      <c r="F403" s="5" t="s">
        <v>0</v>
      </c>
      <c r="G403" s="5" t="s">
        <v>155</v>
      </c>
      <c r="H403" s="10">
        <v>27.36</v>
      </c>
      <c r="I403" s="6"/>
      <c r="J403" s="6"/>
      <c r="K403" s="6"/>
      <c r="L403" s="6"/>
      <c r="M403" s="7">
        <f>ROUND(852.449999999999,2)</f>
        <v>852.45</v>
      </c>
      <c r="N403" s="6"/>
      <c r="O403" s="6"/>
      <c r="P403" s="7">
        <f>ROUND(110.73,2)</f>
        <v>110.73</v>
      </c>
      <c r="Q403" s="6"/>
      <c r="R403" s="6"/>
      <c r="S403" s="6"/>
      <c r="T403" s="6"/>
      <c r="U403" s="7">
        <f>ROUND(44.81,2)</f>
        <v>44.81</v>
      </c>
      <c r="V403" s="7">
        <f>ROUND(28.37,2)</f>
        <v>28.37</v>
      </c>
      <c r="W403" s="7">
        <f>ROUND(9.56,2)</f>
        <v>9.56</v>
      </c>
      <c r="X403" s="7">
        <f>ROUND(2.11,2)</f>
        <v>2.11</v>
      </c>
      <c r="Y403" s="6"/>
      <c r="Z403" s="6"/>
      <c r="AA403" s="6"/>
      <c r="AB403" s="6"/>
      <c r="AC403" s="7">
        <f>ROUND(156.25,2)</f>
        <v>156.25</v>
      </c>
      <c r="AD403" s="7">
        <f>ROUND(7.25,2)</f>
        <v>7.25</v>
      </c>
      <c r="AE403" s="6"/>
      <c r="AF403" s="7">
        <f>ROUND(676.52,2)</f>
        <v>676.52</v>
      </c>
      <c r="AG403" s="7">
        <f>ROUND(99.9299999999999,2)</f>
        <v>99.93</v>
      </c>
      <c r="AH403" s="7">
        <f>ROUND(64,2)</f>
        <v>64</v>
      </c>
      <c r="AI403" s="6"/>
      <c r="AJ403" s="7">
        <f>ROUND(40,2)</f>
        <v>40</v>
      </c>
      <c r="AK403" s="6"/>
      <c r="AL403" s="7">
        <f>ROUND(8,2)</f>
        <v>8</v>
      </c>
      <c r="AM403" s="6"/>
      <c r="AN403" s="6"/>
      <c r="AO403" s="6"/>
      <c r="AP403" s="6"/>
      <c r="AQ403" s="6"/>
      <c r="AR403" s="7">
        <f>ROUND(4,2)</f>
        <v>4</v>
      </c>
      <c r="AS403" s="6"/>
      <c r="AT403" s="6"/>
      <c r="AU403" s="6"/>
      <c r="AV403" s="6"/>
      <c r="AW403" s="6"/>
      <c r="AX403" s="6"/>
      <c r="AY403" s="6"/>
      <c r="AZ403" s="6"/>
      <c r="BA403" s="6"/>
      <c r="BB403" s="6"/>
      <c r="BC403" s="7">
        <f>ROUND(216,2)</f>
        <v>216</v>
      </c>
      <c r="BD403" s="6"/>
      <c r="BE403" s="6"/>
      <c r="BF403" s="6"/>
      <c r="BG403" s="6"/>
      <c r="BH403" s="7">
        <f>ROUND(16,2)</f>
        <v>16</v>
      </c>
      <c r="BI403" s="6"/>
      <c r="BJ403" s="6"/>
      <c r="BK403" s="6"/>
      <c r="BL403" s="6"/>
      <c r="BM403" s="7">
        <f>ROUND(16,2)</f>
        <v>16</v>
      </c>
      <c r="BN403" s="6"/>
      <c r="BO403" s="6"/>
      <c r="BP403" s="6"/>
      <c r="BQ403" s="6"/>
      <c r="BR403" s="6"/>
      <c r="BS403" s="6"/>
      <c r="BT403" s="6"/>
      <c r="BU403" s="6"/>
      <c r="BV403" s="6"/>
      <c r="BW403" s="6"/>
      <c r="BX403" s="6"/>
      <c r="BY403" s="6"/>
      <c r="BZ403" s="6"/>
      <c r="CA403" s="6"/>
      <c r="CB403" s="7">
        <f>ROUND(2351.98,2)</f>
        <v>2351.98</v>
      </c>
      <c r="CC403" s="6"/>
      <c r="CD403" s="6"/>
      <c r="CE403" s="6"/>
      <c r="CF403" s="6"/>
      <c r="CG403" s="7">
        <f>ROUND(17876.16,2)</f>
        <v>17876.16</v>
      </c>
      <c r="CH403" s="6"/>
      <c r="CI403" s="6"/>
      <c r="CJ403" s="7">
        <f>ROUND(3485.68,2)</f>
        <v>3485.68</v>
      </c>
      <c r="CK403" s="6"/>
      <c r="CL403" s="6"/>
      <c r="CM403" s="6"/>
      <c r="CN403" s="6"/>
      <c r="CO403" s="7">
        <f>ROUND(939.86,2)</f>
        <v>939.86</v>
      </c>
      <c r="CP403" s="7">
        <f>ROUND(889.65,2)</f>
        <v>889.65</v>
      </c>
      <c r="CQ403" s="7">
        <f>ROUND(199.87,2)</f>
        <v>199.87</v>
      </c>
      <c r="CR403" s="7">
        <f>ROUND(65.93,2)</f>
        <v>65.930000000000007</v>
      </c>
      <c r="CS403" s="6"/>
      <c r="CT403" s="6"/>
      <c r="CU403" s="6"/>
      <c r="CV403" s="6"/>
      <c r="CW403" s="7">
        <f>ROUND(3263.77,2)</f>
        <v>3263.77</v>
      </c>
      <c r="CX403" s="7">
        <f>ROUND(227.42,2)</f>
        <v>227.42</v>
      </c>
      <c r="CY403" s="6"/>
      <c r="CZ403" s="6"/>
      <c r="DA403" s="7">
        <f>ROUND(14145.37,2)</f>
        <v>14145.37</v>
      </c>
      <c r="DB403" s="7">
        <f>ROUND(3129.29999999999,2)</f>
        <v>3129.3</v>
      </c>
      <c r="DC403" s="7">
        <f>ROUND(1437.84,2)</f>
        <v>1437.84</v>
      </c>
      <c r="DD403" s="6"/>
      <c r="DE403" s="7">
        <f>ROUND(1094.4,2)</f>
        <v>1094.4000000000001</v>
      </c>
      <c r="DF403" s="6"/>
      <c r="DG403" s="6"/>
      <c r="DH403" s="6"/>
      <c r="DI403" s="7">
        <f>ROUND(166.68,2)</f>
        <v>166.68</v>
      </c>
      <c r="DJ403" s="6"/>
      <c r="DK403" s="6"/>
      <c r="DL403" s="6"/>
      <c r="DM403" s="6"/>
      <c r="DN403" s="6"/>
      <c r="DO403" s="6"/>
      <c r="DP403" s="7">
        <f>ROUND(83.64,2)</f>
        <v>83.64</v>
      </c>
      <c r="DQ403" s="6"/>
      <c r="DR403" s="6"/>
      <c r="DS403" s="6"/>
      <c r="DT403" s="6"/>
      <c r="DU403" s="6"/>
      <c r="DV403" s="6"/>
      <c r="DW403" s="6"/>
      <c r="DX403" s="6"/>
      <c r="DY403" s="6"/>
      <c r="DZ403" s="6"/>
      <c r="EA403" s="6"/>
      <c r="EB403" s="6"/>
      <c r="EC403" s="6"/>
      <c r="ED403" s="6"/>
      <c r="EE403" s="7">
        <f>ROUND(2175,2)</f>
        <v>2175</v>
      </c>
      <c r="EF403" s="6"/>
      <c r="EG403" s="6"/>
      <c r="EH403" s="6"/>
      <c r="EI403" s="6"/>
      <c r="EJ403" s="6"/>
      <c r="EK403" s="6"/>
      <c r="EL403" s="6"/>
      <c r="EM403" s="6"/>
      <c r="EN403" s="6"/>
      <c r="EO403" s="6"/>
      <c r="EP403" s="6"/>
      <c r="EQ403" s="7">
        <f>ROUND(1500,2)</f>
        <v>1500</v>
      </c>
      <c r="ER403" s="6"/>
      <c r="ES403" s="6"/>
      <c r="ET403" s="6"/>
      <c r="EU403" s="6"/>
      <c r="EV403" s="7">
        <f>ROUND(50680.57,2)</f>
        <v>50680.57</v>
      </c>
    </row>
    <row r="404" spans="1:152" ht="24">
      <c r="A404" s="4" t="s">
        <v>925</v>
      </c>
      <c r="B404" s="4"/>
      <c r="C404" s="5" t="s">
        <v>178</v>
      </c>
      <c r="D404" s="5" t="s">
        <v>926</v>
      </c>
      <c r="E404" s="5" t="s">
        <v>0</v>
      </c>
      <c r="F404" s="5" t="s">
        <v>0</v>
      </c>
      <c r="G404" s="5" t="s">
        <v>248</v>
      </c>
      <c r="H404" s="10">
        <v>19.899999999999999</v>
      </c>
      <c r="I404" s="7">
        <f>ROUND(1809,2)</f>
        <v>1809</v>
      </c>
      <c r="J404" s="7">
        <f>ROUND(30.75,2)</f>
        <v>30.75</v>
      </c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  <c r="BA404" s="6"/>
      <c r="BB404" s="6"/>
      <c r="BC404" s="6"/>
      <c r="BD404" s="6"/>
      <c r="BE404" s="6"/>
      <c r="BF404" s="6"/>
      <c r="BG404" s="6"/>
      <c r="BH404" s="7">
        <f>ROUND(16,2)</f>
        <v>16</v>
      </c>
      <c r="BI404" s="6"/>
      <c r="BJ404" s="6"/>
      <c r="BK404" s="6"/>
      <c r="BL404" s="6"/>
      <c r="BM404" s="6"/>
      <c r="BN404" s="6"/>
      <c r="BO404" s="6"/>
      <c r="BP404" s="6"/>
      <c r="BQ404" s="6"/>
      <c r="BR404" s="6"/>
      <c r="BS404" s="6"/>
      <c r="BT404" s="7">
        <f>ROUND(32,2)</f>
        <v>32</v>
      </c>
      <c r="BU404" s="7">
        <f>ROUND(8,2)</f>
        <v>8</v>
      </c>
      <c r="BV404" s="7">
        <f>ROUND(8,2)</f>
        <v>8</v>
      </c>
      <c r="BW404" s="6"/>
      <c r="BX404" s="7">
        <f>ROUND(15,2)</f>
        <v>15</v>
      </c>
      <c r="BY404" s="7">
        <f>ROUND(192,2)</f>
        <v>192</v>
      </c>
      <c r="BZ404" s="6"/>
      <c r="CA404" s="6"/>
      <c r="CB404" s="7">
        <f>ROUND(2110.75,2)</f>
        <v>2110.75</v>
      </c>
      <c r="CC404" s="7">
        <f>ROUND(34261.1399999998,2)</f>
        <v>34261.14</v>
      </c>
      <c r="CD404" s="7">
        <f>ROUND(864.989999999999,2)</f>
        <v>864.99</v>
      </c>
      <c r="CE404" s="6"/>
      <c r="CF404" s="6"/>
      <c r="CG404" s="6"/>
      <c r="CH404" s="6"/>
      <c r="CI404" s="6"/>
      <c r="CJ404" s="6"/>
      <c r="CK404" s="6"/>
      <c r="CL404" s="6"/>
      <c r="CM404" s="6"/>
      <c r="CN404" s="6"/>
      <c r="CO404" s="6"/>
      <c r="CP404" s="6"/>
      <c r="CQ404" s="6"/>
      <c r="CR404" s="6"/>
      <c r="CS404" s="6"/>
      <c r="CT404" s="6"/>
      <c r="CU404" s="6"/>
      <c r="CV404" s="6"/>
      <c r="CW404" s="6"/>
      <c r="CX404" s="6"/>
      <c r="CY404" s="6"/>
      <c r="CZ404" s="6"/>
      <c r="DA404" s="6"/>
      <c r="DB404" s="6"/>
      <c r="DC404" s="6"/>
      <c r="DD404" s="6"/>
      <c r="DE404" s="6"/>
      <c r="DF404" s="6"/>
      <c r="DG404" s="6"/>
      <c r="DH404" s="6"/>
      <c r="DI404" s="6"/>
      <c r="DJ404" s="6"/>
      <c r="DK404" s="6"/>
      <c r="DL404" s="6"/>
      <c r="DM404" s="6"/>
      <c r="DN404" s="6"/>
      <c r="DO404" s="6"/>
      <c r="DP404" s="6"/>
      <c r="DQ404" s="6"/>
      <c r="DR404" s="6"/>
      <c r="DS404" s="6"/>
      <c r="DT404" s="6"/>
      <c r="DU404" s="6"/>
      <c r="DV404" s="6"/>
      <c r="DW404" s="6"/>
      <c r="DX404" s="6"/>
      <c r="DY404" s="6"/>
      <c r="DZ404" s="6"/>
      <c r="EA404" s="6"/>
      <c r="EB404" s="6"/>
      <c r="EC404" s="6"/>
      <c r="ED404" s="7">
        <f>ROUND(309.22,2)</f>
        <v>309.22000000000003</v>
      </c>
      <c r="EE404" s="7">
        <f>ROUND(1910.4,2)</f>
        <v>1910.4</v>
      </c>
      <c r="EF404" s="6"/>
      <c r="EG404" s="7">
        <f>ROUND(609.26,2)</f>
        <v>609.26</v>
      </c>
      <c r="EH404" s="7">
        <f>ROUND(150.02,2)</f>
        <v>150.02000000000001</v>
      </c>
      <c r="EI404" s="7">
        <f>ROUND(225.04,2)</f>
        <v>225.04</v>
      </c>
      <c r="EJ404" s="6"/>
      <c r="EK404" s="6"/>
      <c r="EL404" s="6"/>
      <c r="EM404" s="6"/>
      <c r="EN404" s="7">
        <f>ROUND(282.41,2)</f>
        <v>282.41000000000003</v>
      </c>
      <c r="EO404" s="6"/>
      <c r="EP404" s="6"/>
      <c r="EQ404" s="6"/>
      <c r="ER404" s="6"/>
      <c r="ES404" s="7">
        <f>ROUND(5155.76,2)</f>
        <v>5155.76</v>
      </c>
      <c r="ET404" s="6"/>
      <c r="EU404" s="6"/>
      <c r="EV404" s="7">
        <f>ROUND(43768.24,2)</f>
        <v>43768.24</v>
      </c>
    </row>
    <row r="405" spans="1:152">
      <c r="A405" s="4" t="s">
        <v>927</v>
      </c>
      <c r="B405" s="4" t="s">
        <v>1058</v>
      </c>
      <c r="C405" s="5" t="s">
        <v>152</v>
      </c>
      <c r="D405" s="5" t="s">
        <v>515</v>
      </c>
      <c r="E405" s="5" t="s">
        <v>0</v>
      </c>
      <c r="F405" s="5" t="s">
        <v>0</v>
      </c>
      <c r="G405" s="5" t="s">
        <v>155</v>
      </c>
      <c r="H405" s="10">
        <v>30.4</v>
      </c>
      <c r="I405" s="6"/>
      <c r="J405" s="6"/>
      <c r="K405" s="6"/>
      <c r="L405" s="6"/>
      <c r="M405" s="7">
        <f>ROUND(1570.61,2)</f>
        <v>1570.61</v>
      </c>
      <c r="N405" s="6"/>
      <c r="O405" s="6"/>
      <c r="P405" s="7">
        <f>ROUND(232.749999999999,2)</f>
        <v>232.75</v>
      </c>
      <c r="Q405" s="6"/>
      <c r="R405" s="6"/>
      <c r="S405" s="6"/>
      <c r="T405" s="6"/>
      <c r="U405" s="7">
        <f>ROUND(53,2)</f>
        <v>53</v>
      </c>
      <c r="V405" s="7">
        <f>ROUND(15.09,2)</f>
        <v>15.09</v>
      </c>
      <c r="W405" s="7">
        <f>ROUND(3.98,2)</f>
        <v>3.98</v>
      </c>
      <c r="X405" s="7">
        <f>ROUND(0.69,2)</f>
        <v>0.69</v>
      </c>
      <c r="Y405" s="6"/>
      <c r="Z405" s="6"/>
      <c r="AA405" s="6"/>
      <c r="AB405" s="6"/>
      <c r="AC405" s="7">
        <f>ROUND(45.08,2)</f>
        <v>45.08</v>
      </c>
      <c r="AD405" s="6"/>
      <c r="AE405" s="6"/>
      <c r="AF405" s="7">
        <f>ROUND(225.23,2)</f>
        <v>225.23</v>
      </c>
      <c r="AG405" s="7">
        <f>ROUND(22.95,2)</f>
        <v>22.95</v>
      </c>
      <c r="AH405" s="7">
        <f>ROUND(80,2)</f>
        <v>80</v>
      </c>
      <c r="AI405" s="6"/>
      <c r="AJ405" s="7">
        <f>ROUND(80,2)</f>
        <v>80</v>
      </c>
      <c r="AK405" s="6"/>
      <c r="AL405" s="7">
        <f>ROUND(8.5,2)</f>
        <v>8.5</v>
      </c>
      <c r="AM405" s="6"/>
      <c r="AN405" s="6"/>
      <c r="AO405" s="6"/>
      <c r="AP405" s="6"/>
      <c r="AQ405" s="7">
        <f>ROUND(9.08,2)</f>
        <v>9.08</v>
      </c>
      <c r="AR405" s="6"/>
      <c r="AS405" s="6"/>
      <c r="AT405" s="6"/>
      <c r="AU405" s="6"/>
      <c r="AV405" s="6"/>
      <c r="AW405" s="6"/>
      <c r="AX405" s="6"/>
      <c r="AY405" s="6"/>
      <c r="AZ405" s="6"/>
      <c r="BA405" s="6"/>
      <c r="BB405" s="6"/>
      <c r="BC405" s="6"/>
      <c r="BD405" s="7">
        <f>ROUND(2.83,2)</f>
        <v>2.83</v>
      </c>
      <c r="BE405" s="6"/>
      <c r="BF405" s="6"/>
      <c r="BG405" s="6"/>
      <c r="BH405" s="7">
        <f>ROUND(8,2)</f>
        <v>8</v>
      </c>
      <c r="BI405" s="6"/>
      <c r="BJ405" s="6"/>
      <c r="BK405" s="6"/>
      <c r="BL405" s="6"/>
      <c r="BM405" s="7">
        <f>ROUND(16,2)</f>
        <v>16</v>
      </c>
      <c r="BN405" s="6"/>
      <c r="BO405" s="6"/>
      <c r="BP405" s="6"/>
      <c r="BQ405" s="6"/>
      <c r="BR405" s="6"/>
      <c r="BS405" s="6"/>
      <c r="BT405" s="6"/>
      <c r="BU405" s="6"/>
      <c r="BV405" s="6"/>
      <c r="BW405" s="6"/>
      <c r="BX405" s="6"/>
      <c r="BY405" s="6"/>
      <c r="BZ405" s="6"/>
      <c r="CA405" s="6"/>
      <c r="CB405" s="7">
        <f>ROUND(2373.79,2)</f>
        <v>2373.79</v>
      </c>
      <c r="CC405" s="6"/>
      <c r="CD405" s="6"/>
      <c r="CE405" s="6"/>
      <c r="CF405" s="6"/>
      <c r="CG405" s="7">
        <f>ROUND(41729.22,2)</f>
        <v>41729.22</v>
      </c>
      <c r="CH405" s="6"/>
      <c r="CI405" s="6"/>
      <c r="CJ405" s="7">
        <f>ROUND(9302.43999999999,2)</f>
        <v>9302.44</v>
      </c>
      <c r="CK405" s="6"/>
      <c r="CL405" s="6"/>
      <c r="CM405" s="6"/>
      <c r="CN405" s="6"/>
      <c r="CO405" s="7">
        <f>ROUND(1369.8,2)</f>
        <v>1369.8</v>
      </c>
      <c r="CP405" s="7">
        <f>ROUND(585.53,2)</f>
        <v>585.53</v>
      </c>
      <c r="CQ405" s="7">
        <f>ROUND(105.38,2)</f>
        <v>105.38</v>
      </c>
      <c r="CR405" s="7">
        <f>ROUND(26.88,2)</f>
        <v>26.88</v>
      </c>
      <c r="CS405" s="6"/>
      <c r="CT405" s="6"/>
      <c r="CU405" s="6"/>
      <c r="CV405" s="6"/>
      <c r="CW405" s="7">
        <f>ROUND(1164.59,2)</f>
        <v>1164.5899999999999</v>
      </c>
      <c r="CX405" s="6"/>
      <c r="CY405" s="6"/>
      <c r="CZ405" s="6"/>
      <c r="DA405" s="7">
        <f>ROUND(5933.21,2)</f>
        <v>5933.21</v>
      </c>
      <c r="DB405" s="7">
        <f>ROUND(892.73,2)</f>
        <v>892.73</v>
      </c>
      <c r="DC405" s="7">
        <f>ROUND(2139.75999999999,2)</f>
        <v>2139.7600000000002</v>
      </c>
      <c r="DD405" s="6"/>
      <c r="DE405" s="7">
        <f>ROUND(2066.71,2)</f>
        <v>2066.71</v>
      </c>
      <c r="DF405" s="6"/>
      <c r="DG405" s="6"/>
      <c r="DH405" s="6"/>
      <c r="DI405" s="7">
        <f>ROUND(219.59,2)</f>
        <v>219.59</v>
      </c>
      <c r="DJ405" s="6"/>
      <c r="DK405" s="6"/>
      <c r="DL405" s="6"/>
      <c r="DM405" s="6"/>
      <c r="DN405" s="7">
        <f>ROUND(298,2)</f>
        <v>298</v>
      </c>
      <c r="DO405" s="7">
        <f>ROUND(276.03,2)</f>
        <v>276.02999999999997</v>
      </c>
      <c r="DP405" s="6"/>
      <c r="DQ405" s="6"/>
      <c r="DR405" s="6"/>
      <c r="DS405" s="6"/>
      <c r="DT405" s="6"/>
      <c r="DU405" s="6"/>
      <c r="DV405" s="6"/>
      <c r="DW405" s="6"/>
      <c r="DX405" s="6"/>
      <c r="DY405" s="6"/>
      <c r="DZ405" s="6"/>
      <c r="EA405" s="6"/>
      <c r="EB405" s="6"/>
      <c r="EC405" s="6"/>
      <c r="ED405" s="6"/>
      <c r="EE405" s="7">
        <f>ROUND(1250,2)</f>
        <v>1250</v>
      </c>
      <c r="EF405" s="6"/>
      <c r="EG405" s="6"/>
      <c r="EH405" s="6"/>
      <c r="EI405" s="6"/>
      <c r="EJ405" s="6"/>
      <c r="EK405" s="6"/>
      <c r="EL405" s="6"/>
      <c r="EM405" s="6"/>
      <c r="EN405" s="6"/>
      <c r="EO405" s="6"/>
      <c r="EP405" s="6"/>
      <c r="EQ405" s="7">
        <f>ROUND(1250,2)</f>
        <v>1250</v>
      </c>
      <c r="ER405" s="6"/>
      <c r="ES405" s="6"/>
      <c r="ET405" s="6"/>
      <c r="EU405" s="6"/>
      <c r="EV405" s="7">
        <f>ROUND(68609.8699999999,2)</f>
        <v>68609.87</v>
      </c>
    </row>
    <row r="406" spans="1:152">
      <c r="A406" s="4" t="s">
        <v>928</v>
      </c>
      <c r="B406" s="4" t="s">
        <v>1058</v>
      </c>
      <c r="C406" s="5" t="s">
        <v>152</v>
      </c>
      <c r="D406" s="5" t="s">
        <v>171</v>
      </c>
      <c r="E406" s="5" t="s">
        <v>0</v>
      </c>
      <c r="F406" s="5" t="s">
        <v>0</v>
      </c>
      <c r="G406" s="5" t="s">
        <v>155</v>
      </c>
      <c r="H406" s="10">
        <v>27.36</v>
      </c>
      <c r="I406" s="6"/>
      <c r="J406" s="6"/>
      <c r="K406" s="6"/>
      <c r="L406" s="6"/>
      <c r="M406" s="7">
        <f>ROUND(1000.04999999999,2)</f>
        <v>1000.05</v>
      </c>
      <c r="N406" s="6"/>
      <c r="O406" s="6"/>
      <c r="P406" s="7">
        <f>ROUND(144.95,2)</f>
        <v>144.94999999999999</v>
      </c>
      <c r="Q406" s="6"/>
      <c r="R406" s="6"/>
      <c r="S406" s="6"/>
      <c r="T406" s="6"/>
      <c r="U406" s="7">
        <f>ROUND(40.93,2)</f>
        <v>40.93</v>
      </c>
      <c r="V406" s="7">
        <f>ROUND(22.73,2)</f>
        <v>22.73</v>
      </c>
      <c r="W406" s="7">
        <f>ROUND(8.48,2)</f>
        <v>8.48</v>
      </c>
      <c r="X406" s="7">
        <f>ROUND(2.13,2)</f>
        <v>2.13</v>
      </c>
      <c r="Y406" s="6"/>
      <c r="Z406" s="6"/>
      <c r="AA406" s="6"/>
      <c r="AB406" s="6"/>
      <c r="AC406" s="7">
        <f>ROUND(148.12,2)</f>
        <v>148.12</v>
      </c>
      <c r="AD406" s="7">
        <f>ROUND(18.67,2)</f>
        <v>18.670000000000002</v>
      </c>
      <c r="AE406" s="6"/>
      <c r="AF406" s="7">
        <f>ROUND(742.01,2)</f>
        <v>742.01</v>
      </c>
      <c r="AG406" s="7">
        <f>ROUND(123.47,2)</f>
        <v>123.47</v>
      </c>
      <c r="AH406" s="7">
        <f>ROUND(88,2)</f>
        <v>88</v>
      </c>
      <c r="AI406" s="6"/>
      <c r="AJ406" s="7">
        <f>ROUND(40,2)</f>
        <v>40</v>
      </c>
      <c r="AK406" s="6"/>
      <c r="AL406" s="7">
        <f>ROUND(8,2)</f>
        <v>8</v>
      </c>
      <c r="AM406" s="6"/>
      <c r="AN406" s="6"/>
      <c r="AO406" s="6"/>
      <c r="AP406" s="6"/>
      <c r="AQ406" s="6"/>
      <c r="AR406" s="7">
        <f>ROUND(4,2)</f>
        <v>4</v>
      </c>
      <c r="AS406" s="6"/>
      <c r="AT406" s="6"/>
      <c r="AU406" s="6"/>
      <c r="AV406" s="6"/>
      <c r="AW406" s="6"/>
      <c r="AX406" s="6"/>
      <c r="AY406" s="6"/>
      <c r="AZ406" s="6"/>
      <c r="BA406" s="7">
        <f>ROUND(5,2)</f>
        <v>5</v>
      </c>
      <c r="BB406" s="6"/>
      <c r="BC406" s="6"/>
      <c r="BD406" s="7">
        <f>ROUND(0.38,2)</f>
        <v>0.38</v>
      </c>
      <c r="BE406" s="7">
        <f>ROUND(0.98,2)</f>
        <v>0.98</v>
      </c>
      <c r="BF406" s="6"/>
      <c r="BG406" s="6"/>
      <c r="BH406" s="6"/>
      <c r="BI406" s="6"/>
      <c r="BJ406" s="6"/>
      <c r="BK406" s="6"/>
      <c r="BL406" s="6"/>
      <c r="BM406" s="6"/>
      <c r="BN406" s="6"/>
      <c r="BO406" s="6"/>
      <c r="BP406" s="6"/>
      <c r="BQ406" s="6"/>
      <c r="BR406" s="6"/>
      <c r="BS406" s="6"/>
      <c r="BT406" s="6"/>
      <c r="BU406" s="6"/>
      <c r="BV406" s="6"/>
      <c r="BW406" s="6"/>
      <c r="BX406" s="6"/>
      <c r="BY406" s="6"/>
      <c r="BZ406" s="6"/>
      <c r="CA406" s="6"/>
      <c r="CB406" s="7">
        <f>ROUND(2397.89999999999,2)</f>
        <v>2397.9</v>
      </c>
      <c r="CC406" s="6"/>
      <c r="CD406" s="6"/>
      <c r="CE406" s="6"/>
      <c r="CF406" s="6"/>
      <c r="CG406" s="7">
        <f>ROUND(21662.98,2)</f>
        <v>21662.98</v>
      </c>
      <c r="CH406" s="6"/>
      <c r="CI406" s="6"/>
      <c r="CJ406" s="7">
        <f>ROUND(4813.51,2)</f>
        <v>4813.51</v>
      </c>
      <c r="CK406" s="6"/>
      <c r="CL406" s="6"/>
      <c r="CM406" s="6"/>
      <c r="CN406" s="6"/>
      <c r="CO406" s="7">
        <f>ROUND(888.81,2)</f>
        <v>888.81</v>
      </c>
      <c r="CP406" s="7">
        <f>ROUND(794.879999999999,2)</f>
        <v>794.88</v>
      </c>
      <c r="CQ406" s="7">
        <f>ROUND(177.35,2)</f>
        <v>177.35</v>
      </c>
      <c r="CR406" s="7">
        <f>ROUND(77.72,2)</f>
        <v>77.72</v>
      </c>
      <c r="CS406" s="6"/>
      <c r="CT406" s="6"/>
      <c r="CU406" s="6"/>
      <c r="CV406" s="6"/>
      <c r="CW406" s="7">
        <f>ROUND(3312.21999999999,2)</f>
        <v>3312.22</v>
      </c>
      <c r="CX406" s="7">
        <f>ROUND(634.07,2)</f>
        <v>634.07000000000005</v>
      </c>
      <c r="CY406" s="6"/>
      <c r="CZ406" s="6"/>
      <c r="DA406" s="7">
        <f>ROUND(15987.51,2)</f>
        <v>15987.51</v>
      </c>
      <c r="DB406" s="7">
        <f>ROUND(3922.17,2)</f>
        <v>3922.17</v>
      </c>
      <c r="DC406" s="7">
        <f>ROUND(1937.88,2)</f>
        <v>1937.88</v>
      </c>
      <c r="DD406" s="6"/>
      <c r="DE406" s="7">
        <f>ROUND(1094.4,2)</f>
        <v>1094.4000000000001</v>
      </c>
      <c r="DF406" s="6"/>
      <c r="DG406" s="6"/>
      <c r="DH406" s="6"/>
      <c r="DI406" s="7">
        <f>ROUND(166.68,2)</f>
        <v>166.68</v>
      </c>
      <c r="DJ406" s="6"/>
      <c r="DK406" s="6"/>
      <c r="DL406" s="6"/>
      <c r="DM406" s="6"/>
      <c r="DN406" s="6"/>
      <c r="DO406" s="6"/>
      <c r="DP406" s="7">
        <f>ROUND(83.34,2)</f>
        <v>83.34</v>
      </c>
      <c r="DQ406" s="6"/>
      <c r="DR406" s="6"/>
      <c r="DS406" s="6"/>
      <c r="DT406" s="6"/>
      <c r="DU406" s="6"/>
      <c r="DV406" s="6"/>
      <c r="DW406" s="6"/>
      <c r="DX406" s="6"/>
      <c r="DY406" s="6"/>
      <c r="DZ406" s="6"/>
      <c r="EA406" s="6"/>
      <c r="EB406" s="7">
        <f>ROUND(205.2,2)</f>
        <v>205.2</v>
      </c>
      <c r="EC406" s="6"/>
      <c r="ED406" s="6"/>
      <c r="EE406" s="7">
        <f>ROUND(2375,2)</f>
        <v>2375</v>
      </c>
      <c r="EF406" s="6"/>
      <c r="EG406" s="6"/>
      <c r="EH406" s="6"/>
      <c r="EI406" s="6"/>
      <c r="EJ406" s="6"/>
      <c r="EK406" s="6"/>
      <c r="EL406" s="6"/>
      <c r="EM406" s="6"/>
      <c r="EN406" s="6"/>
      <c r="EO406" s="6"/>
      <c r="EP406" s="6"/>
      <c r="EQ406" s="7">
        <f>ROUND(1500,2)</f>
        <v>1500</v>
      </c>
      <c r="ER406" s="6"/>
      <c r="ES406" s="6"/>
      <c r="ET406" s="6"/>
      <c r="EU406" s="6"/>
      <c r="EV406" s="7">
        <f>ROUND(59633.7199999999,2)</f>
        <v>59633.72</v>
      </c>
    </row>
    <row r="407" spans="1:152">
      <c r="A407" s="4" t="s">
        <v>929</v>
      </c>
      <c r="B407" s="4" t="s">
        <v>1058</v>
      </c>
      <c r="C407" s="5" t="s">
        <v>152</v>
      </c>
      <c r="D407" s="5" t="s">
        <v>930</v>
      </c>
      <c r="E407" s="5" t="s">
        <v>0</v>
      </c>
      <c r="F407" s="5" t="s">
        <v>0</v>
      </c>
      <c r="G407" s="5" t="s">
        <v>155</v>
      </c>
      <c r="H407" s="10">
        <v>30.4</v>
      </c>
      <c r="I407" s="6"/>
      <c r="J407" s="6"/>
      <c r="K407" s="6"/>
      <c r="L407" s="6"/>
      <c r="M407" s="7">
        <f>ROUND(388.19,2)</f>
        <v>388.19</v>
      </c>
      <c r="N407" s="6"/>
      <c r="O407" s="6"/>
      <c r="P407" s="7">
        <f>ROUND(76.17,2)</f>
        <v>76.17</v>
      </c>
      <c r="Q407" s="6"/>
      <c r="R407" s="6"/>
      <c r="S407" s="6"/>
      <c r="T407" s="6"/>
      <c r="U407" s="6"/>
      <c r="V407" s="6"/>
      <c r="W407" s="7">
        <f>ROUND(1.49,2)</f>
        <v>1.49</v>
      </c>
      <c r="X407" s="7">
        <f>ROUND(0.33,2)</f>
        <v>0.33</v>
      </c>
      <c r="Y407" s="6"/>
      <c r="Z407" s="6"/>
      <c r="AA407" s="6"/>
      <c r="AB407" s="6"/>
      <c r="AC407" s="7">
        <f>ROUND(611.27,2)</f>
        <v>611.27</v>
      </c>
      <c r="AD407" s="7">
        <f>ROUND(12.5,2)</f>
        <v>12.5</v>
      </c>
      <c r="AE407" s="6"/>
      <c r="AF407" s="7">
        <f>ROUND(308.44,2)</f>
        <v>308.44</v>
      </c>
      <c r="AG407" s="7">
        <f>ROUND(12.19,2)</f>
        <v>12.19</v>
      </c>
      <c r="AH407" s="7">
        <f>ROUND(72,2)</f>
        <v>72</v>
      </c>
      <c r="AI407" s="6"/>
      <c r="AJ407" s="7">
        <f>ROUND(152,2)</f>
        <v>152</v>
      </c>
      <c r="AK407" s="6"/>
      <c r="AL407" s="7">
        <f>ROUND(12,2)</f>
        <v>12</v>
      </c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  <c r="BA407" s="6"/>
      <c r="BB407" s="7">
        <f>ROUND(16,2)</f>
        <v>16</v>
      </c>
      <c r="BC407" s="7">
        <f>ROUND(528,2)</f>
        <v>528</v>
      </c>
      <c r="BD407" s="6"/>
      <c r="BE407" s="7">
        <f>ROUND(8.67,2)</f>
        <v>8.67</v>
      </c>
      <c r="BF407" s="6"/>
      <c r="BG407" s="6"/>
      <c r="BH407" s="7">
        <f>ROUND(8,2)</f>
        <v>8</v>
      </c>
      <c r="BI407" s="6"/>
      <c r="BJ407" s="6"/>
      <c r="BK407" s="6"/>
      <c r="BL407" s="6"/>
      <c r="BM407" s="6"/>
      <c r="BN407" s="6"/>
      <c r="BO407" s="6"/>
      <c r="BP407" s="6"/>
      <c r="BQ407" s="6"/>
      <c r="BR407" s="6"/>
      <c r="BS407" s="6"/>
      <c r="BT407" s="6"/>
      <c r="BU407" s="6"/>
      <c r="BV407" s="6"/>
      <c r="BW407" s="6"/>
      <c r="BX407" s="6"/>
      <c r="BY407" s="6"/>
      <c r="BZ407" s="6"/>
      <c r="CA407" s="6"/>
      <c r="CB407" s="7">
        <f>ROUND(2207.25,2)</f>
        <v>2207.25</v>
      </c>
      <c r="CC407" s="6"/>
      <c r="CD407" s="6"/>
      <c r="CE407" s="6"/>
      <c r="CF407" s="6"/>
      <c r="CG407" s="7">
        <f>ROUND(10811.28,2)</f>
        <v>10811.28</v>
      </c>
      <c r="CH407" s="6"/>
      <c r="CI407" s="6"/>
      <c r="CJ407" s="7">
        <f>ROUND(3174.4,2)</f>
        <v>3174.4</v>
      </c>
      <c r="CK407" s="6"/>
      <c r="CL407" s="6"/>
      <c r="CM407" s="6"/>
      <c r="CN407" s="6"/>
      <c r="CO407" s="6"/>
      <c r="CP407" s="6"/>
      <c r="CQ407" s="7">
        <f>ROUND(43.62,2)</f>
        <v>43.62</v>
      </c>
      <c r="CR407" s="7">
        <f>ROUND(13.75,2)</f>
        <v>13.75</v>
      </c>
      <c r="CS407" s="6"/>
      <c r="CT407" s="6"/>
      <c r="CU407" s="6"/>
      <c r="CV407" s="6"/>
      <c r="CW407" s="7">
        <f>ROUND(17613.96,2)</f>
        <v>17613.96</v>
      </c>
      <c r="CX407" s="7">
        <f>ROUND(531.959999999999,2)</f>
        <v>531.96</v>
      </c>
      <c r="CY407" s="6"/>
      <c r="CZ407" s="6"/>
      <c r="DA407" s="7">
        <f>ROUND(8634.77999999999,2)</f>
        <v>8634.7800000000007</v>
      </c>
      <c r="DB407" s="7">
        <f>ROUND(508.83,2)</f>
        <v>508.83</v>
      </c>
      <c r="DC407" s="7">
        <f>ROUND(2042.08,2)</f>
        <v>2042.08</v>
      </c>
      <c r="DD407" s="6"/>
      <c r="DE407" s="7">
        <f>ROUND(4222.55999999999,2)</f>
        <v>4222.5600000000004</v>
      </c>
      <c r="DF407" s="6"/>
      <c r="DG407" s="6"/>
      <c r="DH407" s="6"/>
      <c r="DI407" s="7">
        <f>ROUND(333.36,2)</f>
        <v>333.36</v>
      </c>
      <c r="DJ407" s="6"/>
      <c r="DK407" s="6"/>
      <c r="DL407" s="6"/>
      <c r="DM407" s="6"/>
      <c r="DN407" s="6"/>
      <c r="DO407" s="6"/>
      <c r="DP407" s="6"/>
      <c r="DQ407" s="6"/>
      <c r="DR407" s="6"/>
      <c r="DS407" s="6"/>
      <c r="DT407" s="6"/>
      <c r="DU407" s="6"/>
      <c r="DV407" s="6"/>
      <c r="DW407" s="6"/>
      <c r="DX407" s="6"/>
      <c r="DY407" s="6"/>
      <c r="DZ407" s="6"/>
      <c r="EA407" s="6"/>
      <c r="EB407" s="6"/>
      <c r="EC407" s="6"/>
      <c r="ED407" s="6"/>
      <c r="EE407" s="7">
        <f>ROUND(800,2)</f>
        <v>800</v>
      </c>
      <c r="EF407" s="6"/>
      <c r="EG407" s="6"/>
      <c r="EH407" s="6"/>
      <c r="EI407" s="6"/>
      <c r="EJ407" s="6"/>
      <c r="EK407" s="6"/>
      <c r="EL407" s="6"/>
      <c r="EM407" s="6"/>
      <c r="EN407" s="6"/>
      <c r="EO407" s="6"/>
      <c r="EP407" s="6"/>
      <c r="EQ407" s="7">
        <f>ROUND(1250,2)</f>
        <v>1250</v>
      </c>
      <c r="ER407" s="6"/>
      <c r="ES407" s="6"/>
      <c r="ET407" s="6"/>
      <c r="EU407" s="6"/>
      <c r="EV407" s="7">
        <f>ROUND(49980.5799999999,2)</f>
        <v>49980.58</v>
      </c>
    </row>
    <row r="408" spans="1:152">
      <c r="A408" s="4" t="s">
        <v>931</v>
      </c>
      <c r="B408" s="4" t="s">
        <v>1058</v>
      </c>
      <c r="C408" s="5" t="s">
        <v>152</v>
      </c>
      <c r="D408" s="5" t="s">
        <v>310</v>
      </c>
      <c r="E408" s="5" t="s">
        <v>0</v>
      </c>
      <c r="F408" s="5" t="s">
        <v>0</v>
      </c>
      <c r="G408" s="5" t="s">
        <v>155</v>
      </c>
      <c r="H408" s="10">
        <v>30.4</v>
      </c>
      <c r="I408" s="6"/>
      <c r="J408" s="6"/>
      <c r="K408" s="6"/>
      <c r="L408" s="6"/>
      <c r="M408" s="7">
        <f>ROUND(1003.36,2)</f>
        <v>1003.36</v>
      </c>
      <c r="N408" s="6"/>
      <c r="O408" s="6"/>
      <c r="P408" s="7">
        <f>ROUND(140.54,2)</f>
        <v>140.54</v>
      </c>
      <c r="Q408" s="6"/>
      <c r="R408" s="6"/>
      <c r="S408" s="6"/>
      <c r="T408" s="6"/>
      <c r="U408" s="7">
        <f>ROUND(27.11,2)</f>
        <v>27.11</v>
      </c>
      <c r="V408" s="6"/>
      <c r="W408" s="7">
        <f>ROUND(8.33,2)</f>
        <v>8.33</v>
      </c>
      <c r="X408" s="7">
        <f>ROUND(2.33,2)</f>
        <v>2.33</v>
      </c>
      <c r="Y408" s="6"/>
      <c r="Z408" s="6"/>
      <c r="AA408" s="6"/>
      <c r="AB408" s="6"/>
      <c r="AC408" s="7">
        <f>ROUND(162.049999999999,2)</f>
        <v>162.05000000000001</v>
      </c>
      <c r="AD408" s="7">
        <f>ROUND(32.86,2)</f>
        <v>32.86</v>
      </c>
      <c r="AE408" s="6"/>
      <c r="AF408" s="7">
        <f>ROUND(581.329999999999,2)</f>
        <v>581.33000000000004</v>
      </c>
      <c r="AG408" s="7">
        <f>ROUND(21.75,2)</f>
        <v>21.75</v>
      </c>
      <c r="AH408" s="7">
        <f>ROUND(96,2)</f>
        <v>96</v>
      </c>
      <c r="AI408" s="6"/>
      <c r="AJ408" s="7">
        <f>ROUND(80,2)</f>
        <v>80</v>
      </c>
      <c r="AK408" s="6"/>
      <c r="AL408" s="7">
        <f>ROUND(8,2)</f>
        <v>8</v>
      </c>
      <c r="AM408" s="7">
        <f>ROUND(2.3,2)</f>
        <v>2.2999999999999998</v>
      </c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  <c r="BA408" s="6"/>
      <c r="BB408" s="7">
        <f>ROUND(16,2)</f>
        <v>16</v>
      </c>
      <c r="BC408" s="7">
        <f>ROUND(72.13,2)</f>
        <v>72.13</v>
      </c>
      <c r="BD408" s="7">
        <f>ROUND(3.67,2)</f>
        <v>3.67</v>
      </c>
      <c r="BE408" s="7">
        <f>ROUND(8.16,2)</f>
        <v>8.16</v>
      </c>
      <c r="BF408" s="6"/>
      <c r="BG408" s="6"/>
      <c r="BH408" s="6"/>
      <c r="BI408" s="6"/>
      <c r="BJ408" s="6"/>
      <c r="BK408" s="6"/>
      <c r="BL408" s="6"/>
      <c r="BM408" s="7">
        <f>ROUND(47.92,2)</f>
        <v>47.92</v>
      </c>
      <c r="BN408" s="6"/>
      <c r="BO408" s="6"/>
      <c r="BP408" s="6"/>
      <c r="BQ408" s="6"/>
      <c r="BR408" s="6"/>
      <c r="BS408" s="6"/>
      <c r="BT408" s="6"/>
      <c r="BU408" s="6"/>
      <c r="BV408" s="6"/>
      <c r="BW408" s="6"/>
      <c r="BX408" s="6"/>
      <c r="BY408" s="6"/>
      <c r="BZ408" s="6"/>
      <c r="CA408" s="7">
        <f>ROUND(32,2)</f>
        <v>32</v>
      </c>
      <c r="CB408" s="7">
        <f>ROUND(2345.83999999999,2)</f>
        <v>2345.84</v>
      </c>
      <c r="CC408" s="6"/>
      <c r="CD408" s="6"/>
      <c r="CE408" s="6"/>
      <c r="CF408" s="6"/>
      <c r="CG408" s="7">
        <f>ROUND(28419.9,2)</f>
        <v>28419.9</v>
      </c>
      <c r="CH408" s="6"/>
      <c r="CI408" s="6"/>
      <c r="CJ408" s="7">
        <f>ROUND(5970.88,2)</f>
        <v>5970.88</v>
      </c>
      <c r="CK408" s="6"/>
      <c r="CL408" s="6"/>
      <c r="CM408" s="6"/>
      <c r="CN408" s="6"/>
      <c r="CO408" s="7">
        <f>ROUND(753.109999999999,2)</f>
        <v>753.11</v>
      </c>
      <c r="CP408" s="6"/>
      <c r="CQ408" s="7">
        <f>ROUND(238.78,2)</f>
        <v>238.78</v>
      </c>
      <c r="CR408" s="7">
        <f>ROUND(99.14,2)</f>
        <v>99.14</v>
      </c>
      <c r="CS408" s="6"/>
      <c r="CT408" s="6"/>
      <c r="CU408" s="6"/>
      <c r="CV408" s="6"/>
      <c r="CW408" s="7">
        <f>ROUND(4521.36,2)</f>
        <v>4521.3599999999997</v>
      </c>
      <c r="CX408" s="7">
        <f>ROUND(1374.62,2)</f>
        <v>1374.62</v>
      </c>
      <c r="CY408" s="6"/>
      <c r="CZ408" s="6"/>
      <c r="DA408" s="7">
        <f>ROUND(16373.21,2)</f>
        <v>16373.21</v>
      </c>
      <c r="DB408" s="7">
        <f>ROUND(908.97,2)</f>
        <v>908.97</v>
      </c>
      <c r="DC408" s="7">
        <f>ROUND(2708.79999999999,2)</f>
        <v>2708.8</v>
      </c>
      <c r="DD408" s="6"/>
      <c r="DE408" s="7">
        <f>ROUND(2243.36,2)</f>
        <v>2243.36</v>
      </c>
      <c r="DF408" s="6"/>
      <c r="DG408" s="6"/>
      <c r="DH408" s="6"/>
      <c r="DI408" s="7">
        <f>ROUND(222.24,2)</f>
        <v>222.24</v>
      </c>
      <c r="DJ408" s="7">
        <f>ROUND(64.24,2)</f>
        <v>64.239999999999995</v>
      </c>
      <c r="DK408" s="6"/>
      <c r="DL408" s="6"/>
      <c r="DM408" s="6"/>
      <c r="DN408" s="6"/>
      <c r="DO408" s="6"/>
      <c r="DP408" s="6"/>
      <c r="DQ408" s="6"/>
      <c r="DR408" s="6"/>
      <c r="DS408" s="6"/>
      <c r="DT408" s="6"/>
      <c r="DU408" s="6"/>
      <c r="DV408" s="6"/>
      <c r="DW408" s="6"/>
      <c r="DX408" s="6"/>
      <c r="DY408" s="6"/>
      <c r="DZ408" s="6"/>
      <c r="EA408" s="6"/>
      <c r="EB408" s="6"/>
      <c r="EC408" s="6"/>
      <c r="ED408" s="6"/>
      <c r="EE408" s="7">
        <f>ROUND(550,2)</f>
        <v>550</v>
      </c>
      <c r="EF408" s="6"/>
      <c r="EG408" s="6"/>
      <c r="EH408" s="6"/>
      <c r="EI408" s="6"/>
      <c r="EJ408" s="6"/>
      <c r="EK408" s="6"/>
      <c r="EL408" s="6"/>
      <c r="EM408" s="6"/>
      <c r="EN408" s="6"/>
      <c r="EO408" s="6"/>
      <c r="EP408" s="6"/>
      <c r="EQ408" s="7">
        <f>ROUND(1250,2)</f>
        <v>1250</v>
      </c>
      <c r="ER408" s="6"/>
      <c r="ES408" s="6"/>
      <c r="ET408" s="6"/>
      <c r="EU408" s="7">
        <f>ROUND(972.8,2)</f>
        <v>972.8</v>
      </c>
      <c r="EV408" s="7">
        <f>ROUND(66671.41,2)</f>
        <v>66671.41</v>
      </c>
    </row>
    <row r="409" spans="1:152">
      <c r="A409" s="4" t="s">
        <v>932</v>
      </c>
      <c r="B409" s="4" t="s">
        <v>1058</v>
      </c>
      <c r="C409" s="5" t="s">
        <v>152</v>
      </c>
      <c r="D409" s="5" t="s">
        <v>693</v>
      </c>
      <c r="E409" s="5" t="s">
        <v>793</v>
      </c>
      <c r="F409" s="5" t="s">
        <v>0</v>
      </c>
      <c r="G409" s="5" t="s">
        <v>155</v>
      </c>
      <c r="H409" s="10">
        <v>30.4</v>
      </c>
      <c r="I409" s="6"/>
      <c r="J409" s="6"/>
      <c r="K409" s="6"/>
      <c r="L409" s="6"/>
      <c r="M409" s="7">
        <f>ROUND(855.729999999999,2)</f>
        <v>855.73</v>
      </c>
      <c r="N409" s="6"/>
      <c r="O409" s="6"/>
      <c r="P409" s="7">
        <f>ROUND(33.34,2)</f>
        <v>33.340000000000003</v>
      </c>
      <c r="Q409" s="6"/>
      <c r="R409" s="6"/>
      <c r="S409" s="6"/>
      <c r="T409" s="6"/>
      <c r="U409" s="7">
        <f>ROUND(33.04,2)</f>
        <v>33.04</v>
      </c>
      <c r="V409" s="6"/>
      <c r="W409" s="7">
        <f>ROUND(4.93,2)</f>
        <v>4.93</v>
      </c>
      <c r="X409" s="6"/>
      <c r="Y409" s="6"/>
      <c r="Z409" s="6"/>
      <c r="AA409" s="6"/>
      <c r="AB409" s="6"/>
      <c r="AC409" s="7">
        <f>ROUND(93.05,2)</f>
        <v>93.05</v>
      </c>
      <c r="AD409" s="7">
        <f>ROUND(4.62,2)</f>
        <v>4.62</v>
      </c>
      <c r="AE409" s="6"/>
      <c r="AF409" s="7">
        <f>ROUND(388.07,2)</f>
        <v>388.07</v>
      </c>
      <c r="AG409" s="7">
        <f>ROUND(31.45,2)</f>
        <v>31.45</v>
      </c>
      <c r="AH409" s="7">
        <f>ROUND(72,2)</f>
        <v>72</v>
      </c>
      <c r="AI409" s="6"/>
      <c r="AJ409" s="7">
        <f>ROUND(40,2)</f>
        <v>40</v>
      </c>
      <c r="AK409" s="6"/>
      <c r="AL409" s="7">
        <f>ROUND(8,2)</f>
        <v>8</v>
      </c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7">
        <f>ROUND(24,2)</f>
        <v>24</v>
      </c>
      <c r="BC409" s="7">
        <f>ROUND(129.59,2)</f>
        <v>129.59</v>
      </c>
      <c r="BD409" s="7">
        <f>ROUND(5.5,2)</f>
        <v>5.5</v>
      </c>
      <c r="BE409" s="6"/>
      <c r="BF409" s="6"/>
      <c r="BG409" s="6"/>
      <c r="BH409" s="7">
        <f>ROUND(16,2)</f>
        <v>16</v>
      </c>
      <c r="BI409" s="6"/>
      <c r="BJ409" s="7">
        <f>ROUND(128,2)</f>
        <v>128</v>
      </c>
      <c r="BK409" s="6"/>
      <c r="BL409" s="7">
        <f>ROUND(8,2)</f>
        <v>8</v>
      </c>
      <c r="BM409" s="7">
        <f>ROUND(176,2)</f>
        <v>176</v>
      </c>
      <c r="BN409" s="6"/>
      <c r="BO409" s="6"/>
      <c r="BP409" s="6"/>
      <c r="BQ409" s="6"/>
      <c r="BR409" s="6"/>
      <c r="BS409" s="6"/>
      <c r="BT409" s="6"/>
      <c r="BU409" s="6"/>
      <c r="BV409" s="6"/>
      <c r="BW409" s="6"/>
      <c r="BX409" s="6"/>
      <c r="BY409" s="6"/>
      <c r="BZ409" s="6"/>
      <c r="CA409" s="6"/>
      <c r="CB409" s="7">
        <f>ROUND(2051.31999999999,2)</f>
        <v>2051.3200000000002</v>
      </c>
      <c r="CC409" s="6"/>
      <c r="CD409" s="6"/>
      <c r="CE409" s="6"/>
      <c r="CF409" s="6"/>
      <c r="CG409" s="7">
        <f>ROUND(19161.05,2)</f>
        <v>19161.05</v>
      </c>
      <c r="CH409" s="6"/>
      <c r="CI409" s="6"/>
      <c r="CJ409" s="7">
        <f>ROUND(1084.71,2)</f>
        <v>1084.71</v>
      </c>
      <c r="CK409" s="6"/>
      <c r="CL409" s="6"/>
      <c r="CM409" s="6"/>
      <c r="CN409" s="6"/>
      <c r="CO409" s="7">
        <f>ROUND(720.86,2)</f>
        <v>720.86</v>
      </c>
      <c r="CP409" s="6"/>
      <c r="CQ409" s="7">
        <f>ROUND(107.22,2)</f>
        <v>107.22</v>
      </c>
      <c r="CR409" s="6"/>
      <c r="CS409" s="6"/>
      <c r="CT409" s="6"/>
      <c r="CU409" s="6"/>
      <c r="CV409" s="6"/>
      <c r="CW409" s="7">
        <f>ROUND(2018.55,2)</f>
        <v>2018.55</v>
      </c>
      <c r="CX409" s="7">
        <f>ROUND(150.16,2)</f>
        <v>150.16</v>
      </c>
      <c r="CY409" s="6"/>
      <c r="CZ409" s="6"/>
      <c r="DA409" s="7">
        <f>ROUND(8429.96,2)</f>
        <v>8429.9599999999991</v>
      </c>
      <c r="DB409" s="7">
        <f>ROUND(1046.33,2)</f>
        <v>1046.33</v>
      </c>
      <c r="DC409" s="7">
        <f>ROUND(1629.93999999999,2)</f>
        <v>1629.94</v>
      </c>
      <c r="DD409" s="6"/>
      <c r="DE409" s="7">
        <f>ROUND(866.72,2)</f>
        <v>866.72</v>
      </c>
      <c r="DF409" s="6"/>
      <c r="DG409" s="6"/>
      <c r="DH409" s="6"/>
      <c r="DI409" s="7">
        <f>ROUND(173.34,2)</f>
        <v>173.34</v>
      </c>
      <c r="DJ409" s="6"/>
      <c r="DK409" s="6"/>
      <c r="DL409" s="6"/>
      <c r="DM409" s="6"/>
      <c r="DN409" s="6"/>
      <c r="DO409" s="6"/>
      <c r="DP409" s="6"/>
      <c r="DQ409" s="6"/>
      <c r="DR409" s="6"/>
      <c r="DS409" s="6"/>
      <c r="DT409" s="6"/>
      <c r="DU409" s="6"/>
      <c r="DV409" s="6"/>
      <c r="DW409" s="6"/>
      <c r="DX409" s="6"/>
      <c r="DY409" s="6"/>
      <c r="DZ409" s="6"/>
      <c r="EA409" s="6"/>
      <c r="EB409" s="6"/>
      <c r="EC409" s="6"/>
      <c r="ED409" s="6"/>
      <c r="EE409" s="6"/>
      <c r="EF409" s="6"/>
      <c r="EG409" s="6"/>
      <c r="EH409" s="6"/>
      <c r="EI409" s="6"/>
      <c r="EJ409" s="6"/>
      <c r="EK409" s="6"/>
      <c r="EL409" s="6"/>
      <c r="EM409" s="6"/>
      <c r="EN409" s="6"/>
      <c r="EO409" s="6"/>
      <c r="EP409" s="6"/>
      <c r="EQ409" s="7">
        <f>ROUND(1033.2,2)</f>
        <v>1033.2</v>
      </c>
      <c r="ER409" s="6"/>
      <c r="ES409" s="6"/>
      <c r="ET409" s="6"/>
      <c r="EU409" s="6"/>
      <c r="EV409" s="7">
        <f>ROUND(36422.04,2)</f>
        <v>36422.04</v>
      </c>
    </row>
    <row r="410" spans="1:152">
      <c r="A410" s="4" t="s">
        <v>933</v>
      </c>
      <c r="B410" s="4" t="s">
        <v>1058</v>
      </c>
      <c r="C410" s="5" t="s">
        <v>152</v>
      </c>
      <c r="D410" s="5" t="s">
        <v>934</v>
      </c>
      <c r="E410" s="5" t="s">
        <v>0</v>
      </c>
      <c r="F410" s="5" t="s">
        <v>0</v>
      </c>
      <c r="G410" s="5" t="s">
        <v>155</v>
      </c>
      <c r="H410" s="10">
        <v>30.4</v>
      </c>
      <c r="I410" s="6"/>
      <c r="J410" s="6"/>
      <c r="K410" s="6"/>
      <c r="L410" s="6"/>
      <c r="M410" s="7">
        <f>ROUND(1673.87,2)</f>
        <v>1673.87</v>
      </c>
      <c r="N410" s="6"/>
      <c r="O410" s="6"/>
      <c r="P410" s="7">
        <f>ROUND(163.299999999999,2)</f>
        <v>163.30000000000001</v>
      </c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7">
        <f>ROUND(151.92,2)</f>
        <v>151.91999999999999</v>
      </c>
      <c r="AD410" s="7">
        <f>ROUND(0.919999999999999,2)</f>
        <v>0.92</v>
      </c>
      <c r="AE410" s="6"/>
      <c r="AF410" s="6"/>
      <c r="AG410" s="6"/>
      <c r="AH410" s="7">
        <f>ROUND(82,2)</f>
        <v>82</v>
      </c>
      <c r="AI410" s="6"/>
      <c r="AJ410" s="7">
        <f>ROUND(120,2)</f>
        <v>120</v>
      </c>
      <c r="AK410" s="6"/>
      <c r="AL410" s="7">
        <f>ROUND(8.5,2)</f>
        <v>8.5</v>
      </c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  <c r="BA410" s="6"/>
      <c r="BB410" s="7">
        <f>ROUND(8,2)</f>
        <v>8</v>
      </c>
      <c r="BC410" s="6"/>
      <c r="BD410" s="7">
        <f>ROUND(1.34,2)</f>
        <v>1.34</v>
      </c>
      <c r="BE410" s="7">
        <f>ROUND(4.22,2)</f>
        <v>4.22</v>
      </c>
      <c r="BF410" s="7">
        <f>ROUND(55,2)</f>
        <v>55</v>
      </c>
      <c r="BG410" s="7">
        <f>ROUND(8.83,2)</f>
        <v>8.83</v>
      </c>
      <c r="BH410" s="7">
        <f>ROUND(8,2)</f>
        <v>8</v>
      </c>
      <c r="BI410" s="6"/>
      <c r="BJ410" s="6"/>
      <c r="BK410" s="6"/>
      <c r="BL410" s="6"/>
      <c r="BM410" s="7">
        <f>ROUND(4.8,2)</f>
        <v>4.8</v>
      </c>
      <c r="BN410" s="6"/>
      <c r="BO410" s="6"/>
      <c r="BP410" s="6"/>
      <c r="BQ410" s="6"/>
      <c r="BR410" s="6"/>
      <c r="BS410" s="6"/>
      <c r="BT410" s="6"/>
      <c r="BU410" s="6"/>
      <c r="BV410" s="6"/>
      <c r="BW410" s="6"/>
      <c r="BX410" s="6"/>
      <c r="BY410" s="6"/>
      <c r="BZ410" s="6"/>
      <c r="CA410" s="7">
        <f>ROUND(8,2)</f>
        <v>8</v>
      </c>
      <c r="CB410" s="7">
        <f>ROUND(2298.7,2)</f>
        <v>2298.6999999999998</v>
      </c>
      <c r="CC410" s="6"/>
      <c r="CD410" s="6"/>
      <c r="CE410" s="6"/>
      <c r="CF410" s="6"/>
      <c r="CG410" s="7">
        <f>ROUND(47198.0299999999,2)</f>
        <v>47198.03</v>
      </c>
      <c r="CH410" s="6"/>
      <c r="CI410" s="6"/>
      <c r="CJ410" s="7">
        <f>ROUND(6914.63,2)</f>
        <v>6914.63</v>
      </c>
      <c r="CK410" s="6"/>
      <c r="CL410" s="6"/>
      <c r="CM410" s="6"/>
      <c r="CN410" s="6"/>
      <c r="CO410" s="6"/>
      <c r="CP410" s="6"/>
      <c r="CQ410" s="6"/>
      <c r="CR410" s="6"/>
      <c r="CS410" s="6"/>
      <c r="CT410" s="6"/>
      <c r="CU410" s="6"/>
      <c r="CV410" s="6"/>
      <c r="CW410" s="7">
        <f>ROUND(4220.34,2)</f>
        <v>4220.34</v>
      </c>
      <c r="CX410" s="7">
        <f>ROUND(38.34,2)</f>
        <v>38.340000000000003</v>
      </c>
      <c r="CY410" s="6"/>
      <c r="CZ410" s="6"/>
      <c r="DA410" s="6"/>
      <c r="DB410" s="6"/>
      <c r="DC410" s="7">
        <f>ROUND(2319.87999999999,2)</f>
        <v>2319.88</v>
      </c>
      <c r="DD410" s="6"/>
      <c r="DE410" s="7">
        <f>ROUND(3333.6,2)</f>
        <v>3333.6</v>
      </c>
      <c r="DF410" s="6"/>
      <c r="DG410" s="6"/>
      <c r="DH410" s="6"/>
      <c r="DI410" s="7">
        <f>ROUND(236.13,2)</f>
        <v>236.13</v>
      </c>
      <c r="DJ410" s="6"/>
      <c r="DK410" s="6"/>
      <c r="DL410" s="6"/>
      <c r="DM410" s="6"/>
      <c r="DN410" s="6"/>
      <c r="DO410" s="6"/>
      <c r="DP410" s="6"/>
      <c r="DQ410" s="6"/>
      <c r="DR410" s="6"/>
      <c r="DS410" s="6"/>
      <c r="DT410" s="6"/>
      <c r="DU410" s="6"/>
      <c r="DV410" s="6"/>
      <c r="DW410" s="6"/>
      <c r="DX410" s="6"/>
      <c r="DY410" s="6"/>
      <c r="DZ410" s="6"/>
      <c r="EA410" s="6"/>
      <c r="EB410" s="6"/>
      <c r="EC410" s="7">
        <f>ROUND(888.96,2)</f>
        <v>888.96</v>
      </c>
      <c r="ED410" s="7">
        <f>ROUND(222.24,2)</f>
        <v>222.24</v>
      </c>
      <c r="EE410" s="7">
        <f>ROUND(750,2)</f>
        <v>750</v>
      </c>
      <c r="EF410" s="6"/>
      <c r="EG410" s="6"/>
      <c r="EH410" s="6"/>
      <c r="EI410" s="6"/>
      <c r="EJ410" s="6"/>
      <c r="EK410" s="6"/>
      <c r="EL410" s="6"/>
      <c r="EM410" s="6"/>
      <c r="EN410" s="6"/>
      <c r="EO410" s="6"/>
      <c r="EP410" s="6"/>
      <c r="EQ410" s="7">
        <f>ROUND(1250,2)</f>
        <v>1250</v>
      </c>
      <c r="ER410" s="6"/>
      <c r="ES410" s="6"/>
      <c r="ET410" s="6"/>
      <c r="EU410" s="7">
        <f>ROUND(243.2,2)</f>
        <v>243.2</v>
      </c>
      <c r="EV410" s="7">
        <f>ROUND(67615.3499999999,2)</f>
        <v>67615.350000000006</v>
      </c>
    </row>
    <row r="411" spans="1:152" ht="24">
      <c r="A411" s="4" t="s">
        <v>935</v>
      </c>
      <c r="B411" s="4"/>
      <c r="C411" s="5" t="s">
        <v>430</v>
      </c>
      <c r="D411" s="5" t="s">
        <v>936</v>
      </c>
      <c r="E411" s="5" t="s">
        <v>0</v>
      </c>
      <c r="F411" s="5" t="s">
        <v>0</v>
      </c>
      <c r="G411" s="5" t="s">
        <v>511</v>
      </c>
      <c r="H411" s="10">
        <v>1218.17</v>
      </c>
      <c r="I411" s="6"/>
      <c r="J411" s="6"/>
      <c r="K411" s="6"/>
      <c r="L411" s="6"/>
      <c r="M411" s="6"/>
      <c r="N411" s="6"/>
      <c r="O411" s="6"/>
      <c r="P411" s="6"/>
      <c r="Q411" s="7">
        <f>ROUND(1248,2)</f>
        <v>1248</v>
      </c>
      <c r="R411" s="7">
        <f>ROUND(240,2)</f>
        <v>240</v>
      </c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7">
        <f>ROUND(48,2)</f>
        <v>48</v>
      </c>
      <c r="AI411" s="6"/>
      <c r="AJ411" s="7">
        <f>ROUND(64,2)</f>
        <v>64</v>
      </c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  <c r="BA411" s="6"/>
      <c r="BB411" s="6"/>
      <c r="BC411" s="6"/>
      <c r="BD411" s="6"/>
      <c r="BE411" s="6"/>
      <c r="BF411" s="6"/>
      <c r="BG411" s="6"/>
      <c r="BH411" s="6"/>
      <c r="BI411" s="6"/>
      <c r="BJ411" s="6"/>
      <c r="BK411" s="6"/>
      <c r="BL411" s="6"/>
      <c r="BM411" s="6"/>
      <c r="BN411" s="6"/>
      <c r="BO411" s="6"/>
      <c r="BP411" s="6"/>
      <c r="BQ411" s="6"/>
      <c r="BR411" s="6"/>
      <c r="BS411" s="6"/>
      <c r="BT411" s="7">
        <f>ROUND(16,2)</f>
        <v>16</v>
      </c>
      <c r="BU411" s="7">
        <f>ROUND(8,2)</f>
        <v>8</v>
      </c>
      <c r="BV411" s="6"/>
      <c r="BW411" s="6"/>
      <c r="BX411" s="6"/>
      <c r="BY411" s="7">
        <f>ROUND(16,2)</f>
        <v>16</v>
      </c>
      <c r="BZ411" s="6"/>
      <c r="CA411" s="7">
        <f>ROUND(8,2)</f>
        <v>8</v>
      </c>
      <c r="CB411" s="7">
        <f>ROUND(1648,2)</f>
        <v>1648</v>
      </c>
      <c r="CC411" s="7">
        <f>ROUND(21501.2999999999,2)</f>
        <v>21501.3</v>
      </c>
      <c r="CD411" s="6"/>
      <c r="CE411" s="6"/>
      <c r="CF411" s="6"/>
      <c r="CG411" s="6"/>
      <c r="CH411" s="6"/>
      <c r="CI411" s="6"/>
      <c r="CJ411" s="6"/>
      <c r="CK411" s="7">
        <f>ROUND(30937.9199999999,2)</f>
        <v>30937.919999999998</v>
      </c>
      <c r="CL411" s="7">
        <f>ROUND(8924.39999999999,2)</f>
        <v>8924.4</v>
      </c>
      <c r="CM411" s="6"/>
      <c r="CN411" s="6"/>
      <c r="CO411" s="6"/>
      <c r="CP411" s="6"/>
      <c r="CQ411" s="6"/>
      <c r="CR411" s="6"/>
      <c r="CS411" s="6"/>
      <c r="CT411" s="6"/>
      <c r="CU411" s="6"/>
      <c r="CV411" s="6"/>
      <c r="CW411" s="6"/>
      <c r="CX411" s="6"/>
      <c r="CY411" s="6"/>
      <c r="CZ411" s="6"/>
      <c r="DA411" s="6"/>
      <c r="DB411" s="6"/>
      <c r="DC411" s="7">
        <f>ROUND(1182.72,2)</f>
        <v>1182.72</v>
      </c>
      <c r="DD411" s="6"/>
      <c r="DE411" s="7">
        <f>ROUND(1576.96,2)</f>
        <v>1576.96</v>
      </c>
      <c r="DF411" s="6"/>
      <c r="DG411" s="6"/>
      <c r="DH411" s="6"/>
      <c r="DI411" s="6"/>
      <c r="DJ411" s="6"/>
      <c r="DK411" s="6"/>
      <c r="DL411" s="6"/>
      <c r="DM411" s="6"/>
      <c r="DN411" s="6"/>
      <c r="DO411" s="6"/>
      <c r="DP411" s="6"/>
      <c r="DQ411" s="6"/>
      <c r="DR411" s="6"/>
      <c r="DS411" s="6"/>
      <c r="DT411" s="6"/>
      <c r="DU411" s="6"/>
      <c r="DV411" s="6"/>
      <c r="DW411" s="6"/>
      <c r="DX411" s="6"/>
      <c r="DY411" s="6"/>
      <c r="DZ411" s="6"/>
      <c r="EA411" s="6"/>
      <c r="EB411" s="6"/>
      <c r="EC411" s="6"/>
      <c r="ED411" s="6"/>
      <c r="EE411" s="7">
        <f>ROUND(1974.4,2)</f>
        <v>1974.4</v>
      </c>
      <c r="EF411" s="6"/>
      <c r="EG411" s="6"/>
      <c r="EH411" s="6"/>
      <c r="EI411" s="6"/>
      <c r="EJ411" s="6"/>
      <c r="EK411" s="6"/>
      <c r="EL411" s="6"/>
      <c r="EM411" s="6"/>
      <c r="EN411" s="6"/>
      <c r="EO411" s="6"/>
      <c r="EP411" s="6"/>
      <c r="EQ411" s="6"/>
      <c r="ER411" s="6"/>
      <c r="ES411" s="6"/>
      <c r="ET411" s="6"/>
      <c r="EU411" s="7">
        <f>ROUND(198.32,2)</f>
        <v>198.32</v>
      </c>
      <c r="EV411" s="7">
        <f>ROUND(66296.02,2)</f>
        <v>66296.02</v>
      </c>
    </row>
    <row r="412" spans="1:152" ht="24">
      <c r="A412" s="4" t="s">
        <v>937</v>
      </c>
      <c r="B412" s="4"/>
      <c r="C412" s="5" t="s">
        <v>233</v>
      </c>
      <c r="D412" s="5" t="s">
        <v>499</v>
      </c>
      <c r="E412" s="5" t="s">
        <v>938</v>
      </c>
      <c r="F412" s="5" t="s">
        <v>0</v>
      </c>
      <c r="G412" s="5" t="s">
        <v>236</v>
      </c>
      <c r="H412" s="10">
        <v>18</v>
      </c>
      <c r="I412" s="7">
        <f>ROUND(348.75,2)</f>
        <v>348.75</v>
      </c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  <c r="BA412" s="6"/>
      <c r="BB412" s="6"/>
      <c r="BC412" s="6"/>
      <c r="BD412" s="6"/>
      <c r="BE412" s="6"/>
      <c r="BF412" s="6"/>
      <c r="BG412" s="6"/>
      <c r="BH412" s="6"/>
      <c r="BI412" s="6"/>
      <c r="BJ412" s="6"/>
      <c r="BK412" s="6"/>
      <c r="BL412" s="6"/>
      <c r="BM412" s="6"/>
      <c r="BN412" s="6"/>
      <c r="BO412" s="6"/>
      <c r="BP412" s="6"/>
      <c r="BQ412" s="6"/>
      <c r="BR412" s="6"/>
      <c r="BS412" s="6"/>
      <c r="BT412" s="7">
        <f>ROUND(5,2)</f>
        <v>5</v>
      </c>
      <c r="BU412" s="6"/>
      <c r="BV412" s="6"/>
      <c r="BW412" s="6"/>
      <c r="BX412" s="6"/>
      <c r="BY412" s="6"/>
      <c r="BZ412" s="6"/>
      <c r="CA412" s="6"/>
      <c r="CB412" s="7">
        <f>ROUND(353.75,2)</f>
        <v>353.75</v>
      </c>
      <c r="CC412" s="7">
        <f>ROUND(6277.5,2)</f>
        <v>6277.5</v>
      </c>
      <c r="CD412" s="6"/>
      <c r="CE412" s="6"/>
      <c r="CF412" s="6"/>
      <c r="CG412" s="6"/>
      <c r="CH412" s="6"/>
      <c r="CI412" s="6"/>
      <c r="CJ412" s="6"/>
      <c r="CK412" s="6"/>
      <c r="CL412" s="6"/>
      <c r="CM412" s="6"/>
      <c r="CN412" s="6"/>
      <c r="CO412" s="6"/>
      <c r="CP412" s="6"/>
      <c r="CQ412" s="6"/>
      <c r="CR412" s="6"/>
      <c r="CS412" s="6"/>
      <c r="CT412" s="6"/>
      <c r="CU412" s="6"/>
      <c r="CV412" s="6"/>
      <c r="CW412" s="6"/>
      <c r="CX412" s="6"/>
      <c r="CY412" s="6"/>
      <c r="CZ412" s="6"/>
      <c r="DA412" s="6"/>
      <c r="DB412" s="6"/>
      <c r="DC412" s="6"/>
      <c r="DD412" s="6"/>
      <c r="DE412" s="6"/>
      <c r="DF412" s="6"/>
      <c r="DG412" s="6"/>
      <c r="DH412" s="6"/>
      <c r="DI412" s="6"/>
      <c r="DJ412" s="6"/>
      <c r="DK412" s="6"/>
      <c r="DL412" s="6"/>
      <c r="DM412" s="6"/>
      <c r="DN412" s="6"/>
      <c r="DO412" s="6"/>
      <c r="DP412" s="6"/>
      <c r="DQ412" s="6"/>
      <c r="DR412" s="6"/>
      <c r="DS412" s="6"/>
      <c r="DT412" s="6"/>
      <c r="DU412" s="6"/>
      <c r="DV412" s="6"/>
      <c r="DW412" s="6"/>
      <c r="DX412" s="6"/>
      <c r="DY412" s="6"/>
      <c r="DZ412" s="6"/>
      <c r="EA412" s="6"/>
      <c r="EB412" s="6"/>
      <c r="EC412" s="6"/>
      <c r="ED412" s="6"/>
      <c r="EE412" s="6"/>
      <c r="EF412" s="6"/>
      <c r="EG412" s="7">
        <f>ROUND(90,2)</f>
        <v>90</v>
      </c>
      <c r="EH412" s="6"/>
      <c r="EI412" s="6"/>
      <c r="EJ412" s="6"/>
      <c r="EK412" s="6"/>
      <c r="EL412" s="6"/>
      <c r="EM412" s="6"/>
      <c r="EN412" s="6"/>
      <c r="EO412" s="6"/>
      <c r="EP412" s="6"/>
      <c r="EQ412" s="6"/>
      <c r="ER412" s="6"/>
      <c r="ES412" s="6"/>
      <c r="ET412" s="6"/>
      <c r="EU412" s="6"/>
      <c r="EV412" s="7">
        <f>ROUND(6367.5,2)</f>
        <v>6367.5</v>
      </c>
    </row>
    <row r="413" spans="1:152">
      <c r="A413" s="4" t="s">
        <v>939</v>
      </c>
      <c r="B413" s="4" t="s">
        <v>1058</v>
      </c>
      <c r="C413" s="5" t="s">
        <v>152</v>
      </c>
      <c r="D413" s="5" t="s">
        <v>281</v>
      </c>
      <c r="E413" s="5" t="s">
        <v>0</v>
      </c>
      <c r="F413" s="5" t="s">
        <v>0</v>
      </c>
      <c r="G413" s="5" t="s">
        <v>155</v>
      </c>
      <c r="H413" s="10">
        <v>24.32</v>
      </c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7">
        <f>ROUND(5,2)</f>
        <v>5</v>
      </c>
      <c r="AI413" s="6"/>
      <c r="AJ413" s="6"/>
      <c r="AK413" s="6"/>
      <c r="AL413" s="7">
        <f>ROUND(173.67,2)</f>
        <v>173.67</v>
      </c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  <c r="BA413" s="6"/>
      <c r="BB413" s="6"/>
      <c r="BC413" s="7">
        <f>ROUND(5,2)</f>
        <v>5</v>
      </c>
      <c r="BD413" s="6"/>
      <c r="BE413" s="7">
        <f>ROUND(7.5,2)</f>
        <v>7.5</v>
      </c>
      <c r="BF413" s="6"/>
      <c r="BG413" s="6"/>
      <c r="BH413" s="6"/>
      <c r="BI413" s="6"/>
      <c r="BJ413" s="6"/>
      <c r="BK413" s="6"/>
      <c r="BL413" s="6"/>
      <c r="BM413" s="7">
        <f>ROUND(25,2)</f>
        <v>25</v>
      </c>
      <c r="BN413" s="6"/>
      <c r="BO413" s="6"/>
      <c r="BP413" s="6"/>
      <c r="BQ413" s="6"/>
      <c r="BR413" s="6"/>
      <c r="BS413" s="6"/>
      <c r="BT413" s="6"/>
      <c r="BU413" s="6"/>
      <c r="BV413" s="6"/>
      <c r="BW413" s="6"/>
      <c r="BX413" s="6"/>
      <c r="BY413" s="6"/>
      <c r="BZ413" s="6"/>
      <c r="CA413" s="6"/>
      <c r="CB413" s="7">
        <f>ROUND(216.17,2)</f>
        <v>216.17</v>
      </c>
      <c r="CC413" s="6"/>
      <c r="CD413" s="6"/>
      <c r="CE413" s="6"/>
      <c r="CF413" s="6"/>
      <c r="CG413" s="6"/>
      <c r="CH413" s="6"/>
      <c r="CI413" s="6"/>
      <c r="CJ413" s="6"/>
      <c r="CK413" s="6"/>
      <c r="CL413" s="6"/>
      <c r="CM413" s="6"/>
      <c r="CN413" s="6"/>
      <c r="CO413" s="6"/>
      <c r="CP413" s="6"/>
      <c r="CQ413" s="6"/>
      <c r="CR413" s="6"/>
      <c r="CS413" s="6"/>
      <c r="CT413" s="6"/>
      <c r="CU413" s="6"/>
      <c r="CV413" s="6"/>
      <c r="CW413" s="6"/>
      <c r="CX413" s="6"/>
      <c r="CY413" s="6"/>
      <c r="CZ413" s="6"/>
      <c r="DA413" s="6"/>
      <c r="DB413" s="6"/>
      <c r="DC413" s="7">
        <f>ROUND(87.5,2)</f>
        <v>87.5</v>
      </c>
      <c r="DD413" s="6"/>
      <c r="DE413" s="6"/>
      <c r="DF413" s="6"/>
      <c r="DG413" s="6"/>
      <c r="DH413" s="6"/>
      <c r="DI413" s="7">
        <f>ROUND(3039.23,2)</f>
        <v>3039.23</v>
      </c>
      <c r="DJ413" s="6"/>
      <c r="DK413" s="6"/>
      <c r="DL413" s="6"/>
      <c r="DM413" s="6"/>
      <c r="DN413" s="6"/>
      <c r="DO413" s="6"/>
      <c r="DP413" s="6"/>
      <c r="DQ413" s="6"/>
      <c r="DR413" s="6"/>
      <c r="DS413" s="6"/>
      <c r="DT413" s="6"/>
      <c r="DU413" s="6"/>
      <c r="DV413" s="6"/>
      <c r="DW413" s="6"/>
      <c r="DX413" s="6"/>
      <c r="DY413" s="6"/>
      <c r="DZ413" s="6"/>
      <c r="EA413" s="6"/>
      <c r="EB413" s="6"/>
      <c r="EC413" s="6"/>
      <c r="ED413" s="6"/>
      <c r="EE413" s="6"/>
      <c r="EF413" s="6"/>
      <c r="EG413" s="6"/>
      <c r="EH413" s="6"/>
      <c r="EI413" s="6"/>
      <c r="EJ413" s="6"/>
      <c r="EK413" s="6"/>
      <c r="EL413" s="6"/>
      <c r="EM413" s="6"/>
      <c r="EN413" s="6"/>
      <c r="EO413" s="6"/>
      <c r="EP413" s="6"/>
      <c r="EQ413" s="6"/>
      <c r="ER413" s="6"/>
      <c r="ES413" s="6"/>
      <c r="ET413" s="6"/>
      <c r="EU413" s="6"/>
      <c r="EV413" s="7">
        <f>ROUND(3126.73,2)</f>
        <v>3126.73</v>
      </c>
    </row>
    <row r="414" spans="1:152">
      <c r="A414" s="4" t="s">
        <v>940</v>
      </c>
      <c r="B414" s="4" t="s">
        <v>1058</v>
      </c>
      <c r="C414" s="5" t="s">
        <v>152</v>
      </c>
      <c r="D414" s="5" t="s">
        <v>867</v>
      </c>
      <c r="E414" s="5" t="s">
        <v>319</v>
      </c>
      <c r="F414" s="5" t="s">
        <v>941</v>
      </c>
      <c r="G414" s="5" t="s">
        <v>155</v>
      </c>
      <c r="H414" s="10">
        <v>27.78</v>
      </c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  <c r="BA414" s="6"/>
      <c r="BB414" s="6"/>
      <c r="BC414" s="7">
        <f>ROUND(1360,2)</f>
        <v>1360</v>
      </c>
      <c r="BD414" s="6"/>
      <c r="BE414" s="6"/>
      <c r="BF414" s="6"/>
      <c r="BG414" s="6"/>
      <c r="BH414" s="7">
        <f>ROUND(32,2)</f>
        <v>32</v>
      </c>
      <c r="BI414" s="6"/>
      <c r="BJ414" s="6"/>
      <c r="BK414" s="6"/>
      <c r="BL414" s="6"/>
      <c r="BM414" s="7">
        <f>ROUND(216,2)</f>
        <v>216</v>
      </c>
      <c r="BN414" s="6"/>
      <c r="BO414" s="6"/>
      <c r="BP414" s="6"/>
      <c r="BQ414" s="6"/>
      <c r="BR414" s="6"/>
      <c r="BS414" s="6"/>
      <c r="BT414" s="6"/>
      <c r="BU414" s="6"/>
      <c r="BV414" s="6"/>
      <c r="BW414" s="6"/>
      <c r="BX414" s="6"/>
      <c r="BY414" s="6"/>
      <c r="BZ414" s="6"/>
      <c r="CA414" s="6"/>
      <c r="CB414" s="7">
        <f>ROUND(1608,2)</f>
        <v>1608</v>
      </c>
      <c r="CC414" s="6"/>
      <c r="CD414" s="6"/>
      <c r="CE414" s="6"/>
      <c r="CF414" s="6"/>
      <c r="CG414" s="6"/>
      <c r="CH414" s="6"/>
      <c r="CI414" s="6"/>
      <c r="CJ414" s="6"/>
      <c r="CK414" s="6"/>
      <c r="CL414" s="6"/>
      <c r="CM414" s="6"/>
      <c r="CN414" s="6"/>
      <c r="CO414" s="6"/>
      <c r="CP414" s="6"/>
      <c r="CQ414" s="6"/>
      <c r="CR414" s="6"/>
      <c r="CS414" s="6"/>
      <c r="CT414" s="6"/>
      <c r="CU414" s="6"/>
      <c r="CV414" s="6"/>
      <c r="CW414" s="6"/>
      <c r="CX414" s="6"/>
      <c r="CY414" s="6"/>
      <c r="CZ414" s="6"/>
      <c r="DA414" s="6"/>
      <c r="DB414" s="6"/>
      <c r="DC414" s="6"/>
      <c r="DD414" s="6"/>
      <c r="DE414" s="6"/>
      <c r="DF414" s="6"/>
      <c r="DG414" s="6"/>
      <c r="DH414" s="6"/>
      <c r="DI414" s="6"/>
      <c r="DJ414" s="6"/>
      <c r="DK414" s="6"/>
      <c r="DL414" s="6"/>
      <c r="DM414" s="6"/>
      <c r="DN414" s="6"/>
      <c r="DO414" s="6"/>
      <c r="DP414" s="6"/>
      <c r="DQ414" s="6"/>
      <c r="DR414" s="6"/>
      <c r="DS414" s="6"/>
      <c r="DT414" s="6"/>
      <c r="DU414" s="6"/>
      <c r="DV414" s="6"/>
      <c r="DW414" s="6"/>
      <c r="DX414" s="6"/>
      <c r="DY414" s="6"/>
      <c r="DZ414" s="6"/>
      <c r="EA414" s="6"/>
      <c r="EB414" s="6"/>
      <c r="EC414" s="6"/>
      <c r="ED414" s="6"/>
      <c r="EE414" s="6"/>
      <c r="EF414" s="6"/>
      <c r="EG414" s="6"/>
      <c r="EH414" s="6"/>
      <c r="EI414" s="6"/>
      <c r="EJ414" s="6"/>
      <c r="EK414" s="6"/>
      <c r="EL414" s="6"/>
      <c r="EM414" s="6"/>
      <c r="EN414" s="6"/>
      <c r="EO414" s="6"/>
      <c r="EP414" s="6"/>
      <c r="EQ414" s="6"/>
      <c r="ER414" s="6"/>
      <c r="ES414" s="6"/>
      <c r="ET414" s="6"/>
      <c r="EU414" s="6"/>
      <c r="EV414" s="6"/>
    </row>
    <row r="415" spans="1:152">
      <c r="A415" s="4" t="s">
        <v>942</v>
      </c>
      <c r="B415" s="4" t="s">
        <v>1058</v>
      </c>
      <c r="C415" s="5" t="s">
        <v>152</v>
      </c>
      <c r="D415" s="5" t="s">
        <v>930</v>
      </c>
      <c r="E415" s="5" t="s">
        <v>0</v>
      </c>
      <c r="F415" s="5" t="s">
        <v>0</v>
      </c>
      <c r="G415" s="5" t="s">
        <v>155</v>
      </c>
      <c r="H415" s="10">
        <v>30.4</v>
      </c>
      <c r="I415" s="6"/>
      <c r="J415" s="6"/>
      <c r="K415" s="6"/>
      <c r="L415" s="6"/>
      <c r="M415" s="7">
        <f>ROUND(1647.75,2)</f>
        <v>1647.75</v>
      </c>
      <c r="N415" s="6"/>
      <c r="O415" s="6"/>
      <c r="P415" s="7">
        <f>ROUND(210.82,2)</f>
        <v>210.82</v>
      </c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7">
        <f>ROUND(82,2)</f>
        <v>82</v>
      </c>
      <c r="AI415" s="6"/>
      <c r="AJ415" s="7">
        <f>ROUND(120,2)</f>
        <v>120</v>
      </c>
      <c r="AK415" s="6"/>
      <c r="AL415" s="7">
        <f>ROUND(0.62,2)</f>
        <v>0.62</v>
      </c>
      <c r="AM415" s="6"/>
      <c r="AN415" s="7">
        <f>ROUND(7.38,2)</f>
        <v>7.38</v>
      </c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  <c r="BA415" s="6"/>
      <c r="BB415" s="7">
        <f>ROUND(24,2)</f>
        <v>24</v>
      </c>
      <c r="BC415" s="7">
        <f>ROUND(82.58,2)</f>
        <v>82.58</v>
      </c>
      <c r="BD415" s="7">
        <f>ROUND(10.66,2)</f>
        <v>10.66</v>
      </c>
      <c r="BE415" s="7">
        <f>ROUND(32,2)</f>
        <v>32</v>
      </c>
      <c r="BF415" s="7">
        <f>ROUND(47.75,2)</f>
        <v>47.75</v>
      </c>
      <c r="BG415" s="7">
        <f>ROUND(92.2199999999999,2)</f>
        <v>92.22</v>
      </c>
      <c r="BH415" s="7">
        <f>ROUND(8,2)</f>
        <v>8</v>
      </c>
      <c r="BI415" s="6"/>
      <c r="BJ415" s="6"/>
      <c r="BK415" s="6"/>
      <c r="BL415" s="6"/>
      <c r="BM415" s="7">
        <f>ROUND(37.68,2)</f>
        <v>37.68</v>
      </c>
      <c r="BN415" s="6"/>
      <c r="BO415" s="6"/>
      <c r="BP415" s="6"/>
      <c r="BQ415" s="6"/>
      <c r="BR415" s="6"/>
      <c r="BS415" s="6"/>
      <c r="BT415" s="6"/>
      <c r="BU415" s="6"/>
      <c r="BV415" s="6"/>
      <c r="BW415" s="6"/>
      <c r="BX415" s="6"/>
      <c r="BY415" s="6"/>
      <c r="BZ415" s="6"/>
      <c r="CA415" s="6"/>
      <c r="CB415" s="7">
        <f>ROUND(2403.45999999999,2)</f>
        <v>2403.46</v>
      </c>
      <c r="CC415" s="6"/>
      <c r="CD415" s="6"/>
      <c r="CE415" s="6"/>
      <c r="CF415" s="6"/>
      <c r="CG415" s="7">
        <f>ROUND(46565.47,2)</f>
        <v>46565.47</v>
      </c>
      <c r="CH415" s="6"/>
      <c r="CI415" s="6"/>
      <c r="CJ415" s="7">
        <f>ROUND(8926.70999999999,2)</f>
        <v>8926.7099999999991</v>
      </c>
      <c r="CK415" s="6"/>
      <c r="CL415" s="6"/>
      <c r="CM415" s="6"/>
      <c r="CN415" s="6"/>
      <c r="CO415" s="6"/>
      <c r="CP415" s="6"/>
      <c r="CQ415" s="6"/>
      <c r="CR415" s="6"/>
      <c r="CS415" s="6"/>
      <c r="CT415" s="6"/>
      <c r="CU415" s="6"/>
      <c r="CV415" s="6"/>
      <c r="CW415" s="6"/>
      <c r="CX415" s="6"/>
      <c r="CY415" s="6"/>
      <c r="CZ415" s="6"/>
      <c r="DA415" s="6"/>
      <c r="DB415" s="6"/>
      <c r="DC415" s="7">
        <f>ROUND(2300.12,2)</f>
        <v>2300.12</v>
      </c>
      <c r="DD415" s="6"/>
      <c r="DE415" s="7">
        <f>ROUND(3333.6,2)</f>
        <v>3333.6</v>
      </c>
      <c r="DF415" s="6"/>
      <c r="DG415" s="6"/>
      <c r="DH415" s="6"/>
      <c r="DI415" s="7">
        <f>ROUND(17.22,2)</f>
        <v>17.22</v>
      </c>
      <c r="DJ415" s="6"/>
      <c r="DK415" s="7">
        <f>ROUND(307.52,2)</f>
        <v>307.52</v>
      </c>
      <c r="DL415" s="6"/>
      <c r="DM415" s="6"/>
      <c r="DN415" s="6"/>
      <c r="DO415" s="6"/>
      <c r="DP415" s="6"/>
      <c r="DQ415" s="6"/>
      <c r="DR415" s="7">
        <f>ROUND(500,2)</f>
        <v>500</v>
      </c>
      <c r="DS415" s="6"/>
      <c r="DT415" s="6"/>
      <c r="DU415" s="6"/>
      <c r="DV415" s="6"/>
      <c r="DW415" s="6"/>
      <c r="DX415" s="6"/>
      <c r="DY415" s="6"/>
      <c r="DZ415" s="6"/>
      <c r="EA415" s="6"/>
      <c r="EB415" s="6"/>
      <c r="EC415" s="7">
        <f>ROUND(1111.2,2)</f>
        <v>1111.2</v>
      </c>
      <c r="ED415" s="6"/>
      <c r="EE415" s="7">
        <f>ROUND(200,2)</f>
        <v>200</v>
      </c>
      <c r="EF415" s="6"/>
      <c r="EG415" s="6"/>
      <c r="EH415" s="6"/>
      <c r="EI415" s="6"/>
      <c r="EJ415" s="6"/>
      <c r="EK415" s="6"/>
      <c r="EL415" s="6"/>
      <c r="EM415" s="6"/>
      <c r="EN415" s="6"/>
      <c r="EO415" s="6"/>
      <c r="EP415" s="6"/>
      <c r="EQ415" s="7">
        <f>ROUND(1013.52,2)</f>
        <v>1013.52</v>
      </c>
      <c r="ER415" s="6"/>
      <c r="ES415" s="6"/>
      <c r="ET415" s="6"/>
      <c r="EU415" s="6"/>
      <c r="EV415" s="7">
        <f>ROUND(64275.36,2)</f>
        <v>64275.360000000001</v>
      </c>
    </row>
    <row r="416" spans="1:152">
      <c r="A416" s="4" t="s">
        <v>943</v>
      </c>
      <c r="B416" s="4" t="s">
        <v>1058</v>
      </c>
      <c r="C416" s="5" t="s">
        <v>152</v>
      </c>
      <c r="D416" s="5" t="s">
        <v>298</v>
      </c>
      <c r="E416" s="5" t="s">
        <v>944</v>
      </c>
      <c r="F416" s="5" t="s">
        <v>160</v>
      </c>
      <c r="G416" s="5" t="s">
        <v>155</v>
      </c>
      <c r="H416" s="10">
        <v>17.5</v>
      </c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7">
        <f>ROUND(1.17,2)</f>
        <v>1.17</v>
      </c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7">
        <f>ROUND(5,2)</f>
        <v>5</v>
      </c>
      <c r="AI416" s="6"/>
      <c r="AJ416" s="6"/>
      <c r="AK416" s="6"/>
      <c r="AL416" s="7">
        <f>ROUND(188.429999999999,2)</f>
        <v>188.43</v>
      </c>
      <c r="AM416" s="6"/>
      <c r="AN416" s="7">
        <f>ROUND(4.03,2)</f>
        <v>4.03</v>
      </c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  <c r="BA416" s="6"/>
      <c r="BB416" s="6"/>
      <c r="BC416" s="6"/>
      <c r="BD416" s="6"/>
      <c r="BE416" s="6"/>
      <c r="BF416" s="6"/>
      <c r="BG416" s="6"/>
      <c r="BH416" s="6"/>
      <c r="BI416" s="6"/>
      <c r="BJ416" s="6"/>
      <c r="BK416" s="6"/>
      <c r="BL416" s="6"/>
      <c r="BM416" s="6"/>
      <c r="BN416" s="6"/>
      <c r="BO416" s="6"/>
      <c r="BP416" s="6"/>
      <c r="BQ416" s="6"/>
      <c r="BR416" s="6"/>
      <c r="BS416" s="6"/>
      <c r="BT416" s="6"/>
      <c r="BU416" s="6"/>
      <c r="BV416" s="6"/>
      <c r="BW416" s="6"/>
      <c r="BX416" s="6"/>
      <c r="BY416" s="6"/>
      <c r="BZ416" s="6"/>
      <c r="CA416" s="6"/>
      <c r="CB416" s="7">
        <f>ROUND(198.63,2)</f>
        <v>198.63</v>
      </c>
      <c r="CC416" s="6"/>
      <c r="CD416" s="6"/>
      <c r="CE416" s="6"/>
      <c r="CF416" s="6"/>
      <c r="CG416" s="6"/>
      <c r="CH416" s="6"/>
      <c r="CI416" s="6"/>
      <c r="CJ416" s="6"/>
      <c r="CK416" s="6"/>
      <c r="CL416" s="6"/>
      <c r="CM416" s="6"/>
      <c r="CN416" s="6"/>
      <c r="CO416" s="6"/>
      <c r="CP416" s="6"/>
      <c r="CQ416" s="7">
        <f>ROUND(20.48,2)</f>
        <v>20.48</v>
      </c>
      <c r="CR416" s="6"/>
      <c r="CS416" s="6"/>
      <c r="CT416" s="6"/>
      <c r="CU416" s="6"/>
      <c r="CV416" s="6"/>
      <c r="CW416" s="6"/>
      <c r="CX416" s="6"/>
      <c r="CY416" s="6"/>
      <c r="CZ416" s="6"/>
      <c r="DA416" s="6"/>
      <c r="DB416" s="6"/>
      <c r="DC416" s="7">
        <f>ROUND(87.5,2)</f>
        <v>87.5</v>
      </c>
      <c r="DD416" s="6"/>
      <c r="DE416" s="6"/>
      <c r="DF416" s="6"/>
      <c r="DG416" s="6"/>
      <c r="DH416" s="6"/>
      <c r="DI416" s="7">
        <f>ROUND(3297.52999999999,2)</f>
        <v>3297.53</v>
      </c>
      <c r="DJ416" s="6"/>
      <c r="DK416" s="7">
        <f>ROUND(105.79,2)</f>
        <v>105.79</v>
      </c>
      <c r="DL416" s="6"/>
      <c r="DM416" s="6"/>
      <c r="DN416" s="6"/>
      <c r="DO416" s="6"/>
      <c r="DP416" s="6"/>
      <c r="DQ416" s="6"/>
      <c r="DR416" s="6"/>
      <c r="DS416" s="6"/>
      <c r="DT416" s="6"/>
      <c r="DU416" s="6"/>
      <c r="DV416" s="6"/>
      <c r="DW416" s="6"/>
      <c r="DX416" s="6"/>
      <c r="DY416" s="6"/>
      <c r="DZ416" s="6"/>
      <c r="EA416" s="6"/>
      <c r="EB416" s="6"/>
      <c r="EC416" s="6"/>
      <c r="ED416" s="6"/>
      <c r="EE416" s="6"/>
      <c r="EF416" s="6"/>
      <c r="EG416" s="6"/>
      <c r="EH416" s="6"/>
      <c r="EI416" s="6"/>
      <c r="EJ416" s="6"/>
      <c r="EK416" s="6"/>
      <c r="EL416" s="6"/>
      <c r="EM416" s="6"/>
      <c r="EN416" s="6"/>
      <c r="EO416" s="6"/>
      <c r="EP416" s="6"/>
      <c r="EQ416" s="6"/>
      <c r="ER416" s="6"/>
      <c r="ES416" s="6"/>
      <c r="ET416" s="6"/>
      <c r="EU416" s="6"/>
      <c r="EV416" s="7">
        <f>ROUND(3511.3,2)</f>
        <v>3511.3</v>
      </c>
    </row>
    <row r="417" spans="1:152">
      <c r="A417" s="4" t="s">
        <v>945</v>
      </c>
      <c r="B417" s="4" t="s">
        <v>1058</v>
      </c>
      <c r="C417" s="5" t="s">
        <v>152</v>
      </c>
      <c r="D417" s="5" t="s">
        <v>739</v>
      </c>
      <c r="E417" s="5" t="s">
        <v>0</v>
      </c>
      <c r="F417" s="5" t="s">
        <v>0</v>
      </c>
      <c r="G417" s="5" t="s">
        <v>155</v>
      </c>
      <c r="H417" s="10">
        <v>30.4</v>
      </c>
      <c r="I417" s="6"/>
      <c r="J417" s="6"/>
      <c r="K417" s="6"/>
      <c r="L417" s="6"/>
      <c r="M417" s="7">
        <f>ROUND(1671.73,2)</f>
        <v>1671.73</v>
      </c>
      <c r="N417" s="6"/>
      <c r="O417" s="6"/>
      <c r="P417" s="7">
        <f>ROUND(148.48,2)</f>
        <v>148.47999999999999</v>
      </c>
      <c r="Q417" s="6"/>
      <c r="R417" s="6"/>
      <c r="S417" s="6"/>
      <c r="T417" s="6"/>
      <c r="U417" s="7">
        <f>ROUND(26.07,2)</f>
        <v>26.07</v>
      </c>
      <c r="V417" s="6"/>
      <c r="W417" s="7">
        <f>ROUND(4.26,2)</f>
        <v>4.26</v>
      </c>
      <c r="X417" s="6"/>
      <c r="Y417" s="6"/>
      <c r="Z417" s="6"/>
      <c r="AA417" s="6"/>
      <c r="AB417" s="6"/>
      <c r="AC417" s="7">
        <f>ROUND(17.67,2)</f>
        <v>17.670000000000002</v>
      </c>
      <c r="AD417" s="6"/>
      <c r="AE417" s="6"/>
      <c r="AF417" s="7">
        <f>ROUND(78.38,2)</f>
        <v>78.38</v>
      </c>
      <c r="AG417" s="7">
        <f>ROUND(4.47,2)</f>
        <v>4.47</v>
      </c>
      <c r="AH417" s="7">
        <f>ROUND(96,2)</f>
        <v>96</v>
      </c>
      <c r="AI417" s="6"/>
      <c r="AJ417" s="7">
        <f>ROUND(40,2)</f>
        <v>40</v>
      </c>
      <c r="AK417" s="6"/>
      <c r="AL417" s="7">
        <f>ROUND(8,2)</f>
        <v>8</v>
      </c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7">
        <f>ROUND(31.25,2)</f>
        <v>31.25</v>
      </c>
      <c r="AY417" s="7">
        <f>ROUND(29.2399999999999,2)</f>
        <v>29.24</v>
      </c>
      <c r="AZ417" s="6"/>
      <c r="BA417" s="6"/>
      <c r="BB417" s="7">
        <f>ROUND(24,2)</f>
        <v>24</v>
      </c>
      <c r="BC417" s="7">
        <f>ROUND(8,2)</f>
        <v>8</v>
      </c>
      <c r="BD417" s="7">
        <f>ROUND(8,2)</f>
        <v>8</v>
      </c>
      <c r="BE417" s="7">
        <f>ROUND(8,2)</f>
        <v>8</v>
      </c>
      <c r="BF417" s="7">
        <f>ROUND(50.92,2)</f>
        <v>50.92</v>
      </c>
      <c r="BG417" s="7">
        <f>ROUND(81.34,2)</f>
        <v>81.34</v>
      </c>
      <c r="BH417" s="6"/>
      <c r="BI417" s="6"/>
      <c r="BJ417" s="6"/>
      <c r="BK417" s="6"/>
      <c r="BL417" s="6"/>
      <c r="BM417" s="7">
        <f>ROUND(18.08,2)</f>
        <v>18.079999999999998</v>
      </c>
      <c r="BN417" s="6"/>
      <c r="BO417" s="6"/>
      <c r="BP417" s="6"/>
      <c r="BQ417" s="6"/>
      <c r="BR417" s="6"/>
      <c r="BS417" s="6"/>
      <c r="BT417" s="6"/>
      <c r="BU417" s="6"/>
      <c r="BV417" s="6"/>
      <c r="BW417" s="6"/>
      <c r="BX417" s="6"/>
      <c r="BY417" s="6"/>
      <c r="BZ417" s="6"/>
      <c r="CA417" s="6"/>
      <c r="CB417" s="7">
        <f>ROUND(2353.88999999999,2)</f>
        <v>2353.89</v>
      </c>
      <c r="CC417" s="6"/>
      <c r="CD417" s="6"/>
      <c r="CE417" s="6"/>
      <c r="CF417" s="6"/>
      <c r="CG417" s="7">
        <f>ROUND(47060.11,2)</f>
        <v>47060.11</v>
      </c>
      <c r="CH417" s="6"/>
      <c r="CI417" s="6"/>
      <c r="CJ417" s="7">
        <f>ROUND(6205.4,2)</f>
        <v>6205.4</v>
      </c>
      <c r="CK417" s="6"/>
      <c r="CL417" s="6"/>
      <c r="CM417" s="6"/>
      <c r="CN417" s="6"/>
      <c r="CO417" s="7">
        <f>ROUND(724.949999999999,2)</f>
        <v>724.95</v>
      </c>
      <c r="CP417" s="6"/>
      <c r="CQ417" s="7">
        <f>ROUND(118.4,2)</f>
        <v>118.4</v>
      </c>
      <c r="CR417" s="6"/>
      <c r="CS417" s="6"/>
      <c r="CT417" s="6"/>
      <c r="CU417" s="6"/>
      <c r="CV417" s="6"/>
      <c r="CW417" s="7">
        <f>ROUND(490.88,2)</f>
        <v>490.88</v>
      </c>
      <c r="CX417" s="6"/>
      <c r="CY417" s="6"/>
      <c r="CZ417" s="6"/>
      <c r="DA417" s="7">
        <f>ROUND(2186.09,2)</f>
        <v>2186.09</v>
      </c>
      <c r="DB417" s="7">
        <f>ROUND(186.27,2)</f>
        <v>186.27</v>
      </c>
      <c r="DC417" s="7">
        <f>ROUND(2708.79999999999,2)</f>
        <v>2708.8</v>
      </c>
      <c r="DD417" s="6"/>
      <c r="DE417" s="7">
        <f>ROUND(1132.16,2)</f>
        <v>1132.1600000000001</v>
      </c>
      <c r="DF417" s="6"/>
      <c r="DG417" s="6"/>
      <c r="DH417" s="6"/>
      <c r="DI417" s="7">
        <f>ROUND(222.24,2)</f>
        <v>222.24</v>
      </c>
      <c r="DJ417" s="6"/>
      <c r="DK417" s="6"/>
      <c r="DL417" s="6"/>
      <c r="DM417" s="6"/>
      <c r="DN417" s="6"/>
      <c r="DO417" s="6"/>
      <c r="DP417" s="6"/>
      <c r="DQ417" s="6"/>
      <c r="DR417" s="7">
        <f>ROUND(500,2)</f>
        <v>500</v>
      </c>
      <c r="DS417" s="6"/>
      <c r="DT417" s="6"/>
      <c r="DU417" s="6"/>
      <c r="DV417" s="6"/>
      <c r="DW417" s="6"/>
      <c r="DX417" s="6"/>
      <c r="DY417" s="7">
        <f>ROUND(868.12,2)</f>
        <v>868.12</v>
      </c>
      <c r="DZ417" s="7">
        <f>ROUND(1218.42,2)</f>
        <v>1218.42</v>
      </c>
      <c r="EA417" s="6"/>
      <c r="EB417" s="6"/>
      <c r="EC417" s="7">
        <f>ROUND(888.96,2)</f>
        <v>888.96</v>
      </c>
      <c r="ED417" s="6"/>
      <c r="EE417" s="7">
        <f>ROUND(400,2)</f>
        <v>400</v>
      </c>
      <c r="EF417" s="6"/>
      <c r="EG417" s="6"/>
      <c r="EH417" s="6"/>
      <c r="EI417" s="6"/>
      <c r="EJ417" s="6"/>
      <c r="EK417" s="6"/>
      <c r="EL417" s="6"/>
      <c r="EM417" s="6"/>
      <c r="EN417" s="6"/>
      <c r="EO417" s="6"/>
      <c r="EP417" s="6"/>
      <c r="EQ417" s="7">
        <f>ROUND(1250,2)</f>
        <v>1250</v>
      </c>
      <c r="ER417" s="6"/>
      <c r="ES417" s="6"/>
      <c r="ET417" s="6"/>
      <c r="EU417" s="6"/>
      <c r="EV417" s="7">
        <f>ROUND(66160.8,2)</f>
        <v>66160.800000000003</v>
      </c>
    </row>
    <row r="418" spans="1:152">
      <c r="A418" s="4" t="s">
        <v>946</v>
      </c>
      <c r="B418" s="4" t="s">
        <v>1058</v>
      </c>
      <c r="C418" s="5" t="s">
        <v>211</v>
      </c>
      <c r="D418" s="5" t="s">
        <v>776</v>
      </c>
      <c r="E418" s="5" t="s">
        <v>947</v>
      </c>
      <c r="F418" s="5" t="s">
        <v>0</v>
      </c>
      <c r="G418" s="5" t="s">
        <v>213</v>
      </c>
      <c r="H418" s="10">
        <v>20.53</v>
      </c>
      <c r="I418" s="6"/>
      <c r="J418" s="6"/>
      <c r="K418" s="6"/>
      <c r="L418" s="6"/>
      <c r="M418" s="6"/>
      <c r="N418" s="6"/>
      <c r="O418" s="6"/>
      <c r="P418" s="6"/>
      <c r="Q418" s="7">
        <f>ROUND(712,2)</f>
        <v>712</v>
      </c>
      <c r="R418" s="7">
        <f>ROUND(47,2)</f>
        <v>47</v>
      </c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7">
        <f>ROUND(32,2)</f>
        <v>32</v>
      </c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  <c r="BA418" s="6"/>
      <c r="BB418" s="6"/>
      <c r="BC418" s="6"/>
      <c r="BD418" s="6"/>
      <c r="BE418" s="6"/>
      <c r="BF418" s="6"/>
      <c r="BG418" s="6"/>
      <c r="BH418" s="6"/>
      <c r="BI418" s="6"/>
      <c r="BJ418" s="6"/>
      <c r="BK418" s="6"/>
      <c r="BL418" s="6"/>
      <c r="BM418" s="6"/>
      <c r="BN418" s="6"/>
      <c r="BO418" s="6"/>
      <c r="BP418" s="6"/>
      <c r="BQ418" s="6"/>
      <c r="BR418" s="6"/>
      <c r="BS418" s="6"/>
      <c r="BT418" s="6"/>
      <c r="BU418" s="6"/>
      <c r="BV418" s="6"/>
      <c r="BW418" s="6"/>
      <c r="BX418" s="6"/>
      <c r="BY418" s="6"/>
      <c r="BZ418" s="6"/>
      <c r="CA418" s="6"/>
      <c r="CB418" s="7">
        <f>ROUND(791,2)</f>
        <v>791</v>
      </c>
      <c r="CC418" s="6"/>
      <c r="CD418" s="6"/>
      <c r="CE418" s="6"/>
      <c r="CF418" s="6"/>
      <c r="CG418" s="6"/>
      <c r="CH418" s="6"/>
      <c r="CI418" s="6"/>
      <c r="CJ418" s="6"/>
      <c r="CK418" s="7">
        <f>ROUND(12748.65,2)</f>
        <v>12748.65</v>
      </c>
      <c r="CL418" s="7">
        <f>ROUND(1243.43,2)</f>
        <v>1243.43</v>
      </c>
      <c r="CM418" s="6"/>
      <c r="CN418" s="6"/>
      <c r="CO418" s="6"/>
      <c r="CP418" s="6"/>
      <c r="CQ418" s="6"/>
      <c r="CR418" s="6"/>
      <c r="CS418" s="6"/>
      <c r="CT418" s="6"/>
      <c r="CU418" s="6"/>
      <c r="CV418" s="6"/>
      <c r="CW418" s="6"/>
      <c r="CX418" s="6"/>
      <c r="CY418" s="6"/>
      <c r="CZ418" s="6"/>
      <c r="DA418" s="6"/>
      <c r="DB418" s="6"/>
      <c r="DC418" s="7">
        <f>ROUND(584.22,2)</f>
        <v>584.22</v>
      </c>
      <c r="DD418" s="6"/>
      <c r="DE418" s="6"/>
      <c r="DF418" s="6"/>
      <c r="DG418" s="6"/>
      <c r="DH418" s="6"/>
      <c r="DI418" s="6"/>
      <c r="DJ418" s="6"/>
      <c r="DK418" s="6"/>
      <c r="DL418" s="6"/>
      <c r="DM418" s="6"/>
      <c r="DN418" s="6"/>
      <c r="DO418" s="6"/>
      <c r="DP418" s="6"/>
      <c r="DQ418" s="6"/>
      <c r="DR418" s="6"/>
      <c r="DS418" s="6"/>
      <c r="DT418" s="6"/>
      <c r="DU418" s="6"/>
      <c r="DV418" s="6"/>
      <c r="DW418" s="6"/>
      <c r="DX418" s="6"/>
      <c r="DY418" s="6"/>
      <c r="DZ418" s="6"/>
      <c r="EA418" s="6"/>
      <c r="EB418" s="6"/>
      <c r="EC418" s="6"/>
      <c r="ED418" s="6"/>
      <c r="EE418" s="6"/>
      <c r="EF418" s="6"/>
      <c r="EG418" s="6"/>
      <c r="EH418" s="6"/>
      <c r="EI418" s="6"/>
      <c r="EJ418" s="6"/>
      <c r="EK418" s="6"/>
      <c r="EL418" s="6"/>
      <c r="EM418" s="6"/>
      <c r="EN418" s="6"/>
      <c r="EO418" s="6"/>
      <c r="EP418" s="6"/>
      <c r="EQ418" s="6"/>
      <c r="ER418" s="6"/>
      <c r="ES418" s="6"/>
      <c r="ET418" s="6"/>
      <c r="EU418" s="6"/>
      <c r="EV418" s="7">
        <f>ROUND(14576.3,2)</f>
        <v>14576.3</v>
      </c>
    </row>
    <row r="419" spans="1:152">
      <c r="A419" s="4" t="s">
        <v>948</v>
      </c>
      <c r="B419" s="4"/>
      <c r="C419" s="5" t="s">
        <v>259</v>
      </c>
      <c r="D419" s="5" t="s">
        <v>260</v>
      </c>
      <c r="E419" s="5" t="s">
        <v>292</v>
      </c>
      <c r="F419" s="5" t="s">
        <v>0</v>
      </c>
      <c r="G419" s="5" t="s">
        <v>261</v>
      </c>
      <c r="H419" s="10">
        <v>16</v>
      </c>
      <c r="I419" s="7">
        <f>ROUND(16.5,2)</f>
        <v>16.5</v>
      </c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  <c r="BA419" s="6"/>
      <c r="BB419" s="6"/>
      <c r="BC419" s="6"/>
      <c r="BD419" s="6"/>
      <c r="BE419" s="6"/>
      <c r="BF419" s="6"/>
      <c r="BG419" s="6"/>
      <c r="BH419" s="6"/>
      <c r="BI419" s="6"/>
      <c r="BJ419" s="6"/>
      <c r="BK419" s="6"/>
      <c r="BL419" s="6"/>
      <c r="BM419" s="6"/>
      <c r="BN419" s="6"/>
      <c r="BO419" s="6"/>
      <c r="BP419" s="6"/>
      <c r="BQ419" s="6"/>
      <c r="BR419" s="6"/>
      <c r="BS419" s="6"/>
      <c r="BT419" s="6"/>
      <c r="BU419" s="6"/>
      <c r="BV419" s="6"/>
      <c r="BW419" s="6"/>
      <c r="BX419" s="6"/>
      <c r="BY419" s="6"/>
      <c r="BZ419" s="6"/>
      <c r="CA419" s="6"/>
      <c r="CB419" s="7">
        <f>ROUND(16.5,2)</f>
        <v>16.5</v>
      </c>
      <c r="CC419" s="7">
        <f>ROUND(264,2)</f>
        <v>264</v>
      </c>
      <c r="CD419" s="6"/>
      <c r="CE419" s="6"/>
      <c r="CF419" s="6"/>
      <c r="CG419" s="6"/>
      <c r="CH419" s="6"/>
      <c r="CI419" s="6"/>
      <c r="CJ419" s="6"/>
      <c r="CK419" s="6"/>
      <c r="CL419" s="6"/>
      <c r="CM419" s="6"/>
      <c r="CN419" s="6"/>
      <c r="CO419" s="6"/>
      <c r="CP419" s="6"/>
      <c r="CQ419" s="6"/>
      <c r="CR419" s="6"/>
      <c r="CS419" s="6"/>
      <c r="CT419" s="6"/>
      <c r="CU419" s="6"/>
      <c r="CV419" s="6"/>
      <c r="CW419" s="6"/>
      <c r="CX419" s="6"/>
      <c r="CY419" s="6"/>
      <c r="CZ419" s="6"/>
      <c r="DA419" s="6"/>
      <c r="DB419" s="6"/>
      <c r="DC419" s="6"/>
      <c r="DD419" s="6"/>
      <c r="DE419" s="6"/>
      <c r="DF419" s="6"/>
      <c r="DG419" s="6"/>
      <c r="DH419" s="6"/>
      <c r="DI419" s="6"/>
      <c r="DJ419" s="6"/>
      <c r="DK419" s="6"/>
      <c r="DL419" s="6"/>
      <c r="DM419" s="6"/>
      <c r="DN419" s="6"/>
      <c r="DO419" s="6"/>
      <c r="DP419" s="6"/>
      <c r="DQ419" s="6"/>
      <c r="DR419" s="6"/>
      <c r="DS419" s="6"/>
      <c r="DT419" s="6"/>
      <c r="DU419" s="6"/>
      <c r="DV419" s="6"/>
      <c r="DW419" s="6"/>
      <c r="DX419" s="6"/>
      <c r="DY419" s="6"/>
      <c r="DZ419" s="6"/>
      <c r="EA419" s="6"/>
      <c r="EB419" s="6"/>
      <c r="EC419" s="6"/>
      <c r="ED419" s="6"/>
      <c r="EE419" s="6"/>
      <c r="EF419" s="6"/>
      <c r="EG419" s="6"/>
      <c r="EH419" s="6"/>
      <c r="EI419" s="6"/>
      <c r="EJ419" s="6"/>
      <c r="EK419" s="6"/>
      <c r="EL419" s="6"/>
      <c r="EM419" s="6"/>
      <c r="EN419" s="6"/>
      <c r="EO419" s="6"/>
      <c r="EP419" s="6"/>
      <c r="EQ419" s="6"/>
      <c r="ER419" s="6"/>
      <c r="ES419" s="6"/>
      <c r="ET419" s="6"/>
      <c r="EU419" s="6"/>
      <c r="EV419" s="7">
        <f>ROUND(264,2)</f>
        <v>264</v>
      </c>
    </row>
    <row r="420" spans="1:152" ht="24">
      <c r="A420" s="4" t="s">
        <v>949</v>
      </c>
      <c r="B420" s="4"/>
      <c r="C420" s="5" t="s">
        <v>259</v>
      </c>
      <c r="D420" s="5" t="s">
        <v>950</v>
      </c>
      <c r="E420" s="5" t="s">
        <v>0</v>
      </c>
      <c r="F420" s="5" t="s">
        <v>0</v>
      </c>
      <c r="G420" s="5" t="s">
        <v>951</v>
      </c>
      <c r="H420" s="10">
        <v>1061</v>
      </c>
      <c r="I420" s="7">
        <f>ROUND(1408,2)</f>
        <v>1408</v>
      </c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  <c r="BA420" s="6"/>
      <c r="BB420" s="6"/>
      <c r="BC420" s="6"/>
      <c r="BD420" s="6"/>
      <c r="BE420" s="6"/>
      <c r="BF420" s="6"/>
      <c r="BG420" s="6"/>
      <c r="BH420" s="7">
        <f>ROUND(24,2)</f>
        <v>24</v>
      </c>
      <c r="BI420" s="6"/>
      <c r="BJ420" s="6"/>
      <c r="BK420" s="6"/>
      <c r="BL420" s="6"/>
      <c r="BM420" s="6"/>
      <c r="BN420" s="6"/>
      <c r="BO420" s="6"/>
      <c r="BP420" s="6"/>
      <c r="BQ420" s="6"/>
      <c r="BR420" s="6"/>
      <c r="BS420" s="6"/>
      <c r="BT420" s="7">
        <f>ROUND(32,2)</f>
        <v>32</v>
      </c>
      <c r="BU420" s="7">
        <f>ROUND(32,2)</f>
        <v>32</v>
      </c>
      <c r="BV420" s="6"/>
      <c r="BW420" s="6"/>
      <c r="BX420" s="6"/>
      <c r="BY420" s="7">
        <f>ROUND(136,2)</f>
        <v>136</v>
      </c>
      <c r="BZ420" s="6"/>
      <c r="CA420" s="6"/>
      <c r="CB420" s="7">
        <f>ROUND(1632,2)</f>
        <v>1632</v>
      </c>
      <c r="CC420" s="7">
        <f>ROUND(48314.59,2)</f>
        <v>48314.59</v>
      </c>
      <c r="CD420" s="6"/>
      <c r="CE420" s="6"/>
      <c r="CF420" s="6"/>
      <c r="CG420" s="6"/>
      <c r="CH420" s="6"/>
      <c r="CI420" s="6"/>
      <c r="CJ420" s="6"/>
      <c r="CK420" s="6"/>
      <c r="CL420" s="6"/>
      <c r="CM420" s="6"/>
      <c r="CN420" s="6"/>
      <c r="CO420" s="6"/>
      <c r="CP420" s="6"/>
      <c r="CQ420" s="6"/>
      <c r="CR420" s="6"/>
      <c r="CS420" s="6"/>
      <c r="CT420" s="6"/>
      <c r="CU420" s="6"/>
      <c r="CV420" s="6"/>
      <c r="CW420" s="6"/>
      <c r="CX420" s="6"/>
      <c r="CY420" s="6"/>
      <c r="CZ420" s="6"/>
      <c r="DA420" s="6"/>
      <c r="DB420" s="6"/>
      <c r="DC420" s="6"/>
      <c r="DD420" s="6"/>
      <c r="DE420" s="6"/>
      <c r="DF420" s="6"/>
      <c r="DG420" s="6"/>
      <c r="DH420" s="6"/>
      <c r="DI420" s="6"/>
      <c r="DJ420" s="6"/>
      <c r="DK420" s="6"/>
      <c r="DL420" s="6"/>
      <c r="DM420" s="6"/>
      <c r="DN420" s="7">
        <f>ROUND(295,2)</f>
        <v>295</v>
      </c>
      <c r="DO420" s="6"/>
      <c r="DP420" s="6"/>
      <c r="DQ420" s="6"/>
      <c r="DR420" s="6"/>
      <c r="DS420" s="6"/>
      <c r="DT420" s="6"/>
      <c r="DU420" s="6"/>
      <c r="DV420" s="6"/>
      <c r="DW420" s="6"/>
      <c r="DX420" s="6"/>
      <c r="DY420" s="6"/>
      <c r="DZ420" s="6"/>
      <c r="EA420" s="6"/>
      <c r="EB420" s="6"/>
      <c r="EC420" s="6"/>
      <c r="ED420" s="6"/>
      <c r="EE420" s="7">
        <f>ROUND(2546.88,2)</f>
        <v>2546.88</v>
      </c>
      <c r="EF420" s="6"/>
      <c r="EG420" s="7">
        <f>ROUND(576.9,2)</f>
        <v>576.9</v>
      </c>
      <c r="EH420" s="7">
        <f>ROUND(576.9,2)</f>
        <v>576.9</v>
      </c>
      <c r="EI420" s="6"/>
      <c r="EJ420" s="6"/>
      <c r="EK420" s="6"/>
      <c r="EL420" s="6"/>
      <c r="EM420" s="6"/>
      <c r="EN420" s="6"/>
      <c r="EO420" s="6"/>
      <c r="EP420" s="6"/>
      <c r="EQ420" s="6"/>
      <c r="ER420" s="6"/>
      <c r="ES420" s="7">
        <f>ROUND(1538.43,2)</f>
        <v>1538.43</v>
      </c>
      <c r="ET420" s="6"/>
      <c r="EU420" s="6"/>
      <c r="EV420" s="7">
        <f>ROUND(53848.6999999999,2)</f>
        <v>53848.7</v>
      </c>
    </row>
    <row r="421" spans="1:152">
      <c r="A421" s="4" t="s">
        <v>952</v>
      </c>
      <c r="B421" s="4" t="s">
        <v>1058</v>
      </c>
      <c r="C421" s="5" t="s">
        <v>152</v>
      </c>
      <c r="D421" s="5" t="s">
        <v>153</v>
      </c>
      <c r="E421" s="5" t="s">
        <v>0</v>
      </c>
      <c r="F421" s="5" t="s">
        <v>0</v>
      </c>
      <c r="G421" s="5" t="s">
        <v>155</v>
      </c>
      <c r="H421" s="10">
        <v>30.4</v>
      </c>
      <c r="I421" s="6"/>
      <c r="J421" s="6"/>
      <c r="K421" s="6"/>
      <c r="L421" s="6"/>
      <c r="M421" s="7">
        <f>ROUND(636.12,2)</f>
        <v>636.12</v>
      </c>
      <c r="N421" s="6"/>
      <c r="O421" s="6"/>
      <c r="P421" s="7">
        <f>ROUND(67.8099999999999,2)</f>
        <v>67.81</v>
      </c>
      <c r="Q421" s="6"/>
      <c r="R421" s="6"/>
      <c r="S421" s="6"/>
      <c r="T421" s="6"/>
      <c r="U421" s="6"/>
      <c r="V421" s="6"/>
      <c r="W421" s="7">
        <f>ROUND(1.21,2)</f>
        <v>1.21</v>
      </c>
      <c r="X421" s="6"/>
      <c r="Y421" s="6"/>
      <c r="Z421" s="6"/>
      <c r="AA421" s="6"/>
      <c r="AB421" s="6"/>
      <c r="AC421" s="7">
        <f>ROUND(87.75,2)</f>
        <v>87.75</v>
      </c>
      <c r="AD421" s="7">
        <f>ROUND(2.4,2)</f>
        <v>2.4</v>
      </c>
      <c r="AE421" s="6"/>
      <c r="AF421" s="7">
        <f>ROUND(86.1999999999999,2)</f>
        <v>86.2</v>
      </c>
      <c r="AG421" s="7">
        <f>ROUND(2.46999999999999,2)</f>
        <v>2.4700000000000002</v>
      </c>
      <c r="AH421" s="7">
        <f>ROUND(56,2)</f>
        <v>56</v>
      </c>
      <c r="AI421" s="6"/>
      <c r="AJ421" s="7">
        <f>ROUND(40,2)</f>
        <v>40</v>
      </c>
      <c r="AK421" s="6"/>
      <c r="AL421" s="7">
        <f>ROUND(7.42,2)</f>
        <v>7.42</v>
      </c>
      <c r="AM421" s="6"/>
      <c r="AN421" s="7">
        <f>ROUND(1.08,2)</f>
        <v>1.08</v>
      </c>
      <c r="AO421" s="6"/>
      <c r="AP421" s="7">
        <f>ROUND(25.5,2)</f>
        <v>25.5</v>
      </c>
      <c r="AQ421" s="6"/>
      <c r="AR421" s="6"/>
      <c r="AS421" s="6"/>
      <c r="AT421" s="6"/>
      <c r="AU421" s="6"/>
      <c r="AV421" s="6"/>
      <c r="AW421" s="6"/>
      <c r="AX421" s="6"/>
      <c r="AY421" s="6"/>
      <c r="AZ421" s="6"/>
      <c r="BA421" s="6"/>
      <c r="BB421" s="6"/>
      <c r="BC421" s="7">
        <f>ROUND(1232,2)</f>
        <v>1232</v>
      </c>
      <c r="BD421" s="6"/>
      <c r="BE421" s="6"/>
      <c r="BF421" s="6"/>
      <c r="BG421" s="6"/>
      <c r="BH421" s="7">
        <f>ROUND(24,2)</f>
        <v>24</v>
      </c>
      <c r="BI421" s="6"/>
      <c r="BJ421" s="6"/>
      <c r="BK421" s="6"/>
      <c r="BL421" s="6"/>
      <c r="BM421" s="7">
        <f>ROUND(8,2)</f>
        <v>8</v>
      </c>
      <c r="BN421" s="6"/>
      <c r="BO421" s="6"/>
      <c r="BP421" s="6"/>
      <c r="BQ421" s="6"/>
      <c r="BR421" s="6"/>
      <c r="BS421" s="6"/>
      <c r="BT421" s="6"/>
      <c r="BU421" s="6"/>
      <c r="BV421" s="6"/>
      <c r="BW421" s="6"/>
      <c r="BX421" s="6"/>
      <c r="BY421" s="6"/>
      <c r="BZ421" s="6"/>
      <c r="CA421" s="7">
        <f>ROUND(40,2)</f>
        <v>40</v>
      </c>
      <c r="CB421" s="7">
        <f>ROUND(2317.96,2)</f>
        <v>2317.96</v>
      </c>
      <c r="CC421" s="6"/>
      <c r="CD421" s="6"/>
      <c r="CE421" s="6"/>
      <c r="CF421" s="6"/>
      <c r="CG421" s="7">
        <f>ROUND(15796.6399999999,2)</f>
        <v>15796.64</v>
      </c>
      <c r="CH421" s="6"/>
      <c r="CI421" s="6"/>
      <c r="CJ421" s="7">
        <f>ROUND(2685.18,2)</f>
        <v>2685.18</v>
      </c>
      <c r="CK421" s="6"/>
      <c r="CL421" s="6"/>
      <c r="CM421" s="6"/>
      <c r="CN421" s="6"/>
      <c r="CO421" s="6"/>
      <c r="CP421" s="6"/>
      <c r="CQ421" s="7">
        <f>ROUND(34.53,2)</f>
        <v>34.53</v>
      </c>
      <c r="CR421" s="6"/>
      <c r="CS421" s="6"/>
      <c r="CT421" s="6"/>
      <c r="CU421" s="6"/>
      <c r="CV421" s="6"/>
      <c r="CW421" s="7">
        <f>ROUND(2336.47,2)</f>
        <v>2336.4699999999998</v>
      </c>
      <c r="CX421" s="7">
        <f>ROUND(109.44,2)</f>
        <v>109.44</v>
      </c>
      <c r="CY421" s="6"/>
      <c r="CZ421" s="6"/>
      <c r="DA421" s="7">
        <f>ROUND(2597.31,2)</f>
        <v>2597.31</v>
      </c>
      <c r="DB421" s="7">
        <f>ROUND(112.72,2)</f>
        <v>112.72</v>
      </c>
      <c r="DC421" s="7">
        <f>ROUND(1419.8,2)</f>
        <v>1419.8</v>
      </c>
      <c r="DD421" s="6"/>
      <c r="DE421" s="7">
        <f>ROUND(1046.44,2)</f>
        <v>1046.44</v>
      </c>
      <c r="DF421" s="6"/>
      <c r="DG421" s="6"/>
      <c r="DH421" s="6"/>
      <c r="DI421" s="7">
        <f>ROUND(173.15,2)</f>
        <v>173.15</v>
      </c>
      <c r="DJ421" s="6"/>
      <c r="DK421" s="7">
        <f>ROUND(37.8,2)</f>
        <v>37.799999999999997</v>
      </c>
      <c r="DL421" s="6"/>
      <c r="DM421" s="7">
        <f>ROUND(595.04,2)</f>
        <v>595.04</v>
      </c>
      <c r="DN421" s="6"/>
      <c r="DO421" s="6"/>
      <c r="DP421" s="6"/>
      <c r="DQ421" s="6"/>
      <c r="DR421" s="7">
        <f>ROUND(500,2)</f>
        <v>500</v>
      </c>
      <c r="DS421" s="6"/>
      <c r="DT421" s="6"/>
      <c r="DU421" s="6"/>
      <c r="DV421" s="6"/>
      <c r="DW421" s="6"/>
      <c r="DX421" s="6"/>
      <c r="DY421" s="6"/>
      <c r="DZ421" s="6"/>
      <c r="EA421" s="6"/>
      <c r="EB421" s="6"/>
      <c r="EC421" s="6"/>
      <c r="ED421" s="6"/>
      <c r="EE421" s="7">
        <f>ROUND(325,2)</f>
        <v>325</v>
      </c>
      <c r="EF421" s="6"/>
      <c r="EG421" s="6"/>
      <c r="EH421" s="6"/>
      <c r="EI421" s="6"/>
      <c r="EJ421" s="6"/>
      <c r="EK421" s="6"/>
      <c r="EL421" s="6"/>
      <c r="EM421" s="6"/>
      <c r="EN421" s="6"/>
      <c r="EO421" s="6"/>
      <c r="EP421" s="6"/>
      <c r="EQ421" s="7">
        <f>ROUND(767.52,2)</f>
        <v>767.52</v>
      </c>
      <c r="ER421" s="7">
        <f>ROUND(2656.04,2)</f>
        <v>2656.04</v>
      </c>
      <c r="ES421" s="6"/>
      <c r="ET421" s="6"/>
      <c r="EU421" s="7">
        <f>ROUND(1216,2)</f>
        <v>1216</v>
      </c>
      <c r="EV421" s="7">
        <f>ROUND(32409.0799999999,2)</f>
        <v>32409.08</v>
      </c>
    </row>
    <row r="422" spans="1:152">
      <c r="A422" s="4" t="s">
        <v>953</v>
      </c>
      <c r="B422" s="4" t="s">
        <v>1058</v>
      </c>
      <c r="C422" s="5" t="s">
        <v>152</v>
      </c>
      <c r="D422" s="5" t="s">
        <v>677</v>
      </c>
      <c r="E422" s="5" t="s">
        <v>0</v>
      </c>
      <c r="F422" s="5" t="s">
        <v>0</v>
      </c>
      <c r="G422" s="5" t="s">
        <v>155</v>
      </c>
      <c r="H422" s="10">
        <v>30.4</v>
      </c>
      <c r="I422" s="6"/>
      <c r="J422" s="6"/>
      <c r="K422" s="6"/>
      <c r="L422" s="6"/>
      <c r="M422" s="7">
        <f>ROUND(1378.01999999999,2)</f>
        <v>1378.02</v>
      </c>
      <c r="N422" s="6"/>
      <c r="O422" s="6"/>
      <c r="P422" s="6"/>
      <c r="Q422" s="6"/>
      <c r="R422" s="6"/>
      <c r="S422" s="6"/>
      <c r="T422" s="7">
        <f>ROUND(0.23,2)</f>
        <v>0.23</v>
      </c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7">
        <f>ROUND(40,2)</f>
        <v>40</v>
      </c>
      <c r="AI422" s="6"/>
      <c r="AJ422" s="7">
        <f>ROUND(50,2)</f>
        <v>50</v>
      </c>
      <c r="AK422" s="6"/>
      <c r="AL422" s="7">
        <f>ROUND(8.5,2)</f>
        <v>8.5</v>
      </c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  <c r="BA422" s="6"/>
      <c r="BB422" s="7">
        <f>ROUND(15,2)</f>
        <v>15</v>
      </c>
      <c r="BC422" s="6"/>
      <c r="BD422" s="6"/>
      <c r="BE422" s="6"/>
      <c r="BF422" s="6"/>
      <c r="BG422" s="6"/>
      <c r="BH422" s="6"/>
      <c r="BI422" s="6"/>
      <c r="BJ422" s="6"/>
      <c r="BK422" s="6"/>
      <c r="BL422" s="6"/>
      <c r="BM422" s="6"/>
      <c r="BN422" s="6"/>
      <c r="BO422" s="6"/>
      <c r="BP422" s="6"/>
      <c r="BQ422" s="6"/>
      <c r="BR422" s="6"/>
      <c r="BS422" s="6"/>
      <c r="BT422" s="6"/>
      <c r="BU422" s="6"/>
      <c r="BV422" s="6"/>
      <c r="BW422" s="6"/>
      <c r="BX422" s="6"/>
      <c r="BY422" s="6"/>
      <c r="BZ422" s="6"/>
      <c r="CA422" s="7">
        <f>ROUND(25,2)</f>
        <v>25</v>
      </c>
      <c r="CB422" s="7">
        <f>ROUND(1516.74999999999,2)</f>
        <v>1516.75</v>
      </c>
      <c r="CC422" s="6"/>
      <c r="CD422" s="6"/>
      <c r="CE422" s="6"/>
      <c r="CF422" s="6"/>
      <c r="CG422" s="7">
        <f>ROUND(38794.81,2)</f>
        <v>38794.81</v>
      </c>
      <c r="CH422" s="6"/>
      <c r="CI422" s="6"/>
      <c r="CJ422" s="6"/>
      <c r="CK422" s="6"/>
      <c r="CL422" s="6"/>
      <c r="CM422" s="6"/>
      <c r="CN422" s="7">
        <f>ROUND(12.78,2)</f>
        <v>12.78</v>
      </c>
      <c r="CO422" s="6"/>
      <c r="CP422" s="6"/>
      <c r="CQ422" s="6"/>
      <c r="CR422" s="6"/>
      <c r="CS422" s="6"/>
      <c r="CT422" s="6"/>
      <c r="CU422" s="6"/>
      <c r="CV422" s="6"/>
      <c r="CW422" s="6"/>
      <c r="CX422" s="6"/>
      <c r="CY422" s="6"/>
      <c r="CZ422" s="6"/>
      <c r="DA422" s="6"/>
      <c r="DB422" s="6"/>
      <c r="DC422" s="7">
        <f>ROUND(1137.4,2)</f>
        <v>1137.4000000000001</v>
      </c>
      <c r="DD422" s="6"/>
      <c r="DE422" s="7">
        <f>ROUND(1402.1,2)</f>
        <v>1402.1</v>
      </c>
      <c r="DF422" s="6"/>
      <c r="DG422" s="6"/>
      <c r="DH422" s="6"/>
      <c r="DI422" s="7">
        <f>ROUND(236.13,2)</f>
        <v>236.13</v>
      </c>
      <c r="DJ422" s="6"/>
      <c r="DK422" s="6"/>
      <c r="DL422" s="6"/>
      <c r="DM422" s="6"/>
      <c r="DN422" s="6"/>
      <c r="DO422" s="6"/>
      <c r="DP422" s="6"/>
      <c r="DQ422" s="6"/>
      <c r="DR422" s="6"/>
      <c r="DS422" s="6"/>
      <c r="DT422" s="6"/>
      <c r="DU422" s="6"/>
      <c r="DV422" s="6"/>
      <c r="DW422" s="6"/>
      <c r="DX422" s="6"/>
      <c r="DY422" s="6"/>
      <c r="DZ422" s="6"/>
      <c r="EA422" s="6"/>
      <c r="EB422" s="6"/>
      <c r="EC422" s="6"/>
      <c r="ED422" s="6"/>
      <c r="EE422" s="7">
        <f>ROUND(750,2)</f>
        <v>750</v>
      </c>
      <c r="EF422" s="6"/>
      <c r="EG422" s="6"/>
      <c r="EH422" s="6"/>
      <c r="EI422" s="6"/>
      <c r="EJ422" s="6"/>
      <c r="EK422" s="6"/>
      <c r="EL422" s="6"/>
      <c r="EM422" s="6"/>
      <c r="EN422" s="6"/>
      <c r="EO422" s="6"/>
      <c r="EP422" s="6"/>
      <c r="EQ422" s="7">
        <f>ROUND(625,2)</f>
        <v>625</v>
      </c>
      <c r="ER422" s="6"/>
      <c r="ES422" s="6"/>
      <c r="ET422" s="6"/>
      <c r="EU422" s="7">
        <f>ROUND(760,2)</f>
        <v>760</v>
      </c>
      <c r="EV422" s="7">
        <f>ROUND(43718.22,2)</f>
        <v>43718.22</v>
      </c>
    </row>
    <row r="423" spans="1:152" ht="24">
      <c r="A423" s="4" t="s">
        <v>954</v>
      </c>
      <c r="B423" s="4"/>
      <c r="C423" s="5" t="s">
        <v>720</v>
      </c>
      <c r="D423" s="5" t="s">
        <v>955</v>
      </c>
      <c r="E423" s="5" t="s">
        <v>0</v>
      </c>
      <c r="F423" s="5" t="s">
        <v>0</v>
      </c>
      <c r="G423" s="5" t="s">
        <v>956</v>
      </c>
      <c r="H423" s="10">
        <v>1471.03</v>
      </c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7">
        <f>ROUND(44,2)</f>
        <v>44</v>
      </c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  <c r="BA423" s="6"/>
      <c r="BB423" s="6"/>
      <c r="BC423" s="6"/>
      <c r="BD423" s="6"/>
      <c r="BE423" s="6"/>
      <c r="BF423" s="6"/>
      <c r="BG423" s="6"/>
      <c r="BH423" s="7">
        <f>ROUND(24,2)</f>
        <v>24</v>
      </c>
      <c r="BI423" s="6"/>
      <c r="BJ423" s="6"/>
      <c r="BK423" s="6"/>
      <c r="BL423" s="6"/>
      <c r="BM423" s="6"/>
      <c r="BN423" s="6"/>
      <c r="BO423" s="6"/>
      <c r="BP423" s="6"/>
      <c r="BQ423" s="6"/>
      <c r="BR423" s="6"/>
      <c r="BS423" s="6"/>
      <c r="BT423" s="7">
        <f>ROUND(32,2)</f>
        <v>32</v>
      </c>
      <c r="BU423" s="7">
        <f>ROUND(32,2)</f>
        <v>32</v>
      </c>
      <c r="BV423" s="6"/>
      <c r="BW423" s="6"/>
      <c r="BX423" s="6"/>
      <c r="BY423" s="7">
        <f>ROUND(136,2)</f>
        <v>136</v>
      </c>
      <c r="BZ423" s="6"/>
      <c r="CA423" s="6"/>
      <c r="CB423" s="7">
        <f>ROUND(268,2)</f>
        <v>268</v>
      </c>
      <c r="CC423" s="7">
        <f>ROUND(71727.82,2)</f>
        <v>71727.820000000007</v>
      </c>
      <c r="CD423" s="6"/>
      <c r="CE423" s="6"/>
      <c r="CF423" s="6"/>
      <c r="CG423" s="6"/>
      <c r="CH423" s="6"/>
      <c r="CI423" s="6"/>
      <c r="CJ423" s="6"/>
      <c r="CK423" s="6"/>
      <c r="CL423" s="6"/>
      <c r="CM423" s="6"/>
      <c r="CN423" s="6"/>
      <c r="CO423" s="6"/>
      <c r="CP423" s="6"/>
      <c r="CQ423" s="6"/>
      <c r="CR423" s="6"/>
      <c r="CS423" s="6"/>
      <c r="CT423" s="6"/>
      <c r="CU423" s="6"/>
      <c r="CV423" s="6"/>
      <c r="CW423" s="6"/>
      <c r="CX423" s="6"/>
      <c r="CY423" s="6"/>
      <c r="CZ423" s="6"/>
      <c r="DA423" s="6"/>
      <c r="DB423" s="6"/>
      <c r="DC423" s="6"/>
      <c r="DD423" s="6"/>
      <c r="DE423" s="6"/>
      <c r="DF423" s="6"/>
      <c r="DG423" s="6"/>
      <c r="DH423" s="6"/>
      <c r="DI423" s="6"/>
      <c r="DJ423" s="6"/>
      <c r="DK423" s="6"/>
      <c r="DL423" s="6"/>
      <c r="DM423" s="6"/>
      <c r="DN423" s="6"/>
      <c r="DO423" s="6"/>
      <c r="DP423" s="6"/>
      <c r="DQ423" s="6"/>
      <c r="DR423" s="6"/>
      <c r="DS423" s="6"/>
      <c r="DT423" s="6"/>
      <c r="DU423" s="6"/>
      <c r="DV423" s="6"/>
      <c r="DW423" s="6"/>
      <c r="DX423" s="6"/>
      <c r="DY423" s="6"/>
      <c r="DZ423" s="6"/>
      <c r="EA423" s="6"/>
      <c r="EB423" s="6"/>
      <c r="EC423" s="6"/>
      <c r="ED423" s="6"/>
      <c r="EE423" s="7">
        <f>ROUND(3530.88,2)</f>
        <v>3530.88</v>
      </c>
      <c r="EF423" s="6"/>
      <c r="EG423" s="6"/>
      <c r="EH423" s="6"/>
      <c r="EI423" s="6"/>
      <c r="EJ423" s="6"/>
      <c r="EK423" s="6"/>
      <c r="EL423" s="6"/>
      <c r="EM423" s="6"/>
      <c r="EN423" s="6"/>
      <c r="EO423" s="6"/>
      <c r="EP423" s="6"/>
      <c r="EQ423" s="6"/>
      <c r="ER423" s="6"/>
      <c r="ES423" s="7">
        <f>ROUND(2288.2,2)</f>
        <v>2288.1999999999998</v>
      </c>
      <c r="ET423" s="6"/>
      <c r="EU423" s="6"/>
      <c r="EV423" s="7">
        <f>ROUND(77546.9,2)</f>
        <v>77546.899999999994</v>
      </c>
    </row>
    <row r="424" spans="1:152">
      <c r="A424" s="4" t="s">
        <v>957</v>
      </c>
      <c r="B424" s="4" t="s">
        <v>1058</v>
      </c>
      <c r="C424" s="5" t="s">
        <v>152</v>
      </c>
      <c r="D424" s="5" t="s">
        <v>199</v>
      </c>
      <c r="E424" s="5" t="s">
        <v>0</v>
      </c>
      <c r="F424" s="5" t="s">
        <v>0</v>
      </c>
      <c r="G424" s="5" t="s">
        <v>155</v>
      </c>
      <c r="H424" s="10">
        <v>30.4</v>
      </c>
      <c r="I424" s="6"/>
      <c r="J424" s="6"/>
      <c r="K424" s="6"/>
      <c r="L424" s="6"/>
      <c r="M424" s="7">
        <f>ROUND(892.839999999999,2)</f>
        <v>892.84</v>
      </c>
      <c r="N424" s="6"/>
      <c r="O424" s="6"/>
      <c r="P424" s="7">
        <f>ROUND(156.91,2)</f>
        <v>156.91</v>
      </c>
      <c r="Q424" s="6"/>
      <c r="R424" s="6"/>
      <c r="S424" s="6"/>
      <c r="T424" s="6"/>
      <c r="U424" s="7">
        <f>ROUND(76.68,2)</f>
        <v>76.680000000000007</v>
      </c>
      <c r="V424" s="7">
        <f>ROUND(5.52,2)</f>
        <v>5.52</v>
      </c>
      <c r="W424" s="7">
        <f>ROUND(14.56,2)</f>
        <v>14.56</v>
      </c>
      <c r="X424" s="7">
        <f>ROUND(1.9,2)</f>
        <v>1.9</v>
      </c>
      <c r="Y424" s="6"/>
      <c r="Z424" s="6"/>
      <c r="AA424" s="6"/>
      <c r="AB424" s="6"/>
      <c r="AC424" s="7">
        <f>ROUND(192.07,2)</f>
        <v>192.07</v>
      </c>
      <c r="AD424" s="7">
        <f>ROUND(6.5,2)</f>
        <v>6.5</v>
      </c>
      <c r="AE424" s="6"/>
      <c r="AF424" s="7">
        <f>ROUND(517.14,2)</f>
        <v>517.14</v>
      </c>
      <c r="AG424" s="7">
        <f>ROUND(55.33,2)</f>
        <v>55.33</v>
      </c>
      <c r="AH424" s="7">
        <f>ROUND(80,2)</f>
        <v>80</v>
      </c>
      <c r="AI424" s="6"/>
      <c r="AJ424" s="7">
        <f>ROUND(40,2)</f>
        <v>40</v>
      </c>
      <c r="AK424" s="6"/>
      <c r="AL424" s="7">
        <f>ROUND(8.5,2)</f>
        <v>8.5</v>
      </c>
      <c r="AM424" s="6"/>
      <c r="AN424" s="6"/>
      <c r="AO424" s="6"/>
      <c r="AP424" s="7">
        <f>ROUND(40,2)</f>
        <v>40</v>
      </c>
      <c r="AQ424" s="6"/>
      <c r="AR424" s="6"/>
      <c r="AS424" s="6"/>
      <c r="AT424" s="6"/>
      <c r="AU424" s="6"/>
      <c r="AV424" s="6"/>
      <c r="AW424" s="7">
        <f>ROUND(0.75,2)</f>
        <v>0.75</v>
      </c>
      <c r="AX424" s="7">
        <f>ROUND(0.6,2)</f>
        <v>0.6</v>
      </c>
      <c r="AY424" s="7">
        <f>ROUND(3.8,2)</f>
        <v>3.8</v>
      </c>
      <c r="AZ424" s="6"/>
      <c r="BA424" s="6"/>
      <c r="BB424" s="6"/>
      <c r="BC424" s="7">
        <f>ROUND(198.63,2)</f>
        <v>198.63</v>
      </c>
      <c r="BD424" s="7">
        <f>ROUND(1.28999999999999,2)</f>
        <v>1.29</v>
      </c>
      <c r="BE424" s="7">
        <f>ROUND(23.2,2)</f>
        <v>23.2</v>
      </c>
      <c r="BF424" s="7">
        <f>ROUND(32,2)</f>
        <v>32</v>
      </c>
      <c r="BG424" s="6"/>
      <c r="BH424" s="7">
        <f>ROUND(8,2)</f>
        <v>8</v>
      </c>
      <c r="BI424" s="6"/>
      <c r="BJ424" s="6"/>
      <c r="BK424" s="6"/>
      <c r="BL424" s="6"/>
      <c r="BM424" s="7">
        <f>ROUND(16,2)</f>
        <v>16</v>
      </c>
      <c r="BN424" s="6"/>
      <c r="BO424" s="6"/>
      <c r="BP424" s="6"/>
      <c r="BQ424" s="6"/>
      <c r="BR424" s="6"/>
      <c r="BS424" s="6"/>
      <c r="BT424" s="6"/>
      <c r="BU424" s="6"/>
      <c r="BV424" s="6"/>
      <c r="BW424" s="6"/>
      <c r="BX424" s="6"/>
      <c r="BY424" s="6"/>
      <c r="BZ424" s="6"/>
      <c r="CA424" s="7">
        <f>ROUND(40,2)</f>
        <v>40</v>
      </c>
      <c r="CB424" s="7">
        <f>ROUND(2412.22,2)</f>
        <v>2412.2199999999998</v>
      </c>
      <c r="CC424" s="6"/>
      <c r="CD424" s="6"/>
      <c r="CE424" s="6"/>
      <c r="CF424" s="6"/>
      <c r="CG424" s="7">
        <f>ROUND(20997.6999999999,2)</f>
        <v>20997.7</v>
      </c>
      <c r="CH424" s="6"/>
      <c r="CI424" s="6"/>
      <c r="CJ424" s="7">
        <f>ROUND(5677.11,2)</f>
        <v>5677.11</v>
      </c>
      <c r="CK424" s="6"/>
      <c r="CL424" s="6"/>
      <c r="CM424" s="6"/>
      <c r="CN424" s="6"/>
      <c r="CO424" s="7">
        <f>ROUND(1775.65999999999,2)</f>
        <v>1775.66</v>
      </c>
      <c r="CP424" s="7">
        <f>ROUND(187.55,2)</f>
        <v>187.55</v>
      </c>
      <c r="CQ424" s="7">
        <f>ROUND(341.76,2)</f>
        <v>341.76</v>
      </c>
      <c r="CR424" s="7">
        <f>ROUND(67.17,2)</f>
        <v>67.17</v>
      </c>
      <c r="CS424" s="6"/>
      <c r="CT424" s="6"/>
      <c r="CU424" s="6"/>
      <c r="CV424" s="6"/>
      <c r="CW424" s="7">
        <f>ROUND(4635.3,2)</f>
        <v>4635.3</v>
      </c>
      <c r="CX424" s="7">
        <f>ROUND(220.44,2)</f>
        <v>220.44</v>
      </c>
      <c r="CY424" s="6"/>
      <c r="CZ424" s="6"/>
      <c r="DA424" s="7">
        <f>ROUND(12552.74,2)</f>
        <v>12552.74</v>
      </c>
      <c r="DB424" s="7">
        <f>ROUND(2054.87,2)</f>
        <v>2054.87</v>
      </c>
      <c r="DC424" s="7">
        <f>ROUND(1863.29,2)</f>
        <v>1863.29</v>
      </c>
      <c r="DD424" s="6"/>
      <c r="DE424" s="7">
        <f>ROUND(900.05,2)</f>
        <v>900.05</v>
      </c>
      <c r="DF424" s="6"/>
      <c r="DG424" s="6"/>
      <c r="DH424" s="6"/>
      <c r="DI424" s="7">
        <f>ROUND(191.26,2)</f>
        <v>191.26</v>
      </c>
      <c r="DJ424" s="6"/>
      <c r="DK424" s="6"/>
      <c r="DL424" s="6"/>
      <c r="DM424" s="7">
        <f>ROUND(900.04,2)</f>
        <v>900.04</v>
      </c>
      <c r="DN424" s="6"/>
      <c r="DO424" s="6"/>
      <c r="DP424" s="6"/>
      <c r="DQ424" s="6"/>
      <c r="DR424" s="7">
        <f>ROUND(500,2)</f>
        <v>500</v>
      </c>
      <c r="DS424" s="6"/>
      <c r="DT424" s="6"/>
      <c r="DU424" s="6"/>
      <c r="DV424" s="6"/>
      <c r="DW424" s="6"/>
      <c r="DX424" s="7">
        <f>ROUND(34.2,2)</f>
        <v>34.200000000000003</v>
      </c>
      <c r="DY424" s="7">
        <f>ROUND(13.59,2)</f>
        <v>13.59</v>
      </c>
      <c r="DZ424" s="7">
        <f>ROUND(129.11,2)</f>
        <v>129.11000000000001</v>
      </c>
      <c r="EA424" s="6"/>
      <c r="EB424" s="6"/>
      <c r="EC424" s="6"/>
      <c r="ED424" s="7">
        <f>ROUND(243.2,2)</f>
        <v>243.2</v>
      </c>
      <c r="EE424" s="7">
        <f>ROUND(600,2)</f>
        <v>600</v>
      </c>
      <c r="EF424" s="6"/>
      <c r="EG424" s="6"/>
      <c r="EH424" s="6"/>
      <c r="EI424" s="6"/>
      <c r="EJ424" s="6"/>
      <c r="EK424" s="6"/>
      <c r="EL424" s="6"/>
      <c r="EM424" s="6"/>
      <c r="EN424" s="6"/>
      <c r="EO424" s="6"/>
      <c r="EP424" s="6"/>
      <c r="EQ424" s="7">
        <f>ROUND(1250,2)</f>
        <v>1250</v>
      </c>
      <c r="ER424" s="6"/>
      <c r="ES424" s="6"/>
      <c r="ET424" s="6"/>
      <c r="EU424" s="7">
        <f>ROUND(1216,2)</f>
        <v>1216</v>
      </c>
      <c r="EV424" s="7">
        <f>ROUND(56351.0399999999,2)</f>
        <v>56351.040000000001</v>
      </c>
    </row>
    <row r="425" spans="1:152">
      <c r="A425" s="4" t="s">
        <v>958</v>
      </c>
      <c r="B425" s="4" t="s">
        <v>1058</v>
      </c>
      <c r="C425" s="5" t="s">
        <v>152</v>
      </c>
      <c r="D425" s="5" t="s">
        <v>171</v>
      </c>
      <c r="E425" s="5" t="s">
        <v>0</v>
      </c>
      <c r="F425" s="5" t="s">
        <v>0</v>
      </c>
      <c r="G425" s="5" t="s">
        <v>155</v>
      </c>
      <c r="H425" s="10">
        <v>27.36</v>
      </c>
      <c r="I425" s="6"/>
      <c r="J425" s="6"/>
      <c r="K425" s="6"/>
      <c r="L425" s="6"/>
      <c r="M425" s="7">
        <f>ROUND(1404.48999999999,2)</f>
        <v>1404.49</v>
      </c>
      <c r="N425" s="6"/>
      <c r="O425" s="6"/>
      <c r="P425" s="7">
        <f>ROUND(153.609999999999,2)</f>
        <v>153.61000000000001</v>
      </c>
      <c r="Q425" s="6"/>
      <c r="R425" s="6"/>
      <c r="S425" s="6"/>
      <c r="T425" s="6"/>
      <c r="U425" s="6"/>
      <c r="V425" s="6"/>
      <c r="W425" s="7">
        <f>ROUND(1.97,2)</f>
        <v>1.97</v>
      </c>
      <c r="X425" s="7">
        <f>ROUND(0.66,2)</f>
        <v>0.66</v>
      </c>
      <c r="Y425" s="7">
        <f>ROUND(0.25,2)</f>
        <v>0.25</v>
      </c>
      <c r="Z425" s="6"/>
      <c r="AA425" s="6"/>
      <c r="AB425" s="6"/>
      <c r="AC425" s="7">
        <f>ROUND(75.61,2)</f>
        <v>75.61</v>
      </c>
      <c r="AD425" s="7">
        <f>ROUND(1.54999999999999,2)</f>
        <v>1.55</v>
      </c>
      <c r="AE425" s="6"/>
      <c r="AF425" s="7">
        <f>ROUND(215.23,2)</f>
        <v>215.23</v>
      </c>
      <c r="AG425" s="7">
        <f>ROUND(39.9899999999999,2)</f>
        <v>39.99</v>
      </c>
      <c r="AH425" s="7">
        <f>ROUND(52,2)</f>
        <v>52</v>
      </c>
      <c r="AI425" s="6"/>
      <c r="AJ425" s="6"/>
      <c r="AK425" s="6"/>
      <c r="AL425" s="7">
        <f>ROUND(9.75,2)</f>
        <v>9.75</v>
      </c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  <c r="BA425" s="6"/>
      <c r="BB425" s="6"/>
      <c r="BC425" s="7">
        <f>ROUND(15,2)</f>
        <v>15</v>
      </c>
      <c r="BD425" s="6"/>
      <c r="BE425" s="7">
        <f>ROUND(40,2)</f>
        <v>40</v>
      </c>
      <c r="BF425" s="6"/>
      <c r="BG425" s="6"/>
      <c r="BH425" s="6"/>
      <c r="BI425" s="6"/>
      <c r="BJ425" s="6"/>
      <c r="BK425" s="6"/>
      <c r="BL425" s="6"/>
      <c r="BM425" s="7">
        <f>ROUND(0.67,2)</f>
        <v>0.67</v>
      </c>
      <c r="BN425" s="6"/>
      <c r="BO425" s="6"/>
      <c r="BP425" s="6"/>
      <c r="BQ425" s="6"/>
      <c r="BR425" s="6"/>
      <c r="BS425" s="6"/>
      <c r="BT425" s="6"/>
      <c r="BU425" s="6"/>
      <c r="BV425" s="6"/>
      <c r="BW425" s="6"/>
      <c r="BX425" s="6"/>
      <c r="BY425" s="6"/>
      <c r="BZ425" s="6"/>
      <c r="CA425" s="7">
        <f>ROUND(40,2)</f>
        <v>40</v>
      </c>
      <c r="CB425" s="7">
        <f>ROUND(2050.77999999999,2)</f>
        <v>2050.7800000000002</v>
      </c>
      <c r="CC425" s="6"/>
      <c r="CD425" s="6"/>
      <c r="CE425" s="6"/>
      <c r="CF425" s="6"/>
      <c r="CG425" s="7">
        <f>ROUND(31002.43,2)</f>
        <v>31002.43</v>
      </c>
      <c r="CH425" s="6"/>
      <c r="CI425" s="6"/>
      <c r="CJ425" s="7">
        <f>ROUND(5157.46,2)</f>
        <v>5157.46</v>
      </c>
      <c r="CK425" s="6"/>
      <c r="CL425" s="6"/>
      <c r="CM425" s="6"/>
      <c r="CN425" s="6"/>
      <c r="CO425" s="6"/>
      <c r="CP425" s="6"/>
      <c r="CQ425" s="7">
        <f>ROUND(41.16,2)</f>
        <v>41.16</v>
      </c>
      <c r="CR425" s="7">
        <f>ROUND(20.62,2)</f>
        <v>20.62</v>
      </c>
      <c r="CS425" s="7">
        <f>ROUND(13.68,2)</f>
        <v>13.68</v>
      </c>
      <c r="CT425" s="6"/>
      <c r="CU425" s="6"/>
      <c r="CV425" s="6"/>
      <c r="CW425" s="7">
        <f>ROUND(1578.00999999999,2)</f>
        <v>1578.01</v>
      </c>
      <c r="CX425" s="7">
        <f>ROUND(48.44,2)</f>
        <v>48.44</v>
      </c>
      <c r="CY425" s="6"/>
      <c r="CZ425" s="6"/>
      <c r="DA425" s="7">
        <f>ROUND(4492.00999999999,2)</f>
        <v>4492.01</v>
      </c>
      <c r="DB425" s="7">
        <f>ROUND(1253.44,2)</f>
        <v>1253.44</v>
      </c>
      <c r="DC425" s="7">
        <f>ROUND(1187.84,2)</f>
        <v>1187.8399999999999</v>
      </c>
      <c r="DD425" s="6"/>
      <c r="DE425" s="6"/>
      <c r="DF425" s="6"/>
      <c r="DG425" s="6"/>
      <c r="DH425" s="6"/>
      <c r="DI425" s="7">
        <f>ROUND(203.14,2)</f>
        <v>203.14</v>
      </c>
      <c r="DJ425" s="6"/>
      <c r="DK425" s="6"/>
      <c r="DL425" s="6"/>
      <c r="DM425" s="6"/>
      <c r="DN425" s="6"/>
      <c r="DO425" s="6"/>
      <c r="DP425" s="6"/>
      <c r="DQ425" s="6"/>
      <c r="DR425" s="6"/>
      <c r="DS425" s="6"/>
      <c r="DT425" s="6"/>
      <c r="DU425" s="6"/>
      <c r="DV425" s="6"/>
      <c r="DW425" s="6"/>
      <c r="DX425" s="6"/>
      <c r="DY425" s="6"/>
      <c r="DZ425" s="6"/>
      <c r="EA425" s="6"/>
      <c r="EB425" s="6"/>
      <c r="EC425" s="6"/>
      <c r="ED425" s="6"/>
      <c r="EE425" s="7">
        <f>ROUND(1950,2)</f>
        <v>1950</v>
      </c>
      <c r="EF425" s="6"/>
      <c r="EG425" s="6"/>
      <c r="EH425" s="6"/>
      <c r="EI425" s="6"/>
      <c r="EJ425" s="6"/>
      <c r="EK425" s="6"/>
      <c r="EL425" s="6"/>
      <c r="EM425" s="6"/>
      <c r="EN425" s="6"/>
      <c r="EO425" s="6"/>
      <c r="EP425" s="6"/>
      <c r="EQ425" s="7">
        <f>ROUND(1500,2)</f>
        <v>1500</v>
      </c>
      <c r="ER425" s="6"/>
      <c r="ES425" s="6"/>
      <c r="ET425" s="6"/>
      <c r="EU425" s="7">
        <f>ROUND(1094.4,2)</f>
        <v>1094.4000000000001</v>
      </c>
      <c r="EV425" s="7">
        <f>ROUND(49542.6299999999,2)</f>
        <v>49542.63</v>
      </c>
    </row>
    <row r="426" spans="1:152">
      <c r="A426" s="4" t="s">
        <v>959</v>
      </c>
      <c r="B426" s="4" t="s">
        <v>1058</v>
      </c>
      <c r="C426" s="5" t="s">
        <v>211</v>
      </c>
      <c r="D426" s="5" t="s">
        <v>960</v>
      </c>
      <c r="E426" s="5" t="s">
        <v>0</v>
      </c>
      <c r="F426" s="5" t="s">
        <v>0</v>
      </c>
      <c r="G426" s="5" t="s">
        <v>218</v>
      </c>
      <c r="H426" s="10">
        <v>34.1</v>
      </c>
      <c r="I426" s="6"/>
      <c r="J426" s="6"/>
      <c r="K426" s="7">
        <f>ROUND(1832,2)</f>
        <v>1832</v>
      </c>
      <c r="L426" s="7">
        <f>ROUND(219,2)</f>
        <v>219</v>
      </c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7">
        <f>ROUND(80,2)</f>
        <v>80</v>
      </c>
      <c r="AI426" s="6"/>
      <c r="AJ426" s="7">
        <f>ROUND(120,2)</f>
        <v>120</v>
      </c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  <c r="BA426" s="6"/>
      <c r="BB426" s="7">
        <f>ROUND(16,2)</f>
        <v>16</v>
      </c>
      <c r="BC426" s="6"/>
      <c r="BD426" s="6"/>
      <c r="BE426" s="6"/>
      <c r="BF426" s="6"/>
      <c r="BG426" s="6"/>
      <c r="BH426" s="6"/>
      <c r="BI426" s="7">
        <f>ROUND(40,2)</f>
        <v>40</v>
      </c>
      <c r="BJ426" s="6"/>
      <c r="BK426" s="6"/>
      <c r="BL426" s="6"/>
      <c r="BM426" s="6"/>
      <c r="BN426" s="6"/>
      <c r="BO426" s="6"/>
      <c r="BP426" s="6"/>
      <c r="BQ426" s="6"/>
      <c r="BR426" s="6"/>
      <c r="BS426" s="6"/>
      <c r="BT426" s="6"/>
      <c r="BU426" s="6"/>
      <c r="BV426" s="6"/>
      <c r="BW426" s="6"/>
      <c r="BX426" s="6"/>
      <c r="BY426" s="6"/>
      <c r="BZ426" s="6"/>
      <c r="CA426" s="6"/>
      <c r="CB426" s="7">
        <f>ROUND(2307,2)</f>
        <v>2307</v>
      </c>
      <c r="CC426" s="6"/>
      <c r="CD426" s="6"/>
      <c r="CE426" s="7">
        <f>ROUND(58690,2)</f>
        <v>58690</v>
      </c>
      <c r="CF426" s="7">
        <f>ROUND(10470.74,2)</f>
        <v>10470.74</v>
      </c>
      <c r="CG426" s="6"/>
      <c r="CH426" s="6"/>
      <c r="CI426" s="6"/>
      <c r="CJ426" s="6"/>
      <c r="CK426" s="6"/>
      <c r="CL426" s="6"/>
      <c r="CM426" s="6"/>
      <c r="CN426" s="6"/>
      <c r="CO426" s="6"/>
      <c r="CP426" s="6"/>
      <c r="CQ426" s="6"/>
      <c r="CR426" s="6"/>
      <c r="CS426" s="6"/>
      <c r="CT426" s="6"/>
      <c r="CU426" s="6"/>
      <c r="CV426" s="6"/>
      <c r="CW426" s="6"/>
      <c r="CX426" s="6"/>
      <c r="CY426" s="6"/>
      <c r="CZ426" s="6"/>
      <c r="DA426" s="6"/>
      <c r="DB426" s="6"/>
      <c r="DC426" s="7">
        <f>ROUND(2564.8,2)</f>
        <v>2564.8000000000002</v>
      </c>
      <c r="DD426" s="6"/>
      <c r="DE426" s="7">
        <f>ROUND(3790.8,2)</f>
        <v>3790.8</v>
      </c>
      <c r="DF426" s="6"/>
      <c r="DG426" s="6"/>
      <c r="DH426" s="6"/>
      <c r="DI426" s="6"/>
      <c r="DJ426" s="6"/>
      <c r="DK426" s="6"/>
      <c r="DL426" s="6"/>
      <c r="DM426" s="6"/>
      <c r="DN426" s="6"/>
      <c r="DO426" s="6"/>
      <c r="DP426" s="6"/>
      <c r="DQ426" s="6"/>
      <c r="DR426" s="6"/>
      <c r="DS426" s="6"/>
      <c r="DT426" s="6"/>
      <c r="DU426" s="6"/>
      <c r="DV426" s="6"/>
      <c r="DW426" s="6"/>
      <c r="DX426" s="6"/>
      <c r="DY426" s="6"/>
      <c r="DZ426" s="6"/>
      <c r="EA426" s="6"/>
      <c r="EB426" s="6"/>
      <c r="EC426" s="6"/>
      <c r="ED426" s="6"/>
      <c r="EE426" s="7">
        <f>ROUND(1400,2)</f>
        <v>1400</v>
      </c>
      <c r="EF426" s="6"/>
      <c r="EG426" s="6"/>
      <c r="EH426" s="6"/>
      <c r="EI426" s="6"/>
      <c r="EJ426" s="6"/>
      <c r="EK426" s="6"/>
      <c r="EL426" s="6"/>
      <c r="EM426" s="6"/>
      <c r="EN426" s="6"/>
      <c r="EO426" s="6"/>
      <c r="EP426" s="6"/>
      <c r="EQ426" s="7">
        <f>ROUND(1250,2)</f>
        <v>1250</v>
      </c>
      <c r="ER426" s="6"/>
      <c r="ES426" s="6"/>
      <c r="ET426" s="6"/>
      <c r="EU426" s="6"/>
      <c r="EV426" s="7">
        <f>ROUND(78166.34,2)</f>
        <v>78166.34</v>
      </c>
    </row>
    <row r="427" spans="1:152">
      <c r="A427" s="4" t="s">
        <v>961</v>
      </c>
      <c r="B427" s="4" t="s">
        <v>1058</v>
      </c>
      <c r="C427" s="5" t="s">
        <v>152</v>
      </c>
      <c r="D427" s="5" t="s">
        <v>171</v>
      </c>
      <c r="E427" s="5" t="s">
        <v>962</v>
      </c>
      <c r="F427" s="5" t="s">
        <v>0</v>
      </c>
      <c r="G427" s="5" t="s">
        <v>155</v>
      </c>
      <c r="H427" s="10">
        <v>20.84</v>
      </c>
      <c r="I427" s="6"/>
      <c r="J427" s="6"/>
      <c r="K427" s="6"/>
      <c r="L427" s="6"/>
      <c r="M427" s="7">
        <f>ROUND(188.8,2)</f>
        <v>188.8</v>
      </c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7">
        <f>ROUND(5,2)</f>
        <v>5</v>
      </c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  <c r="BA427" s="6"/>
      <c r="BB427" s="6"/>
      <c r="BC427" s="6"/>
      <c r="BD427" s="6"/>
      <c r="BE427" s="6"/>
      <c r="BF427" s="6"/>
      <c r="BG427" s="6"/>
      <c r="BH427" s="6"/>
      <c r="BI427" s="6"/>
      <c r="BJ427" s="6"/>
      <c r="BK427" s="6"/>
      <c r="BL427" s="6"/>
      <c r="BM427" s="7">
        <f>ROUND(20,2)</f>
        <v>20</v>
      </c>
      <c r="BN427" s="6"/>
      <c r="BO427" s="6"/>
      <c r="BP427" s="6"/>
      <c r="BQ427" s="6"/>
      <c r="BR427" s="6"/>
      <c r="BS427" s="6"/>
      <c r="BT427" s="6"/>
      <c r="BU427" s="6"/>
      <c r="BV427" s="6"/>
      <c r="BW427" s="6"/>
      <c r="BX427" s="6"/>
      <c r="BY427" s="6"/>
      <c r="BZ427" s="6"/>
      <c r="CA427" s="6"/>
      <c r="CB427" s="7">
        <f>ROUND(213.8,2)</f>
        <v>213.8</v>
      </c>
      <c r="CC427" s="6"/>
      <c r="CD427" s="6"/>
      <c r="CE427" s="6"/>
      <c r="CF427" s="6"/>
      <c r="CG427" s="7">
        <f>ROUND(3933.67,2)</f>
        <v>3933.67</v>
      </c>
      <c r="CH427" s="6"/>
      <c r="CI427" s="6"/>
      <c r="CJ427" s="6"/>
      <c r="CK427" s="6"/>
      <c r="CL427" s="6"/>
      <c r="CM427" s="6"/>
      <c r="CN427" s="6"/>
      <c r="CO427" s="6"/>
      <c r="CP427" s="6"/>
      <c r="CQ427" s="6"/>
      <c r="CR427" s="6"/>
      <c r="CS427" s="6"/>
      <c r="CT427" s="6"/>
      <c r="CU427" s="6"/>
      <c r="CV427" s="6"/>
      <c r="CW427" s="6"/>
      <c r="CX427" s="6"/>
      <c r="CY427" s="6"/>
      <c r="CZ427" s="6"/>
      <c r="DA427" s="6"/>
      <c r="DB427" s="6"/>
      <c r="DC427" s="7">
        <f>ROUND(104.18,2)</f>
        <v>104.18</v>
      </c>
      <c r="DD427" s="6"/>
      <c r="DE427" s="6"/>
      <c r="DF427" s="6"/>
      <c r="DG427" s="6"/>
      <c r="DH427" s="6"/>
      <c r="DI427" s="6"/>
      <c r="DJ427" s="6"/>
      <c r="DK427" s="6"/>
      <c r="DL427" s="6"/>
      <c r="DM427" s="6"/>
      <c r="DN427" s="6"/>
      <c r="DO427" s="6"/>
      <c r="DP427" s="6"/>
      <c r="DQ427" s="6"/>
      <c r="DR427" s="6"/>
      <c r="DS427" s="6"/>
      <c r="DT427" s="6"/>
      <c r="DU427" s="6"/>
      <c r="DV427" s="6"/>
      <c r="DW427" s="6"/>
      <c r="DX427" s="6"/>
      <c r="DY427" s="6"/>
      <c r="DZ427" s="6"/>
      <c r="EA427" s="6"/>
      <c r="EB427" s="6"/>
      <c r="EC427" s="6"/>
      <c r="ED427" s="6"/>
      <c r="EE427" s="7">
        <f>ROUND(500,2)</f>
        <v>500</v>
      </c>
      <c r="EF427" s="6"/>
      <c r="EG427" s="6"/>
      <c r="EH427" s="6"/>
      <c r="EI427" s="6"/>
      <c r="EJ427" s="6"/>
      <c r="EK427" s="6"/>
      <c r="EL427" s="6"/>
      <c r="EM427" s="6"/>
      <c r="EN427" s="6"/>
      <c r="EO427" s="6"/>
      <c r="EP427" s="6"/>
      <c r="EQ427" s="6"/>
      <c r="ER427" s="6"/>
      <c r="ES427" s="6"/>
      <c r="ET427" s="6"/>
      <c r="EU427" s="6"/>
      <c r="EV427" s="7">
        <f>ROUND(4537.85,2)</f>
        <v>4537.8500000000004</v>
      </c>
    </row>
    <row r="428" spans="1:152">
      <c r="A428" s="4" t="s">
        <v>963</v>
      </c>
      <c r="B428" s="4" t="s">
        <v>1058</v>
      </c>
      <c r="C428" s="5" t="s">
        <v>152</v>
      </c>
      <c r="D428" s="5" t="s">
        <v>396</v>
      </c>
      <c r="E428" s="5" t="s">
        <v>964</v>
      </c>
      <c r="F428" s="5" t="s">
        <v>0</v>
      </c>
      <c r="G428" s="5" t="s">
        <v>155</v>
      </c>
      <c r="H428" s="10">
        <v>20.84</v>
      </c>
      <c r="I428" s="6"/>
      <c r="J428" s="6"/>
      <c r="K428" s="6"/>
      <c r="L428" s="6"/>
      <c r="M428" s="7">
        <f>ROUND(118.93,2)</f>
        <v>118.93</v>
      </c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7">
        <f>ROUND(5,2)</f>
        <v>5</v>
      </c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  <c r="BA428" s="6"/>
      <c r="BB428" s="7">
        <f>ROUND(10,2)</f>
        <v>10</v>
      </c>
      <c r="BC428" s="7">
        <f>ROUND(40,2)</f>
        <v>40</v>
      </c>
      <c r="BD428" s="6"/>
      <c r="BE428" s="6"/>
      <c r="BF428" s="6"/>
      <c r="BG428" s="6"/>
      <c r="BH428" s="6"/>
      <c r="BI428" s="6"/>
      <c r="BJ428" s="6"/>
      <c r="BK428" s="6"/>
      <c r="BL428" s="6"/>
      <c r="BM428" s="7">
        <f>ROUND(47.08,2)</f>
        <v>47.08</v>
      </c>
      <c r="BN428" s="6"/>
      <c r="BO428" s="6"/>
      <c r="BP428" s="6"/>
      <c r="BQ428" s="6"/>
      <c r="BR428" s="6"/>
      <c r="BS428" s="6"/>
      <c r="BT428" s="6"/>
      <c r="BU428" s="6"/>
      <c r="BV428" s="6"/>
      <c r="BW428" s="6"/>
      <c r="BX428" s="6"/>
      <c r="BY428" s="6"/>
      <c r="BZ428" s="6"/>
      <c r="CA428" s="6"/>
      <c r="CB428" s="7">
        <f>ROUND(221.01,2)</f>
        <v>221.01</v>
      </c>
      <c r="CC428" s="6"/>
      <c r="CD428" s="6"/>
      <c r="CE428" s="6"/>
      <c r="CF428" s="6"/>
      <c r="CG428" s="7">
        <f>ROUND(2477.9,2)</f>
        <v>2477.9</v>
      </c>
      <c r="CH428" s="6"/>
      <c r="CI428" s="6"/>
      <c r="CJ428" s="6"/>
      <c r="CK428" s="6"/>
      <c r="CL428" s="6"/>
      <c r="CM428" s="6"/>
      <c r="CN428" s="6"/>
      <c r="CO428" s="6"/>
      <c r="CP428" s="6"/>
      <c r="CQ428" s="6"/>
      <c r="CR428" s="6"/>
      <c r="CS428" s="6"/>
      <c r="CT428" s="6"/>
      <c r="CU428" s="6"/>
      <c r="CV428" s="6"/>
      <c r="CW428" s="6"/>
      <c r="CX428" s="6"/>
      <c r="CY428" s="6"/>
      <c r="CZ428" s="6"/>
      <c r="DA428" s="6"/>
      <c r="DB428" s="6"/>
      <c r="DC428" s="7">
        <f>ROUND(104.18,2)</f>
        <v>104.18</v>
      </c>
      <c r="DD428" s="6"/>
      <c r="DE428" s="6"/>
      <c r="DF428" s="6"/>
      <c r="DG428" s="6"/>
      <c r="DH428" s="6"/>
      <c r="DI428" s="6"/>
      <c r="DJ428" s="6"/>
      <c r="DK428" s="6"/>
      <c r="DL428" s="6"/>
      <c r="DM428" s="6"/>
      <c r="DN428" s="6"/>
      <c r="DO428" s="6"/>
      <c r="DP428" s="6"/>
      <c r="DQ428" s="6"/>
      <c r="DR428" s="6"/>
      <c r="DS428" s="6"/>
      <c r="DT428" s="6"/>
      <c r="DU428" s="6"/>
      <c r="DV428" s="6"/>
      <c r="DW428" s="6"/>
      <c r="DX428" s="6"/>
      <c r="DY428" s="6"/>
      <c r="DZ428" s="6"/>
      <c r="EA428" s="6"/>
      <c r="EB428" s="6"/>
      <c r="EC428" s="6"/>
      <c r="ED428" s="6"/>
      <c r="EE428" s="6"/>
      <c r="EF428" s="6"/>
      <c r="EG428" s="6"/>
      <c r="EH428" s="6"/>
      <c r="EI428" s="6"/>
      <c r="EJ428" s="6"/>
      <c r="EK428" s="6"/>
      <c r="EL428" s="6"/>
      <c r="EM428" s="6"/>
      <c r="EN428" s="6"/>
      <c r="EO428" s="6"/>
      <c r="EP428" s="6"/>
      <c r="EQ428" s="6"/>
      <c r="ER428" s="6"/>
      <c r="ES428" s="6"/>
      <c r="ET428" s="6"/>
      <c r="EU428" s="6"/>
      <c r="EV428" s="7">
        <f>ROUND(2582.08,2)</f>
        <v>2582.08</v>
      </c>
    </row>
    <row r="429" spans="1:152">
      <c r="A429" s="4" t="s">
        <v>965</v>
      </c>
      <c r="B429" s="4" t="s">
        <v>1058</v>
      </c>
      <c r="C429" s="5" t="s">
        <v>211</v>
      </c>
      <c r="D429" s="5" t="s">
        <v>402</v>
      </c>
      <c r="E429" s="5" t="s">
        <v>0</v>
      </c>
      <c r="F429" s="5" t="s">
        <v>0</v>
      </c>
      <c r="G429" s="5" t="s">
        <v>213</v>
      </c>
      <c r="H429" s="10">
        <v>28</v>
      </c>
      <c r="I429" s="6"/>
      <c r="J429" s="6"/>
      <c r="K429" s="6"/>
      <c r="L429" s="6"/>
      <c r="M429" s="6"/>
      <c r="N429" s="6"/>
      <c r="O429" s="6"/>
      <c r="P429" s="6"/>
      <c r="Q429" s="7">
        <f>ROUND(1910.15,2)</f>
        <v>1910.15</v>
      </c>
      <c r="R429" s="7">
        <f>ROUND(268,2)</f>
        <v>268</v>
      </c>
      <c r="S429" s="7">
        <f>ROUND(8,2)</f>
        <v>8</v>
      </c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7">
        <f>ROUND(88,2)</f>
        <v>88</v>
      </c>
      <c r="AI429" s="6"/>
      <c r="AJ429" s="7">
        <f>ROUND(80,2)</f>
        <v>80</v>
      </c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  <c r="BA429" s="6"/>
      <c r="BB429" s="6"/>
      <c r="BC429" s="6"/>
      <c r="BD429" s="7">
        <f>ROUND(1.85,2)</f>
        <v>1.85</v>
      </c>
      <c r="BE429" s="6"/>
      <c r="BF429" s="6"/>
      <c r="BG429" s="6"/>
      <c r="BH429" s="6"/>
      <c r="BI429" s="6"/>
      <c r="BJ429" s="6"/>
      <c r="BK429" s="6"/>
      <c r="BL429" s="6"/>
      <c r="BM429" s="6"/>
      <c r="BN429" s="6"/>
      <c r="BO429" s="6"/>
      <c r="BP429" s="6"/>
      <c r="BQ429" s="6"/>
      <c r="BR429" s="6"/>
      <c r="BS429" s="6"/>
      <c r="BT429" s="6"/>
      <c r="BU429" s="6"/>
      <c r="BV429" s="6"/>
      <c r="BW429" s="6"/>
      <c r="BX429" s="6"/>
      <c r="BY429" s="6"/>
      <c r="BZ429" s="6"/>
      <c r="CA429" s="6"/>
      <c r="CB429" s="7">
        <f>ROUND(2356,2)</f>
        <v>2356</v>
      </c>
      <c r="CC429" s="6"/>
      <c r="CD429" s="6"/>
      <c r="CE429" s="6"/>
      <c r="CF429" s="6"/>
      <c r="CG429" s="6"/>
      <c r="CH429" s="6"/>
      <c r="CI429" s="6"/>
      <c r="CJ429" s="6"/>
      <c r="CK429" s="7">
        <f>ROUND(48185.8999999999,2)</f>
        <v>48185.9</v>
      </c>
      <c r="CL429" s="7">
        <f>ROUND(10147.02,2)</f>
        <v>10147.02</v>
      </c>
      <c r="CM429" s="7">
        <f>ROUND(297.48,2)</f>
        <v>297.48</v>
      </c>
      <c r="CN429" s="6"/>
      <c r="CO429" s="6"/>
      <c r="CP429" s="6"/>
      <c r="CQ429" s="6"/>
      <c r="CR429" s="6"/>
      <c r="CS429" s="6"/>
      <c r="CT429" s="6"/>
      <c r="CU429" s="6"/>
      <c r="CV429" s="6"/>
      <c r="CW429" s="6"/>
      <c r="CX429" s="6"/>
      <c r="CY429" s="6"/>
      <c r="CZ429" s="6"/>
      <c r="DA429" s="6"/>
      <c r="DB429" s="6"/>
      <c r="DC429" s="7">
        <f>ROUND(2275.84,2)</f>
        <v>2275.84</v>
      </c>
      <c r="DD429" s="6"/>
      <c r="DE429" s="7">
        <f>ROUND(1971.19999999999,2)</f>
        <v>1971.2</v>
      </c>
      <c r="DF429" s="6"/>
      <c r="DG429" s="6"/>
      <c r="DH429" s="6"/>
      <c r="DI429" s="6"/>
      <c r="DJ429" s="6"/>
      <c r="DK429" s="6"/>
      <c r="DL429" s="6"/>
      <c r="DM429" s="6"/>
      <c r="DN429" s="7">
        <f>ROUND(295,2)</f>
        <v>295</v>
      </c>
      <c r="DO429" s="6"/>
      <c r="DP429" s="6"/>
      <c r="DQ429" s="6"/>
      <c r="DR429" s="6"/>
      <c r="DS429" s="6"/>
      <c r="DT429" s="6"/>
      <c r="DU429" s="6"/>
      <c r="DV429" s="6"/>
      <c r="DW429" s="6"/>
      <c r="DX429" s="6"/>
      <c r="DY429" s="6"/>
      <c r="DZ429" s="6"/>
      <c r="EA429" s="6"/>
      <c r="EB429" s="6"/>
      <c r="EC429" s="6"/>
      <c r="ED429" s="6"/>
      <c r="EE429" s="7">
        <f>ROUND(1450,2)</f>
        <v>1450</v>
      </c>
      <c r="EF429" s="6"/>
      <c r="EG429" s="6"/>
      <c r="EH429" s="6"/>
      <c r="EI429" s="6"/>
      <c r="EJ429" s="6"/>
      <c r="EK429" s="6"/>
      <c r="EL429" s="6"/>
      <c r="EM429" s="6"/>
      <c r="EN429" s="6"/>
      <c r="EO429" s="6"/>
      <c r="EP429" s="6"/>
      <c r="EQ429" s="7">
        <f>ROUND(1250,2)</f>
        <v>1250</v>
      </c>
      <c r="ER429" s="6"/>
      <c r="ES429" s="6"/>
      <c r="ET429" s="6"/>
      <c r="EU429" s="6"/>
      <c r="EV429" s="7">
        <f>ROUND(65872.4399999999,2)</f>
        <v>65872.44</v>
      </c>
    </row>
    <row r="430" spans="1:152" ht="24">
      <c r="A430" s="4" t="s">
        <v>966</v>
      </c>
      <c r="B430" s="4"/>
      <c r="C430" s="5" t="s">
        <v>810</v>
      </c>
      <c r="D430" s="5" t="s">
        <v>776</v>
      </c>
      <c r="E430" s="5" t="s">
        <v>154</v>
      </c>
      <c r="F430" s="5" t="s">
        <v>0</v>
      </c>
      <c r="G430" s="5" t="s">
        <v>236</v>
      </c>
      <c r="H430" s="10">
        <v>15</v>
      </c>
      <c r="I430" s="7">
        <f>ROUND(62.5,2)</f>
        <v>62.5</v>
      </c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  <c r="BA430" s="6"/>
      <c r="BB430" s="6"/>
      <c r="BC430" s="6"/>
      <c r="BD430" s="6"/>
      <c r="BE430" s="6"/>
      <c r="BF430" s="6"/>
      <c r="BG430" s="6"/>
      <c r="BH430" s="6"/>
      <c r="BI430" s="6"/>
      <c r="BJ430" s="6"/>
      <c r="BK430" s="6"/>
      <c r="BL430" s="6"/>
      <c r="BM430" s="6"/>
      <c r="BN430" s="6"/>
      <c r="BO430" s="6"/>
      <c r="BP430" s="6"/>
      <c r="BQ430" s="6"/>
      <c r="BR430" s="6"/>
      <c r="BS430" s="6"/>
      <c r="BT430" s="6"/>
      <c r="BU430" s="6"/>
      <c r="BV430" s="6"/>
      <c r="BW430" s="6"/>
      <c r="BX430" s="6"/>
      <c r="BY430" s="6"/>
      <c r="BZ430" s="6"/>
      <c r="CA430" s="6"/>
      <c r="CB430" s="7">
        <f>ROUND(62.5,2)</f>
        <v>62.5</v>
      </c>
      <c r="CC430" s="7">
        <f>ROUND(937.5,2)</f>
        <v>937.5</v>
      </c>
      <c r="CD430" s="6"/>
      <c r="CE430" s="6"/>
      <c r="CF430" s="6"/>
      <c r="CG430" s="6"/>
      <c r="CH430" s="6"/>
      <c r="CI430" s="6"/>
      <c r="CJ430" s="6"/>
      <c r="CK430" s="6"/>
      <c r="CL430" s="6"/>
      <c r="CM430" s="6"/>
      <c r="CN430" s="6"/>
      <c r="CO430" s="6"/>
      <c r="CP430" s="6"/>
      <c r="CQ430" s="6"/>
      <c r="CR430" s="6"/>
      <c r="CS430" s="6"/>
      <c r="CT430" s="6"/>
      <c r="CU430" s="6"/>
      <c r="CV430" s="6"/>
      <c r="CW430" s="6"/>
      <c r="CX430" s="6"/>
      <c r="CY430" s="6"/>
      <c r="CZ430" s="6"/>
      <c r="DA430" s="6"/>
      <c r="DB430" s="6"/>
      <c r="DC430" s="6"/>
      <c r="DD430" s="6"/>
      <c r="DE430" s="6"/>
      <c r="DF430" s="6"/>
      <c r="DG430" s="6"/>
      <c r="DH430" s="6"/>
      <c r="DI430" s="6"/>
      <c r="DJ430" s="6"/>
      <c r="DK430" s="6"/>
      <c r="DL430" s="6"/>
      <c r="DM430" s="6"/>
      <c r="DN430" s="6"/>
      <c r="DO430" s="6"/>
      <c r="DP430" s="6"/>
      <c r="DQ430" s="6"/>
      <c r="DR430" s="6"/>
      <c r="DS430" s="6"/>
      <c r="DT430" s="6"/>
      <c r="DU430" s="6"/>
      <c r="DV430" s="6"/>
      <c r="DW430" s="6"/>
      <c r="DX430" s="6"/>
      <c r="DY430" s="6"/>
      <c r="DZ430" s="6"/>
      <c r="EA430" s="6"/>
      <c r="EB430" s="6"/>
      <c r="EC430" s="6"/>
      <c r="ED430" s="6"/>
      <c r="EE430" s="6"/>
      <c r="EF430" s="6"/>
      <c r="EG430" s="6"/>
      <c r="EH430" s="6"/>
      <c r="EI430" s="6"/>
      <c r="EJ430" s="6"/>
      <c r="EK430" s="6"/>
      <c r="EL430" s="6"/>
      <c r="EM430" s="6"/>
      <c r="EN430" s="6"/>
      <c r="EO430" s="6"/>
      <c r="EP430" s="6"/>
      <c r="EQ430" s="6"/>
      <c r="ER430" s="6"/>
      <c r="ES430" s="6"/>
      <c r="ET430" s="6"/>
      <c r="EU430" s="6"/>
      <c r="EV430" s="7">
        <f>ROUND(937.5,2)</f>
        <v>937.5</v>
      </c>
    </row>
    <row r="431" spans="1:152" ht="24">
      <c r="A431" s="4" t="s">
        <v>967</v>
      </c>
      <c r="B431" s="4"/>
      <c r="C431" s="5" t="s">
        <v>720</v>
      </c>
      <c r="D431" s="5" t="s">
        <v>968</v>
      </c>
      <c r="E431" s="5" t="s">
        <v>0</v>
      </c>
      <c r="F431" s="5" t="s">
        <v>0</v>
      </c>
      <c r="G431" s="5" t="s">
        <v>764</v>
      </c>
      <c r="H431" s="10">
        <v>18.04</v>
      </c>
      <c r="I431" s="7">
        <f>ROUND(1936,2)</f>
        <v>1936</v>
      </c>
      <c r="J431" s="7">
        <f>ROUND(37.75,2)</f>
        <v>37.75</v>
      </c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  <c r="BA431" s="6"/>
      <c r="BB431" s="6"/>
      <c r="BC431" s="6"/>
      <c r="BD431" s="6"/>
      <c r="BE431" s="6"/>
      <c r="BF431" s="6"/>
      <c r="BG431" s="6"/>
      <c r="BH431" s="7">
        <f>ROUND(32,2)</f>
        <v>32</v>
      </c>
      <c r="BI431" s="6"/>
      <c r="BJ431" s="6"/>
      <c r="BK431" s="6"/>
      <c r="BL431" s="6"/>
      <c r="BM431" s="6"/>
      <c r="BN431" s="6"/>
      <c r="BO431" s="6"/>
      <c r="BP431" s="6"/>
      <c r="BQ431" s="6"/>
      <c r="BR431" s="6"/>
      <c r="BS431" s="6"/>
      <c r="BT431" s="7">
        <f>ROUND(32,2)</f>
        <v>32</v>
      </c>
      <c r="BU431" s="6"/>
      <c r="BV431" s="7">
        <f>ROUND(8,2)</f>
        <v>8</v>
      </c>
      <c r="BW431" s="6"/>
      <c r="BX431" s="7">
        <f>ROUND(8,2)</f>
        <v>8</v>
      </c>
      <c r="BY431" s="7">
        <f>ROUND(64,2)</f>
        <v>64</v>
      </c>
      <c r="BZ431" s="6"/>
      <c r="CA431" s="6"/>
      <c r="CB431" s="7">
        <f>ROUND(2117.75,2)</f>
        <v>2117.75</v>
      </c>
      <c r="CC431" s="7">
        <f>ROUND(33259.04,2)</f>
        <v>33259.040000000001</v>
      </c>
      <c r="CD431" s="7">
        <f>ROUND(971.85,2)</f>
        <v>971.85</v>
      </c>
      <c r="CE431" s="6"/>
      <c r="CF431" s="6"/>
      <c r="CG431" s="6"/>
      <c r="CH431" s="6"/>
      <c r="CI431" s="6"/>
      <c r="CJ431" s="6"/>
      <c r="CK431" s="6"/>
      <c r="CL431" s="6"/>
      <c r="CM431" s="6"/>
      <c r="CN431" s="6"/>
      <c r="CO431" s="6"/>
      <c r="CP431" s="6"/>
      <c r="CQ431" s="6"/>
      <c r="CR431" s="6"/>
      <c r="CS431" s="6"/>
      <c r="CT431" s="6"/>
      <c r="CU431" s="6"/>
      <c r="CV431" s="6"/>
      <c r="CW431" s="6"/>
      <c r="CX431" s="6"/>
      <c r="CY431" s="6"/>
      <c r="CZ431" s="6"/>
      <c r="DA431" s="6"/>
      <c r="DB431" s="6"/>
      <c r="DC431" s="6"/>
      <c r="DD431" s="6"/>
      <c r="DE431" s="6"/>
      <c r="DF431" s="6"/>
      <c r="DG431" s="6"/>
      <c r="DH431" s="6"/>
      <c r="DI431" s="6"/>
      <c r="DJ431" s="6"/>
      <c r="DK431" s="6"/>
      <c r="DL431" s="6"/>
      <c r="DM431" s="6"/>
      <c r="DN431" s="6"/>
      <c r="DO431" s="6"/>
      <c r="DP431" s="6"/>
      <c r="DQ431" s="6"/>
      <c r="DR431" s="6"/>
      <c r="DS431" s="6"/>
      <c r="DT431" s="6"/>
      <c r="DU431" s="6"/>
      <c r="DV431" s="6"/>
      <c r="DW431" s="6"/>
      <c r="DX431" s="6"/>
      <c r="DY431" s="6"/>
      <c r="DZ431" s="6"/>
      <c r="EA431" s="6"/>
      <c r="EB431" s="6"/>
      <c r="EC431" s="6"/>
      <c r="ED431" s="7">
        <f>ROUND(544,2)</f>
        <v>544</v>
      </c>
      <c r="EE431" s="7">
        <f>ROUND(1731.84,2)</f>
        <v>1731.84</v>
      </c>
      <c r="EF431" s="6"/>
      <c r="EG431" s="7">
        <f>ROUND(552.319999999999,2)</f>
        <v>552.32000000000005</v>
      </c>
      <c r="EH431" s="6"/>
      <c r="EI431" s="7">
        <f>ROUND(216.48,2)</f>
        <v>216.48</v>
      </c>
      <c r="EJ431" s="6"/>
      <c r="EK431" s="6"/>
      <c r="EL431" s="6"/>
      <c r="EM431" s="6"/>
      <c r="EN431" s="7">
        <f>ROUND(136,2)</f>
        <v>136</v>
      </c>
      <c r="EO431" s="6"/>
      <c r="EP431" s="6"/>
      <c r="EQ431" s="6"/>
      <c r="ER431" s="6"/>
      <c r="ES431" s="7">
        <f>ROUND(1096.32,2)</f>
        <v>1096.32</v>
      </c>
      <c r="ET431" s="6"/>
      <c r="EU431" s="6"/>
      <c r="EV431" s="7">
        <f>ROUND(38507.85,2)</f>
        <v>38507.85</v>
      </c>
    </row>
    <row r="432" spans="1:152">
      <c r="A432" s="4" t="s">
        <v>969</v>
      </c>
      <c r="B432" s="4" t="s">
        <v>1058</v>
      </c>
      <c r="C432" s="5" t="s">
        <v>152</v>
      </c>
      <c r="D432" s="5" t="s">
        <v>224</v>
      </c>
      <c r="E432" s="5" t="s">
        <v>0</v>
      </c>
      <c r="F432" s="5" t="s">
        <v>0</v>
      </c>
      <c r="G432" s="5" t="s">
        <v>155</v>
      </c>
      <c r="H432" s="10">
        <v>30.4</v>
      </c>
      <c r="I432" s="6"/>
      <c r="J432" s="6"/>
      <c r="K432" s="6"/>
      <c r="L432" s="6"/>
      <c r="M432" s="7">
        <f>ROUND(568.17,2)</f>
        <v>568.16999999999996</v>
      </c>
      <c r="N432" s="6"/>
      <c r="O432" s="6"/>
      <c r="P432" s="7">
        <f>ROUND(62.6899999999999,2)</f>
        <v>62.69</v>
      </c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7">
        <f>ROUND(17.5,2)</f>
        <v>17.5</v>
      </c>
      <c r="AD432" s="6"/>
      <c r="AE432" s="6"/>
      <c r="AF432" s="7">
        <f>ROUND(10,2)</f>
        <v>10</v>
      </c>
      <c r="AG432" s="6"/>
      <c r="AH432" s="7">
        <f>ROUND(64,2)</f>
        <v>64</v>
      </c>
      <c r="AI432" s="6"/>
      <c r="AJ432" s="7">
        <f>ROUND(64,2)</f>
        <v>64</v>
      </c>
      <c r="AK432" s="6"/>
      <c r="AL432" s="7">
        <f>ROUND(8.5,2)</f>
        <v>8.5</v>
      </c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  <c r="BA432" s="6"/>
      <c r="BB432" s="7">
        <f>ROUND(16,2)</f>
        <v>16</v>
      </c>
      <c r="BC432" s="7">
        <f>ROUND(1032,2)</f>
        <v>1032</v>
      </c>
      <c r="BD432" s="6"/>
      <c r="BE432" s="6"/>
      <c r="BF432" s="7">
        <f>ROUND(78.75,2)</f>
        <v>78.75</v>
      </c>
      <c r="BG432" s="7">
        <f>ROUND(98.92,2)</f>
        <v>98.92</v>
      </c>
      <c r="BH432" s="7">
        <f>ROUND(32,2)</f>
        <v>32</v>
      </c>
      <c r="BI432" s="6"/>
      <c r="BJ432" s="6"/>
      <c r="BK432" s="6"/>
      <c r="BL432" s="6"/>
      <c r="BM432" s="7">
        <f>ROUND(170.33,2)</f>
        <v>170.33</v>
      </c>
      <c r="BN432" s="6"/>
      <c r="BO432" s="6"/>
      <c r="BP432" s="6"/>
      <c r="BQ432" s="6"/>
      <c r="BR432" s="6"/>
      <c r="BS432" s="6"/>
      <c r="BT432" s="6"/>
      <c r="BU432" s="6"/>
      <c r="BV432" s="6"/>
      <c r="BW432" s="6"/>
      <c r="BX432" s="6"/>
      <c r="BY432" s="6"/>
      <c r="BZ432" s="6"/>
      <c r="CA432" s="6"/>
      <c r="CB432" s="7">
        <f>ROUND(2222.85999999999,2)</f>
        <v>2222.86</v>
      </c>
      <c r="CC432" s="6"/>
      <c r="CD432" s="6"/>
      <c r="CE432" s="6"/>
      <c r="CF432" s="6"/>
      <c r="CG432" s="7">
        <f>ROUND(13762.7399999999,2)</f>
        <v>13762.74</v>
      </c>
      <c r="CH432" s="6"/>
      <c r="CI432" s="6"/>
      <c r="CJ432" s="7">
        <f>ROUND(2273.43,2)</f>
        <v>2273.4299999999998</v>
      </c>
      <c r="CK432" s="6"/>
      <c r="CL432" s="6"/>
      <c r="CM432" s="6"/>
      <c r="CN432" s="6"/>
      <c r="CO432" s="6"/>
      <c r="CP432" s="6"/>
      <c r="CQ432" s="6"/>
      <c r="CR432" s="6"/>
      <c r="CS432" s="6"/>
      <c r="CT432" s="6"/>
      <c r="CU432" s="6"/>
      <c r="CV432" s="6"/>
      <c r="CW432" s="7">
        <f>ROUND(424.14,2)</f>
        <v>424.14</v>
      </c>
      <c r="CX432" s="6"/>
      <c r="CY432" s="6"/>
      <c r="CZ432" s="6"/>
      <c r="DA432" s="7">
        <f>ROUND(243.18,2)</f>
        <v>243.18</v>
      </c>
      <c r="DB432" s="6"/>
      <c r="DC432" s="7">
        <f>ROUND(1646.44999999999,2)</f>
        <v>1646.45</v>
      </c>
      <c r="DD432" s="6"/>
      <c r="DE432" s="7">
        <f>ROUND(1546.73999999999,2)</f>
        <v>1546.74</v>
      </c>
      <c r="DF432" s="6"/>
      <c r="DG432" s="6"/>
      <c r="DH432" s="6"/>
      <c r="DI432" s="7">
        <f>ROUND(205.43,2)</f>
        <v>205.43</v>
      </c>
      <c r="DJ432" s="6"/>
      <c r="DK432" s="6"/>
      <c r="DL432" s="6"/>
      <c r="DM432" s="6"/>
      <c r="DN432" s="6"/>
      <c r="DO432" s="6"/>
      <c r="DP432" s="6"/>
      <c r="DQ432" s="6"/>
      <c r="DR432" s="7">
        <f>ROUND(500,2)</f>
        <v>500</v>
      </c>
      <c r="DS432" s="6"/>
      <c r="DT432" s="6"/>
      <c r="DU432" s="6"/>
      <c r="DV432" s="6"/>
      <c r="DW432" s="6"/>
      <c r="DX432" s="6"/>
      <c r="DY432" s="6"/>
      <c r="DZ432" s="6"/>
      <c r="EA432" s="6"/>
      <c r="EB432" s="6"/>
      <c r="EC432" s="7">
        <f>ROUND(386.69,2)</f>
        <v>386.69</v>
      </c>
      <c r="ED432" s="6"/>
      <c r="EE432" s="7">
        <f>ROUND(125,2)</f>
        <v>125</v>
      </c>
      <c r="EF432" s="6"/>
      <c r="EG432" s="6"/>
      <c r="EH432" s="6"/>
      <c r="EI432" s="6"/>
      <c r="EJ432" s="6"/>
      <c r="EK432" s="6"/>
      <c r="EL432" s="6"/>
      <c r="EM432" s="6"/>
      <c r="EN432" s="6"/>
      <c r="EO432" s="6"/>
      <c r="EP432" s="6"/>
      <c r="EQ432" s="7">
        <f>ROUND(108.24,2)</f>
        <v>108.24</v>
      </c>
      <c r="ER432" s="6"/>
      <c r="ES432" s="6"/>
      <c r="ET432" s="6"/>
      <c r="EU432" s="6"/>
      <c r="EV432" s="7">
        <f>ROUND(21222.04,2)</f>
        <v>21222.04</v>
      </c>
    </row>
    <row r="433" spans="1:152">
      <c r="A433" s="4" t="s">
        <v>970</v>
      </c>
      <c r="B433" s="4" t="s">
        <v>1058</v>
      </c>
      <c r="C433" s="5" t="s">
        <v>152</v>
      </c>
      <c r="D433" s="5" t="s">
        <v>298</v>
      </c>
      <c r="E433" s="5" t="s">
        <v>0</v>
      </c>
      <c r="F433" s="5" t="s">
        <v>0</v>
      </c>
      <c r="G433" s="5" t="s">
        <v>155</v>
      </c>
      <c r="H433" s="10">
        <v>30.4</v>
      </c>
      <c r="I433" s="6"/>
      <c r="J433" s="6"/>
      <c r="K433" s="6"/>
      <c r="L433" s="6"/>
      <c r="M433" s="7">
        <f>ROUND(976.89,2)</f>
        <v>976.89</v>
      </c>
      <c r="N433" s="6"/>
      <c r="O433" s="6"/>
      <c r="P433" s="7">
        <f>ROUND(162.75,2)</f>
        <v>162.75</v>
      </c>
      <c r="Q433" s="6"/>
      <c r="R433" s="6"/>
      <c r="S433" s="6"/>
      <c r="T433" s="6"/>
      <c r="U433" s="7">
        <f>ROUND(109.95,2)</f>
        <v>109.95</v>
      </c>
      <c r="V433" s="7">
        <f>ROUND(29.24,2)</f>
        <v>29.24</v>
      </c>
      <c r="W433" s="7">
        <f>ROUND(15.11,2)</f>
        <v>15.11</v>
      </c>
      <c r="X433" s="7">
        <f>ROUND(1.67,2)</f>
        <v>1.67</v>
      </c>
      <c r="Y433" s="6"/>
      <c r="Z433" s="6"/>
      <c r="AA433" s="6"/>
      <c r="AB433" s="6"/>
      <c r="AC433" s="7">
        <f>ROUND(208.009999999999,2)</f>
        <v>208.01</v>
      </c>
      <c r="AD433" s="7">
        <f>ROUND(10.78,2)</f>
        <v>10.78</v>
      </c>
      <c r="AE433" s="6"/>
      <c r="AF433" s="7">
        <f>ROUND(513.58,2)</f>
        <v>513.58000000000004</v>
      </c>
      <c r="AG433" s="7">
        <f>ROUND(88.32,2)</f>
        <v>88.32</v>
      </c>
      <c r="AH433" s="7">
        <f>ROUND(88,2)</f>
        <v>88</v>
      </c>
      <c r="AI433" s="6"/>
      <c r="AJ433" s="7">
        <f>ROUND(80,2)</f>
        <v>80</v>
      </c>
      <c r="AK433" s="6"/>
      <c r="AL433" s="7">
        <f>ROUND(16,2)</f>
        <v>16</v>
      </c>
      <c r="AM433" s="7">
        <f>ROUND(3.95,2)</f>
        <v>3.95</v>
      </c>
      <c r="AN433" s="6"/>
      <c r="AO433" s="6"/>
      <c r="AP433" s="7">
        <f>ROUND(24,2)</f>
        <v>24</v>
      </c>
      <c r="AQ433" s="6"/>
      <c r="AR433" s="6"/>
      <c r="AS433" s="6"/>
      <c r="AT433" s="6"/>
      <c r="AU433" s="6"/>
      <c r="AV433" s="7">
        <f>ROUND(7.07,2)</f>
        <v>7.07</v>
      </c>
      <c r="AW433" s="7">
        <f>ROUND(1.27,2)</f>
        <v>1.27</v>
      </c>
      <c r="AX433" s="6"/>
      <c r="AY433" s="7">
        <f>ROUND(3,2)</f>
        <v>3</v>
      </c>
      <c r="AZ433" s="6"/>
      <c r="BA433" s="6"/>
      <c r="BB433" s="7">
        <f>ROUND(24,2)</f>
        <v>24</v>
      </c>
      <c r="BC433" s="6"/>
      <c r="BD433" s="7">
        <f>ROUND(7.18,2)</f>
        <v>7.18</v>
      </c>
      <c r="BE433" s="6"/>
      <c r="BF433" s="7">
        <f>ROUND(8,2)</f>
        <v>8</v>
      </c>
      <c r="BG433" s="7">
        <f>ROUND(40,2)</f>
        <v>40</v>
      </c>
      <c r="BH433" s="6"/>
      <c r="BI433" s="6"/>
      <c r="BJ433" s="6"/>
      <c r="BK433" s="6"/>
      <c r="BL433" s="6"/>
      <c r="BM433" s="7">
        <f>ROUND(16,2)</f>
        <v>16</v>
      </c>
      <c r="BN433" s="6"/>
      <c r="BO433" s="6"/>
      <c r="BP433" s="6"/>
      <c r="BQ433" s="6"/>
      <c r="BR433" s="6"/>
      <c r="BS433" s="6"/>
      <c r="BT433" s="6"/>
      <c r="BU433" s="6"/>
      <c r="BV433" s="6"/>
      <c r="BW433" s="6"/>
      <c r="BX433" s="6"/>
      <c r="BY433" s="6"/>
      <c r="BZ433" s="6"/>
      <c r="CA433" s="6"/>
      <c r="CB433" s="7">
        <f>ROUND(2434.76999999999,2)</f>
        <v>2434.77</v>
      </c>
      <c r="CC433" s="6"/>
      <c r="CD433" s="6"/>
      <c r="CE433" s="6"/>
      <c r="CF433" s="6"/>
      <c r="CG433" s="7">
        <f>ROUND(23835.23,2)</f>
        <v>23835.23</v>
      </c>
      <c r="CH433" s="6"/>
      <c r="CI433" s="6"/>
      <c r="CJ433" s="7">
        <f>ROUND(6069.86,2)</f>
        <v>6069.86</v>
      </c>
      <c r="CK433" s="6"/>
      <c r="CL433" s="6"/>
      <c r="CM433" s="6"/>
      <c r="CN433" s="6"/>
      <c r="CO433" s="7">
        <f>ROUND(2586.64999999999,2)</f>
        <v>2586.65</v>
      </c>
      <c r="CP433" s="7">
        <f>ROUND(1135.78,2)</f>
        <v>1135.78</v>
      </c>
      <c r="CQ433" s="7">
        <f>ROUND(356.909999999999,2)</f>
        <v>356.91</v>
      </c>
      <c r="CR433" s="7">
        <f>ROUND(58.45,2)</f>
        <v>58.45</v>
      </c>
      <c r="CS433" s="6"/>
      <c r="CT433" s="6"/>
      <c r="CU433" s="6"/>
      <c r="CV433" s="6"/>
      <c r="CW433" s="7">
        <f>ROUND(5047.47,2)</f>
        <v>5047.47</v>
      </c>
      <c r="CX433" s="7">
        <f>ROUND(394.82,2)</f>
        <v>394.82</v>
      </c>
      <c r="CY433" s="6"/>
      <c r="CZ433" s="6"/>
      <c r="DA433" s="7">
        <f>ROUND(12648.8999999999,2)</f>
        <v>12648.9</v>
      </c>
      <c r="DB433" s="7">
        <f>ROUND(3536.20999999999,2)</f>
        <v>3536.21</v>
      </c>
      <c r="DC433" s="7">
        <f>ROUND(2166.52,2)</f>
        <v>2166.52</v>
      </c>
      <c r="DD433" s="6"/>
      <c r="DE433" s="7">
        <f>ROUND(1866.8,2)</f>
        <v>1866.8</v>
      </c>
      <c r="DF433" s="6"/>
      <c r="DG433" s="6"/>
      <c r="DH433" s="6"/>
      <c r="DI433" s="7">
        <f>ROUND(429.88,2)</f>
        <v>429.88</v>
      </c>
      <c r="DJ433" s="7">
        <f>ROUND(92.37,2)</f>
        <v>92.37</v>
      </c>
      <c r="DK433" s="6"/>
      <c r="DL433" s="6"/>
      <c r="DM433" s="7">
        <f>ROUND(560.04,2)</f>
        <v>560.04</v>
      </c>
      <c r="DN433" s="6"/>
      <c r="DO433" s="6"/>
      <c r="DP433" s="6"/>
      <c r="DQ433" s="6"/>
      <c r="DR433" s="6"/>
      <c r="DS433" s="6"/>
      <c r="DT433" s="6"/>
      <c r="DU433" s="6"/>
      <c r="DV433" s="6"/>
      <c r="DW433" s="7">
        <f>ROUND(164.98,2)</f>
        <v>164.98</v>
      </c>
      <c r="DX433" s="7">
        <f>ROUND(44.45,2)</f>
        <v>44.45</v>
      </c>
      <c r="DY433" s="6"/>
      <c r="DZ433" s="7">
        <f>ROUND(105.68,2)</f>
        <v>105.68</v>
      </c>
      <c r="EA433" s="6"/>
      <c r="EB433" s="6"/>
      <c r="EC433" s="6"/>
      <c r="ED433" s="6"/>
      <c r="EE433" s="7">
        <f>ROUND(900,2)</f>
        <v>900</v>
      </c>
      <c r="EF433" s="6"/>
      <c r="EG433" s="6"/>
      <c r="EH433" s="6"/>
      <c r="EI433" s="6"/>
      <c r="EJ433" s="6"/>
      <c r="EK433" s="6"/>
      <c r="EL433" s="6"/>
      <c r="EM433" s="6"/>
      <c r="EN433" s="6"/>
      <c r="EO433" s="6"/>
      <c r="EP433" s="6"/>
      <c r="EQ433" s="7">
        <f>ROUND(1250,2)</f>
        <v>1250</v>
      </c>
      <c r="ER433" s="6"/>
      <c r="ES433" s="6"/>
      <c r="ET433" s="6"/>
      <c r="EU433" s="6"/>
      <c r="EV433" s="7">
        <f>ROUND(63251,2)</f>
        <v>63251</v>
      </c>
    </row>
    <row r="434" spans="1:152">
      <c r="A434" s="4" t="s">
        <v>971</v>
      </c>
      <c r="B434" s="4" t="s">
        <v>1058</v>
      </c>
      <c r="C434" s="5" t="s">
        <v>152</v>
      </c>
      <c r="D434" s="5" t="s">
        <v>281</v>
      </c>
      <c r="E434" s="5" t="s">
        <v>972</v>
      </c>
      <c r="F434" s="5" t="s">
        <v>0</v>
      </c>
      <c r="G434" s="5" t="s">
        <v>155</v>
      </c>
      <c r="H434" s="10">
        <v>17.5</v>
      </c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7">
        <f>ROUND(5,2)</f>
        <v>5</v>
      </c>
      <c r="AI434" s="6"/>
      <c r="AJ434" s="6"/>
      <c r="AK434" s="6"/>
      <c r="AL434" s="7">
        <f>ROUND(90.18,2)</f>
        <v>90.18</v>
      </c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  <c r="BA434" s="6"/>
      <c r="BB434" s="6"/>
      <c r="BC434" s="6"/>
      <c r="BD434" s="7">
        <f>ROUND(5.82,2)</f>
        <v>5.82</v>
      </c>
      <c r="BE434" s="6"/>
      <c r="BF434" s="6"/>
      <c r="BG434" s="6"/>
      <c r="BH434" s="6"/>
      <c r="BI434" s="6"/>
      <c r="BJ434" s="6"/>
      <c r="BK434" s="6"/>
      <c r="BL434" s="6"/>
      <c r="BM434" s="7">
        <f>ROUND(20,2)</f>
        <v>20</v>
      </c>
      <c r="BN434" s="6"/>
      <c r="BO434" s="6"/>
      <c r="BP434" s="6"/>
      <c r="BQ434" s="6"/>
      <c r="BR434" s="6"/>
      <c r="BS434" s="6"/>
      <c r="BT434" s="6"/>
      <c r="BU434" s="6"/>
      <c r="BV434" s="6"/>
      <c r="BW434" s="6"/>
      <c r="BX434" s="6"/>
      <c r="BY434" s="6"/>
      <c r="BZ434" s="6"/>
      <c r="CA434" s="6"/>
      <c r="CB434" s="7">
        <f>ROUND(121,2)</f>
        <v>121</v>
      </c>
      <c r="CC434" s="6"/>
      <c r="CD434" s="6"/>
      <c r="CE434" s="6"/>
      <c r="CF434" s="6"/>
      <c r="CG434" s="6"/>
      <c r="CH434" s="6"/>
      <c r="CI434" s="6"/>
      <c r="CJ434" s="6"/>
      <c r="CK434" s="6"/>
      <c r="CL434" s="6"/>
      <c r="CM434" s="6"/>
      <c r="CN434" s="6"/>
      <c r="CO434" s="6"/>
      <c r="CP434" s="6"/>
      <c r="CQ434" s="6"/>
      <c r="CR434" s="6"/>
      <c r="CS434" s="6"/>
      <c r="CT434" s="6"/>
      <c r="CU434" s="6"/>
      <c r="CV434" s="6"/>
      <c r="CW434" s="6"/>
      <c r="CX434" s="6"/>
      <c r="CY434" s="6"/>
      <c r="CZ434" s="6"/>
      <c r="DA434" s="6"/>
      <c r="DB434" s="6"/>
      <c r="DC434" s="7">
        <f>ROUND(87.5,2)</f>
        <v>87.5</v>
      </c>
      <c r="DD434" s="6"/>
      <c r="DE434" s="6"/>
      <c r="DF434" s="6"/>
      <c r="DG434" s="6"/>
      <c r="DH434" s="6"/>
      <c r="DI434" s="7">
        <f>ROUND(1578.15,2)</f>
        <v>1578.15</v>
      </c>
      <c r="DJ434" s="6"/>
      <c r="DK434" s="6"/>
      <c r="DL434" s="6"/>
      <c r="DM434" s="6"/>
      <c r="DN434" s="6"/>
      <c r="DO434" s="6"/>
      <c r="DP434" s="6"/>
      <c r="DQ434" s="6"/>
      <c r="DR434" s="6"/>
      <c r="DS434" s="6"/>
      <c r="DT434" s="6"/>
      <c r="DU434" s="6"/>
      <c r="DV434" s="6"/>
      <c r="DW434" s="6"/>
      <c r="DX434" s="6"/>
      <c r="DY434" s="6"/>
      <c r="DZ434" s="6"/>
      <c r="EA434" s="6"/>
      <c r="EB434" s="6"/>
      <c r="EC434" s="6"/>
      <c r="ED434" s="6"/>
      <c r="EE434" s="6"/>
      <c r="EF434" s="6"/>
      <c r="EG434" s="6"/>
      <c r="EH434" s="6"/>
      <c r="EI434" s="6"/>
      <c r="EJ434" s="6"/>
      <c r="EK434" s="6"/>
      <c r="EL434" s="6"/>
      <c r="EM434" s="6"/>
      <c r="EN434" s="6"/>
      <c r="EO434" s="6"/>
      <c r="EP434" s="6"/>
      <c r="EQ434" s="6"/>
      <c r="ER434" s="6"/>
      <c r="ES434" s="6"/>
      <c r="ET434" s="6"/>
      <c r="EU434" s="6"/>
      <c r="EV434" s="7">
        <f>ROUND(1665.65,2)</f>
        <v>1665.65</v>
      </c>
    </row>
    <row r="435" spans="1:152">
      <c r="A435" s="4" t="s">
        <v>973</v>
      </c>
      <c r="B435" s="4" t="s">
        <v>1058</v>
      </c>
      <c r="C435" s="5" t="s">
        <v>152</v>
      </c>
      <c r="D435" s="5" t="s">
        <v>489</v>
      </c>
      <c r="E435" s="5" t="s">
        <v>0</v>
      </c>
      <c r="F435" s="5" t="s">
        <v>0</v>
      </c>
      <c r="G435" s="5" t="s">
        <v>155</v>
      </c>
      <c r="H435" s="10">
        <v>30.4</v>
      </c>
      <c r="I435" s="6"/>
      <c r="J435" s="6"/>
      <c r="K435" s="6"/>
      <c r="L435" s="6"/>
      <c r="M435" s="7">
        <f>ROUND(1085.83,2)</f>
        <v>1085.83</v>
      </c>
      <c r="N435" s="6"/>
      <c r="O435" s="6"/>
      <c r="P435" s="7">
        <f>ROUND(123.36,2)</f>
        <v>123.36</v>
      </c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7">
        <f>ROUND(724.42,2)</f>
        <v>724.42</v>
      </c>
      <c r="AD435" s="7">
        <f>ROUND(7.73,2)</f>
        <v>7.73</v>
      </c>
      <c r="AE435" s="6"/>
      <c r="AF435" s="6"/>
      <c r="AG435" s="7">
        <f>ROUND(6,2)</f>
        <v>6</v>
      </c>
      <c r="AH435" s="7">
        <f>ROUND(88,2)</f>
        <v>88</v>
      </c>
      <c r="AI435" s="6"/>
      <c r="AJ435" s="7">
        <f>ROUND(128,2)</f>
        <v>128</v>
      </c>
      <c r="AK435" s="6"/>
      <c r="AL435" s="7">
        <f>ROUND(8.5,2)</f>
        <v>8.5</v>
      </c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  <c r="BA435" s="6"/>
      <c r="BB435" s="7">
        <f>ROUND(16,2)</f>
        <v>16</v>
      </c>
      <c r="BC435" s="6"/>
      <c r="BD435" s="7">
        <f>ROUND(4.83,2)</f>
        <v>4.83</v>
      </c>
      <c r="BE435" s="7">
        <f>ROUND(3.46999999999999,2)</f>
        <v>3.47</v>
      </c>
      <c r="BF435" s="6"/>
      <c r="BG435" s="7">
        <f>ROUND(22.75,2)</f>
        <v>22.75</v>
      </c>
      <c r="BH435" s="6"/>
      <c r="BI435" s="6"/>
      <c r="BJ435" s="6"/>
      <c r="BK435" s="6"/>
      <c r="BL435" s="6"/>
      <c r="BM435" s="7">
        <f>ROUND(45.25,2)</f>
        <v>45.25</v>
      </c>
      <c r="BN435" s="6"/>
      <c r="BO435" s="6"/>
      <c r="BP435" s="6"/>
      <c r="BQ435" s="6"/>
      <c r="BR435" s="6"/>
      <c r="BS435" s="6"/>
      <c r="BT435" s="6"/>
      <c r="BU435" s="6"/>
      <c r="BV435" s="6"/>
      <c r="BW435" s="6"/>
      <c r="BX435" s="6"/>
      <c r="BY435" s="6"/>
      <c r="BZ435" s="6"/>
      <c r="CA435" s="6"/>
      <c r="CB435" s="7">
        <f>ROUND(2264.14,2)</f>
        <v>2264.14</v>
      </c>
      <c r="CC435" s="6"/>
      <c r="CD435" s="6"/>
      <c r="CE435" s="6"/>
      <c r="CF435" s="6"/>
      <c r="CG435" s="7">
        <f>ROUND(30303.86,2)</f>
        <v>30303.86</v>
      </c>
      <c r="CH435" s="6"/>
      <c r="CI435" s="6"/>
      <c r="CJ435" s="7">
        <f>ROUND(5167.84,2)</f>
        <v>5167.84</v>
      </c>
      <c r="CK435" s="6"/>
      <c r="CL435" s="6"/>
      <c r="CM435" s="6"/>
      <c r="CN435" s="6"/>
      <c r="CO435" s="6"/>
      <c r="CP435" s="6"/>
      <c r="CQ435" s="6"/>
      <c r="CR435" s="6"/>
      <c r="CS435" s="6"/>
      <c r="CT435" s="6"/>
      <c r="CU435" s="6"/>
      <c r="CV435" s="6"/>
      <c r="CW435" s="7">
        <f>ROUND(20739.43,2)</f>
        <v>20739.43</v>
      </c>
      <c r="CX435" s="7">
        <f>ROUND(329.9,2)</f>
        <v>329.9</v>
      </c>
      <c r="CY435" s="6"/>
      <c r="CZ435" s="6"/>
      <c r="DA435" s="6"/>
      <c r="DB435" s="7">
        <f>ROUND(251.37,2)</f>
        <v>251.37</v>
      </c>
      <c r="DC435" s="7">
        <f>ROUND(2486.56,2)</f>
        <v>2486.56</v>
      </c>
      <c r="DD435" s="6"/>
      <c r="DE435" s="7">
        <f>ROUND(3555.84,2)</f>
        <v>3555.84</v>
      </c>
      <c r="DF435" s="6"/>
      <c r="DG435" s="6"/>
      <c r="DH435" s="6"/>
      <c r="DI435" s="7">
        <f>ROUND(236.13,2)</f>
        <v>236.13</v>
      </c>
      <c r="DJ435" s="6"/>
      <c r="DK435" s="6"/>
      <c r="DL435" s="6"/>
      <c r="DM435" s="6"/>
      <c r="DN435" s="6"/>
      <c r="DO435" s="6"/>
      <c r="DP435" s="6"/>
      <c r="DQ435" s="6"/>
      <c r="DR435" s="6"/>
      <c r="DS435" s="6"/>
      <c r="DT435" s="6"/>
      <c r="DU435" s="6"/>
      <c r="DV435" s="6"/>
      <c r="DW435" s="6"/>
      <c r="DX435" s="6"/>
      <c r="DY435" s="6"/>
      <c r="DZ435" s="6"/>
      <c r="EA435" s="6"/>
      <c r="EB435" s="6"/>
      <c r="EC435" s="6"/>
      <c r="ED435" s="6"/>
      <c r="EE435" s="7">
        <f>ROUND(1000,2)</f>
        <v>1000</v>
      </c>
      <c r="EF435" s="6"/>
      <c r="EG435" s="6"/>
      <c r="EH435" s="6"/>
      <c r="EI435" s="6"/>
      <c r="EJ435" s="6"/>
      <c r="EK435" s="6"/>
      <c r="EL435" s="6"/>
      <c r="EM435" s="6"/>
      <c r="EN435" s="6"/>
      <c r="EO435" s="6"/>
      <c r="EP435" s="6"/>
      <c r="EQ435" s="7">
        <f>ROUND(1250,2)</f>
        <v>1250</v>
      </c>
      <c r="ER435" s="6"/>
      <c r="ES435" s="6"/>
      <c r="ET435" s="6"/>
      <c r="EU435" s="6"/>
      <c r="EV435" s="7">
        <f>ROUND(65320.93,2)</f>
        <v>65320.93</v>
      </c>
    </row>
    <row r="436" spans="1:152">
      <c r="A436" s="4" t="s">
        <v>974</v>
      </c>
      <c r="B436" s="4" t="s">
        <v>1058</v>
      </c>
      <c r="C436" s="5" t="s">
        <v>152</v>
      </c>
      <c r="D436" s="5" t="s">
        <v>153</v>
      </c>
      <c r="E436" s="5" t="s">
        <v>0</v>
      </c>
      <c r="F436" s="5" t="s">
        <v>0</v>
      </c>
      <c r="G436" s="5" t="s">
        <v>155</v>
      </c>
      <c r="H436" s="10">
        <v>30.4</v>
      </c>
      <c r="I436" s="6"/>
      <c r="J436" s="6"/>
      <c r="K436" s="6"/>
      <c r="L436" s="6"/>
      <c r="M436" s="7">
        <f>ROUND(752.469999999999,2)</f>
        <v>752.47</v>
      </c>
      <c r="N436" s="6"/>
      <c r="O436" s="6"/>
      <c r="P436" s="7">
        <f>ROUND(138.959999999999,2)</f>
        <v>138.96</v>
      </c>
      <c r="Q436" s="6"/>
      <c r="R436" s="6"/>
      <c r="S436" s="6"/>
      <c r="T436" s="6"/>
      <c r="U436" s="7">
        <f>ROUND(23.48,2)</f>
        <v>23.48</v>
      </c>
      <c r="V436" s="6"/>
      <c r="W436" s="7">
        <f>ROUND(9.81,2)</f>
        <v>9.81</v>
      </c>
      <c r="X436" s="7">
        <f>ROUND(0.66,2)</f>
        <v>0.66</v>
      </c>
      <c r="Y436" s="6"/>
      <c r="Z436" s="6"/>
      <c r="AA436" s="6"/>
      <c r="AB436" s="6"/>
      <c r="AC436" s="7">
        <f>ROUND(118.09,2)</f>
        <v>118.09</v>
      </c>
      <c r="AD436" s="7">
        <f>ROUND(5.25,2)</f>
        <v>5.25</v>
      </c>
      <c r="AE436" s="6"/>
      <c r="AF436" s="7">
        <f>ROUND(412.65,2)</f>
        <v>412.65</v>
      </c>
      <c r="AG436" s="7">
        <f>ROUND(43.39,2)</f>
        <v>43.39</v>
      </c>
      <c r="AH436" s="7">
        <f>ROUND(80,2)</f>
        <v>80</v>
      </c>
      <c r="AI436" s="6"/>
      <c r="AJ436" s="7">
        <f>ROUND(56,2)</f>
        <v>56</v>
      </c>
      <c r="AK436" s="6"/>
      <c r="AL436" s="7">
        <f>ROUND(16.02,2)</f>
        <v>16.02</v>
      </c>
      <c r="AM436" s="6"/>
      <c r="AN436" s="6"/>
      <c r="AO436" s="6"/>
      <c r="AP436" s="6"/>
      <c r="AQ436" s="6"/>
      <c r="AR436" s="6"/>
      <c r="AS436" s="6"/>
      <c r="AT436" s="6"/>
      <c r="AU436" s="6"/>
      <c r="AV436" s="7">
        <f>ROUND(4.35,2)</f>
        <v>4.3499999999999996</v>
      </c>
      <c r="AW436" s="7">
        <f>ROUND(3.82,2)</f>
        <v>3.82</v>
      </c>
      <c r="AX436" s="6"/>
      <c r="AY436" s="6"/>
      <c r="AZ436" s="6"/>
      <c r="BA436" s="6"/>
      <c r="BB436" s="7">
        <f>ROUND(8,2)</f>
        <v>8</v>
      </c>
      <c r="BC436" s="7">
        <f>ROUND(72,2)</f>
        <v>72</v>
      </c>
      <c r="BD436" s="7">
        <f>ROUND(0.48,2)</f>
        <v>0.48</v>
      </c>
      <c r="BE436" s="7">
        <f>ROUND(1.75,2)</f>
        <v>1.75</v>
      </c>
      <c r="BF436" s="7">
        <f>ROUND(18.2,2)</f>
        <v>18.2</v>
      </c>
      <c r="BG436" s="7">
        <f>ROUND(17.92,2)</f>
        <v>17.920000000000002</v>
      </c>
      <c r="BH436" s="7">
        <f>ROUND(8,2)</f>
        <v>8</v>
      </c>
      <c r="BI436" s="6"/>
      <c r="BJ436" s="6"/>
      <c r="BK436" s="6"/>
      <c r="BL436" s="7">
        <f>ROUND(232,2)</f>
        <v>232</v>
      </c>
      <c r="BM436" s="7">
        <f>ROUND(8,2)</f>
        <v>8</v>
      </c>
      <c r="BN436" s="6"/>
      <c r="BO436" s="6"/>
      <c r="BP436" s="7">
        <f>ROUND(288,2)</f>
        <v>288</v>
      </c>
      <c r="BQ436" s="6"/>
      <c r="BR436" s="6"/>
      <c r="BS436" s="6"/>
      <c r="BT436" s="6"/>
      <c r="BU436" s="6"/>
      <c r="BV436" s="6"/>
      <c r="BW436" s="6"/>
      <c r="BX436" s="6"/>
      <c r="BY436" s="6"/>
      <c r="BZ436" s="6"/>
      <c r="CA436" s="7">
        <f>ROUND(16,2)</f>
        <v>16</v>
      </c>
      <c r="CB436" s="7">
        <f>ROUND(2335.3,2)</f>
        <v>2335.3000000000002</v>
      </c>
      <c r="CC436" s="6"/>
      <c r="CD436" s="6"/>
      <c r="CE436" s="6"/>
      <c r="CF436" s="6"/>
      <c r="CG436" s="7">
        <f>ROUND(18372.3199999999,2)</f>
        <v>18372.32</v>
      </c>
      <c r="CH436" s="6"/>
      <c r="CI436" s="6"/>
      <c r="CJ436" s="7">
        <f>ROUND(5274.45,2)</f>
        <v>5274.45</v>
      </c>
      <c r="CK436" s="6"/>
      <c r="CL436" s="6"/>
      <c r="CM436" s="6"/>
      <c r="CN436" s="6"/>
      <c r="CO436" s="7">
        <f>ROUND(549.4,2)</f>
        <v>549.4</v>
      </c>
      <c r="CP436" s="6"/>
      <c r="CQ436" s="7">
        <f>ROUND(233.46,2)</f>
        <v>233.46</v>
      </c>
      <c r="CR436" s="7">
        <f>ROUND(23.1,2)</f>
        <v>23.1</v>
      </c>
      <c r="CS436" s="6"/>
      <c r="CT436" s="6"/>
      <c r="CU436" s="6"/>
      <c r="CV436" s="6"/>
      <c r="CW436" s="7">
        <f>ROUND(2967.74,2)</f>
        <v>2967.74</v>
      </c>
      <c r="CX436" s="7">
        <f>ROUND(229.76,2)</f>
        <v>229.76</v>
      </c>
      <c r="CY436" s="6"/>
      <c r="CZ436" s="6"/>
      <c r="DA436" s="7">
        <f>ROUND(10458.2,2)</f>
        <v>10458.200000000001</v>
      </c>
      <c r="DB436" s="7">
        <f>ROUND(1569.8,2)</f>
        <v>1569.8</v>
      </c>
      <c r="DC436" s="7">
        <f>ROUND(1979.84,2)</f>
        <v>1979.84</v>
      </c>
      <c r="DD436" s="6"/>
      <c r="DE436" s="7">
        <f>ROUND(1419.8,2)</f>
        <v>1419.8</v>
      </c>
      <c r="DF436" s="6"/>
      <c r="DG436" s="6"/>
      <c r="DH436" s="6"/>
      <c r="DI436" s="7">
        <f>ROUND(426.96,2)</f>
        <v>426.96</v>
      </c>
      <c r="DJ436" s="6"/>
      <c r="DK436" s="6"/>
      <c r="DL436" s="6"/>
      <c r="DM436" s="6"/>
      <c r="DN436" s="6"/>
      <c r="DO436" s="6"/>
      <c r="DP436" s="6"/>
      <c r="DQ436" s="6"/>
      <c r="DR436" s="7">
        <f>ROUND(500,2)</f>
        <v>500</v>
      </c>
      <c r="DS436" s="6"/>
      <c r="DT436" s="6"/>
      <c r="DU436" s="6"/>
      <c r="DV436" s="6"/>
      <c r="DW436" s="7">
        <f>ROUND(101.51,2)</f>
        <v>101.51</v>
      </c>
      <c r="DX436" s="7">
        <f>ROUND(133.71,2)</f>
        <v>133.71</v>
      </c>
      <c r="DY436" s="6"/>
      <c r="DZ436" s="6"/>
      <c r="EA436" s="6"/>
      <c r="EB436" s="6"/>
      <c r="EC436" s="7">
        <f>ROUND(186.68,2)</f>
        <v>186.68</v>
      </c>
      <c r="ED436" s="6"/>
      <c r="EE436" s="7">
        <f>ROUND(400,2)</f>
        <v>400</v>
      </c>
      <c r="EF436" s="6"/>
      <c r="EG436" s="6"/>
      <c r="EH436" s="6"/>
      <c r="EI436" s="6"/>
      <c r="EJ436" s="6"/>
      <c r="EK436" s="6"/>
      <c r="EL436" s="6"/>
      <c r="EM436" s="6"/>
      <c r="EN436" s="6"/>
      <c r="EO436" s="6"/>
      <c r="EP436" s="6"/>
      <c r="EQ436" s="7">
        <f>ROUND(816.72,2)</f>
        <v>816.72</v>
      </c>
      <c r="ER436" s="6"/>
      <c r="ES436" s="6"/>
      <c r="ET436" s="6"/>
      <c r="EU436" s="7">
        <f>ROUND(486.4,2)</f>
        <v>486.4</v>
      </c>
      <c r="EV436" s="7">
        <f>ROUND(46129.85,2)</f>
        <v>46129.85</v>
      </c>
    </row>
    <row r="437" spans="1:152">
      <c r="A437" s="4" t="s">
        <v>975</v>
      </c>
      <c r="B437" s="4" t="s">
        <v>1058</v>
      </c>
      <c r="C437" s="5" t="s">
        <v>152</v>
      </c>
      <c r="D437" s="5" t="s">
        <v>243</v>
      </c>
      <c r="E437" s="5" t="s">
        <v>0</v>
      </c>
      <c r="F437" s="5" t="s">
        <v>0</v>
      </c>
      <c r="G437" s="5" t="s">
        <v>155</v>
      </c>
      <c r="H437" s="10">
        <v>30.4</v>
      </c>
      <c r="I437" s="6"/>
      <c r="J437" s="6"/>
      <c r="K437" s="6"/>
      <c r="L437" s="6"/>
      <c r="M437" s="7">
        <f>ROUND(1752.74,2)</f>
        <v>1752.74</v>
      </c>
      <c r="N437" s="6"/>
      <c r="O437" s="6"/>
      <c r="P437" s="7">
        <f>ROUND(577.64,2)</f>
        <v>577.64</v>
      </c>
      <c r="Q437" s="6"/>
      <c r="R437" s="6"/>
      <c r="S437" s="6"/>
      <c r="T437" s="6"/>
      <c r="U437" s="7">
        <f>ROUND(12.3,2)</f>
        <v>12.3</v>
      </c>
      <c r="V437" s="7">
        <f>ROUND(38.86,2)</f>
        <v>38.86</v>
      </c>
      <c r="W437" s="7">
        <f>ROUND(0.33,2)</f>
        <v>0.33</v>
      </c>
      <c r="X437" s="6"/>
      <c r="Y437" s="6"/>
      <c r="Z437" s="6"/>
      <c r="AA437" s="6"/>
      <c r="AB437" s="6"/>
      <c r="AC437" s="7">
        <f>ROUND(6.42,2)</f>
        <v>6.42</v>
      </c>
      <c r="AD437" s="7">
        <f>ROUND(3.87,2)</f>
        <v>3.87</v>
      </c>
      <c r="AE437" s="6"/>
      <c r="AF437" s="7">
        <f>ROUND(123.55,2)</f>
        <v>123.55</v>
      </c>
      <c r="AG437" s="7">
        <f>ROUND(80.75,2)</f>
        <v>80.75</v>
      </c>
      <c r="AH437" s="7">
        <f>ROUND(80,2)</f>
        <v>80</v>
      </c>
      <c r="AI437" s="6"/>
      <c r="AJ437" s="7">
        <f>ROUND(96,2)</f>
        <v>96</v>
      </c>
      <c r="AK437" s="6"/>
      <c r="AL437" s="7">
        <f>ROUND(0.67,2)</f>
        <v>0.67</v>
      </c>
      <c r="AM437" s="6"/>
      <c r="AN437" s="7">
        <f>ROUND(9.17,2)</f>
        <v>9.17</v>
      </c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  <c r="BA437" s="6"/>
      <c r="BB437" s="6"/>
      <c r="BC437" s="6"/>
      <c r="BD437" s="7">
        <f>ROUND(0.03,2)</f>
        <v>0.03</v>
      </c>
      <c r="BE437" s="7">
        <f>ROUND(0.2,2)</f>
        <v>0.2</v>
      </c>
      <c r="BF437" s="6"/>
      <c r="BG437" s="6"/>
      <c r="BH437" s="7">
        <f>ROUND(8,2)</f>
        <v>8</v>
      </c>
      <c r="BI437" s="6"/>
      <c r="BJ437" s="6"/>
      <c r="BK437" s="6"/>
      <c r="BL437" s="6"/>
      <c r="BM437" s="7">
        <f>ROUND(6,2)</f>
        <v>6</v>
      </c>
      <c r="BN437" s="6"/>
      <c r="BO437" s="6"/>
      <c r="BP437" s="6"/>
      <c r="BQ437" s="6"/>
      <c r="BR437" s="6"/>
      <c r="BS437" s="6"/>
      <c r="BT437" s="6"/>
      <c r="BU437" s="6"/>
      <c r="BV437" s="6"/>
      <c r="BW437" s="6"/>
      <c r="BX437" s="6"/>
      <c r="BY437" s="6"/>
      <c r="BZ437" s="6"/>
      <c r="CA437" s="7">
        <f>ROUND(64,2)</f>
        <v>64</v>
      </c>
      <c r="CB437" s="7">
        <f>ROUND(2860.53,2)</f>
        <v>2860.53</v>
      </c>
      <c r="CC437" s="6"/>
      <c r="CD437" s="6"/>
      <c r="CE437" s="6"/>
      <c r="CF437" s="6"/>
      <c r="CG437" s="7">
        <f>ROUND(49864.7999999999,2)</f>
        <v>49864.800000000003</v>
      </c>
      <c r="CH437" s="6"/>
      <c r="CI437" s="6"/>
      <c r="CJ437" s="7">
        <f>ROUND(24547.78,2)</f>
        <v>24547.78</v>
      </c>
      <c r="CK437" s="6"/>
      <c r="CL437" s="6"/>
      <c r="CM437" s="6"/>
      <c r="CN437" s="6"/>
      <c r="CO437" s="7">
        <f>ROUND(342.43,2)</f>
        <v>342.43</v>
      </c>
      <c r="CP437" s="7">
        <f>ROUND(1655.83999999999,2)</f>
        <v>1655.84</v>
      </c>
      <c r="CQ437" s="7">
        <f>ROUND(9.17,2)</f>
        <v>9.17</v>
      </c>
      <c r="CR437" s="6"/>
      <c r="CS437" s="6"/>
      <c r="CT437" s="6"/>
      <c r="CU437" s="6"/>
      <c r="CV437" s="6"/>
      <c r="CW437" s="7">
        <f>ROUND(178.35,2)</f>
        <v>178.35</v>
      </c>
      <c r="CX437" s="7">
        <f>ROUND(161.26,2)</f>
        <v>161.26</v>
      </c>
      <c r="CY437" s="6"/>
      <c r="CZ437" s="6"/>
      <c r="DA437" s="7">
        <f>ROUND(3444.82,2)</f>
        <v>3444.82</v>
      </c>
      <c r="DB437" s="7">
        <f>ROUND(3410.94999999999,2)</f>
        <v>3410.95</v>
      </c>
      <c r="DC437" s="7">
        <f>ROUND(2285.28,2)</f>
        <v>2285.2800000000002</v>
      </c>
      <c r="DD437" s="6"/>
      <c r="DE437" s="7">
        <f>ROUND(2666.88,2)</f>
        <v>2666.88</v>
      </c>
      <c r="DF437" s="6"/>
      <c r="DG437" s="6"/>
      <c r="DH437" s="6"/>
      <c r="DI437" s="7">
        <f>ROUND(18.61,2)</f>
        <v>18.61</v>
      </c>
      <c r="DJ437" s="6"/>
      <c r="DK437" s="7">
        <f>ROUND(382.11,2)</f>
        <v>382.11</v>
      </c>
      <c r="DL437" s="6"/>
      <c r="DM437" s="6"/>
      <c r="DN437" s="6"/>
      <c r="DO437" s="6"/>
      <c r="DP437" s="6"/>
      <c r="DQ437" s="6"/>
      <c r="DR437" s="6"/>
      <c r="DS437" s="6"/>
      <c r="DT437" s="6"/>
      <c r="DU437" s="6"/>
      <c r="DV437" s="6"/>
      <c r="DW437" s="6"/>
      <c r="DX437" s="6"/>
      <c r="DY437" s="6"/>
      <c r="DZ437" s="6"/>
      <c r="EA437" s="6"/>
      <c r="EB437" s="6"/>
      <c r="EC437" s="6"/>
      <c r="ED437" s="7">
        <f>ROUND(222.24,2)</f>
        <v>222.24</v>
      </c>
      <c r="EE437" s="7">
        <f>ROUND(2000,2)</f>
        <v>2000</v>
      </c>
      <c r="EF437" s="6"/>
      <c r="EG437" s="6"/>
      <c r="EH437" s="6"/>
      <c r="EI437" s="6"/>
      <c r="EJ437" s="6"/>
      <c r="EK437" s="6"/>
      <c r="EL437" s="6"/>
      <c r="EM437" s="6"/>
      <c r="EN437" s="6"/>
      <c r="EO437" s="6"/>
      <c r="EP437" s="6"/>
      <c r="EQ437" s="7">
        <f>ROUND(1250,2)</f>
        <v>1250</v>
      </c>
      <c r="ER437" s="6"/>
      <c r="ES437" s="6"/>
      <c r="ET437" s="6"/>
      <c r="EU437" s="7">
        <f>ROUND(1945.6,2)</f>
        <v>1945.6</v>
      </c>
      <c r="EV437" s="7">
        <f>ROUND(94386.1199999999,2)</f>
        <v>94386.12</v>
      </c>
    </row>
    <row r="438" spans="1:152">
      <c r="A438" s="4" t="s">
        <v>976</v>
      </c>
      <c r="B438" s="4" t="s">
        <v>1058</v>
      </c>
      <c r="C438" s="5" t="s">
        <v>211</v>
      </c>
      <c r="D438" s="5" t="s">
        <v>977</v>
      </c>
      <c r="E438" s="5" t="s">
        <v>0</v>
      </c>
      <c r="F438" s="5" t="s">
        <v>0</v>
      </c>
      <c r="G438" s="5" t="s">
        <v>218</v>
      </c>
      <c r="H438" s="10">
        <v>34</v>
      </c>
      <c r="I438" s="6"/>
      <c r="J438" s="6"/>
      <c r="K438" s="7">
        <f>ROUND(1872,2)</f>
        <v>1872</v>
      </c>
      <c r="L438" s="7">
        <f>ROUND(472.78,2)</f>
        <v>472.78</v>
      </c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7">
        <f>ROUND(88,2)</f>
        <v>88</v>
      </c>
      <c r="AI438" s="6"/>
      <c r="AJ438" s="7">
        <f>ROUND(88,2)</f>
        <v>88</v>
      </c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  <c r="BA438" s="6"/>
      <c r="BB438" s="6"/>
      <c r="BC438" s="6"/>
      <c r="BD438" s="6"/>
      <c r="BE438" s="6"/>
      <c r="BF438" s="6"/>
      <c r="BG438" s="6"/>
      <c r="BH438" s="6"/>
      <c r="BI438" s="6"/>
      <c r="BJ438" s="6"/>
      <c r="BK438" s="6"/>
      <c r="BL438" s="6"/>
      <c r="BM438" s="7">
        <f>ROUND(8,2)</f>
        <v>8</v>
      </c>
      <c r="BN438" s="6"/>
      <c r="BO438" s="7">
        <f>ROUND(32,2)</f>
        <v>32</v>
      </c>
      <c r="BP438" s="6"/>
      <c r="BQ438" s="6"/>
      <c r="BR438" s="6"/>
      <c r="BS438" s="6"/>
      <c r="BT438" s="6"/>
      <c r="BU438" s="6"/>
      <c r="BV438" s="6"/>
      <c r="BW438" s="6"/>
      <c r="BX438" s="6"/>
      <c r="BY438" s="6"/>
      <c r="BZ438" s="6"/>
      <c r="CA438" s="7">
        <f>ROUND(40,2)</f>
        <v>40</v>
      </c>
      <c r="CB438" s="7">
        <f>ROUND(2600.78,2)</f>
        <v>2600.7800000000002</v>
      </c>
      <c r="CC438" s="6"/>
      <c r="CD438" s="6"/>
      <c r="CE438" s="7">
        <f>ROUND(58644.2,2)</f>
        <v>58644.2</v>
      </c>
      <c r="CF438" s="7">
        <f>ROUND(21937.8099999999,2)</f>
        <v>21937.81</v>
      </c>
      <c r="CG438" s="6"/>
      <c r="CH438" s="6"/>
      <c r="CI438" s="6"/>
      <c r="CJ438" s="6"/>
      <c r="CK438" s="6"/>
      <c r="CL438" s="6"/>
      <c r="CM438" s="6"/>
      <c r="CN438" s="6"/>
      <c r="CO438" s="6"/>
      <c r="CP438" s="6"/>
      <c r="CQ438" s="6"/>
      <c r="CR438" s="6"/>
      <c r="CS438" s="6"/>
      <c r="CT438" s="6"/>
      <c r="CU438" s="6"/>
      <c r="CV438" s="6"/>
      <c r="CW438" s="6"/>
      <c r="CX438" s="6"/>
      <c r="CY438" s="6"/>
      <c r="CZ438" s="6"/>
      <c r="DA438" s="6"/>
      <c r="DB438" s="6"/>
      <c r="DC438" s="7">
        <f>ROUND(2762,2)</f>
        <v>2762</v>
      </c>
      <c r="DD438" s="6"/>
      <c r="DE438" s="7">
        <f>ROUND(2602.4,2)</f>
        <v>2602.4</v>
      </c>
      <c r="DF438" s="6"/>
      <c r="DG438" s="6"/>
      <c r="DH438" s="6"/>
      <c r="DI438" s="6"/>
      <c r="DJ438" s="6"/>
      <c r="DK438" s="6"/>
      <c r="DL438" s="6"/>
      <c r="DM438" s="6"/>
      <c r="DN438" s="6"/>
      <c r="DO438" s="6"/>
      <c r="DP438" s="6"/>
      <c r="DQ438" s="6"/>
      <c r="DR438" s="6"/>
      <c r="DS438" s="6"/>
      <c r="DT438" s="6"/>
      <c r="DU438" s="6"/>
      <c r="DV438" s="6"/>
      <c r="DW438" s="6"/>
      <c r="DX438" s="6"/>
      <c r="DY438" s="6"/>
      <c r="DZ438" s="6"/>
      <c r="EA438" s="6"/>
      <c r="EB438" s="6"/>
      <c r="EC438" s="6"/>
      <c r="ED438" s="6"/>
      <c r="EE438" s="7">
        <f>ROUND(1450,2)</f>
        <v>1450</v>
      </c>
      <c r="EF438" s="6"/>
      <c r="EG438" s="6"/>
      <c r="EH438" s="6"/>
      <c r="EI438" s="6"/>
      <c r="EJ438" s="6"/>
      <c r="EK438" s="6"/>
      <c r="EL438" s="6"/>
      <c r="EM438" s="6"/>
      <c r="EN438" s="6"/>
      <c r="EO438" s="6"/>
      <c r="EP438" s="6"/>
      <c r="EQ438" s="7">
        <f>ROUND(1250,2)</f>
        <v>1250</v>
      </c>
      <c r="ER438" s="6"/>
      <c r="ES438" s="6"/>
      <c r="ET438" s="6"/>
      <c r="EU438" s="7">
        <f>ROUND(1360,2)</f>
        <v>1360</v>
      </c>
      <c r="EV438" s="7">
        <f>ROUND(90006.41,2)</f>
        <v>90006.41</v>
      </c>
    </row>
    <row r="439" spans="1:152">
      <c r="A439" s="4" t="s">
        <v>978</v>
      </c>
      <c r="B439" s="4" t="s">
        <v>1058</v>
      </c>
      <c r="C439" s="5" t="s">
        <v>211</v>
      </c>
      <c r="D439" s="5" t="s">
        <v>979</v>
      </c>
      <c r="E439" s="5" t="s">
        <v>0</v>
      </c>
      <c r="F439" s="5" t="s">
        <v>980</v>
      </c>
      <c r="G439" s="5" t="s">
        <v>466</v>
      </c>
      <c r="H439" s="10">
        <v>34.6</v>
      </c>
      <c r="I439" s="6"/>
      <c r="J439" s="6"/>
      <c r="K439" s="7">
        <f>ROUND(848,2)</f>
        <v>848</v>
      </c>
      <c r="L439" s="7">
        <f>ROUND(208,2)</f>
        <v>208</v>
      </c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7">
        <f>ROUND(48,2)</f>
        <v>48</v>
      </c>
      <c r="AI439" s="6"/>
      <c r="AJ439" s="7">
        <f>ROUND(152,2)</f>
        <v>152</v>
      </c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  <c r="BA439" s="6"/>
      <c r="BB439" s="6"/>
      <c r="BC439" s="7">
        <f>ROUND(1000,2)</f>
        <v>1000</v>
      </c>
      <c r="BD439" s="6"/>
      <c r="BE439" s="7">
        <f>ROUND(9.15,2)</f>
        <v>9.15</v>
      </c>
      <c r="BF439" s="6"/>
      <c r="BG439" s="6"/>
      <c r="BH439" s="7">
        <f>ROUND(24,2)</f>
        <v>24</v>
      </c>
      <c r="BI439" s="6"/>
      <c r="BJ439" s="6"/>
      <c r="BK439" s="6"/>
      <c r="BL439" s="6"/>
      <c r="BM439" s="6"/>
      <c r="BN439" s="6"/>
      <c r="BO439" s="7">
        <f>ROUND(24,2)</f>
        <v>24</v>
      </c>
      <c r="BP439" s="6"/>
      <c r="BQ439" s="6"/>
      <c r="BR439" s="6"/>
      <c r="BS439" s="6"/>
      <c r="BT439" s="6"/>
      <c r="BU439" s="6"/>
      <c r="BV439" s="6"/>
      <c r="BW439" s="6"/>
      <c r="BX439" s="6"/>
      <c r="BY439" s="6"/>
      <c r="BZ439" s="6"/>
      <c r="CA439" s="7">
        <f>ROUND(48,2)</f>
        <v>48</v>
      </c>
      <c r="CB439" s="7">
        <f>ROUND(2361.15,2)</f>
        <v>2361.15</v>
      </c>
      <c r="CC439" s="6"/>
      <c r="CD439" s="6"/>
      <c r="CE439" s="7">
        <f>ROUND(27186.89,2)</f>
        <v>27186.89</v>
      </c>
      <c r="CF439" s="7">
        <f>ROUND(9996.66,2)</f>
        <v>9996.66</v>
      </c>
      <c r="CG439" s="6"/>
      <c r="CH439" s="6"/>
      <c r="CI439" s="6"/>
      <c r="CJ439" s="6"/>
      <c r="CK439" s="6"/>
      <c r="CL439" s="6"/>
      <c r="CM439" s="6"/>
      <c r="CN439" s="6"/>
      <c r="CO439" s="6"/>
      <c r="CP439" s="6"/>
      <c r="CQ439" s="6"/>
      <c r="CR439" s="6"/>
      <c r="CS439" s="6"/>
      <c r="CT439" s="6"/>
      <c r="CU439" s="6"/>
      <c r="CV439" s="6"/>
      <c r="CW439" s="6"/>
      <c r="CX439" s="6"/>
      <c r="CY439" s="6"/>
      <c r="CZ439" s="6"/>
      <c r="DA439" s="6"/>
      <c r="DB439" s="6"/>
      <c r="DC439" s="7">
        <f>ROUND(1566.4,2)</f>
        <v>1566.4</v>
      </c>
      <c r="DD439" s="6"/>
      <c r="DE439" s="7">
        <f>ROUND(4954.79999999999,2)</f>
        <v>4954.8</v>
      </c>
      <c r="DF439" s="6"/>
      <c r="DG439" s="6"/>
      <c r="DH439" s="6"/>
      <c r="DI439" s="6"/>
      <c r="DJ439" s="6"/>
      <c r="DK439" s="6"/>
      <c r="DL439" s="6"/>
      <c r="DM439" s="6"/>
      <c r="DN439" s="6"/>
      <c r="DO439" s="6"/>
      <c r="DP439" s="6"/>
      <c r="DQ439" s="6"/>
      <c r="DR439" s="6"/>
      <c r="DS439" s="6"/>
      <c r="DT439" s="6"/>
      <c r="DU439" s="6"/>
      <c r="DV439" s="6"/>
      <c r="DW439" s="6"/>
      <c r="DX439" s="6"/>
      <c r="DY439" s="6"/>
      <c r="DZ439" s="6"/>
      <c r="EA439" s="6"/>
      <c r="EB439" s="6"/>
      <c r="EC439" s="6"/>
      <c r="ED439" s="6"/>
      <c r="EE439" s="7">
        <f>ROUND(750,2)</f>
        <v>750</v>
      </c>
      <c r="EF439" s="6"/>
      <c r="EG439" s="6"/>
      <c r="EH439" s="6"/>
      <c r="EI439" s="6"/>
      <c r="EJ439" s="6"/>
      <c r="EK439" s="6"/>
      <c r="EL439" s="6"/>
      <c r="EM439" s="6"/>
      <c r="EN439" s="6"/>
      <c r="EO439" s="6"/>
      <c r="EP439" s="6"/>
      <c r="EQ439" s="7">
        <f>ROUND(211.64,2)</f>
        <v>211.64</v>
      </c>
      <c r="ER439" s="6"/>
      <c r="ES439" s="6"/>
      <c r="ET439" s="6"/>
      <c r="EU439" s="7">
        <f>ROUND(1632,2)</f>
        <v>1632</v>
      </c>
      <c r="EV439" s="7">
        <f>ROUND(46298.3899999998,2)</f>
        <v>46298.39</v>
      </c>
    </row>
    <row r="440" spans="1:152">
      <c r="A440" s="4" t="s">
        <v>981</v>
      </c>
      <c r="B440" s="4" t="s">
        <v>1058</v>
      </c>
      <c r="C440" s="5" t="s">
        <v>152</v>
      </c>
      <c r="D440" s="5" t="s">
        <v>825</v>
      </c>
      <c r="E440" s="5" t="s">
        <v>0</v>
      </c>
      <c r="F440" s="5" t="s">
        <v>0</v>
      </c>
      <c r="G440" s="5" t="s">
        <v>155</v>
      </c>
      <c r="H440" s="10">
        <v>30.4</v>
      </c>
      <c r="I440" s="6"/>
      <c r="J440" s="6"/>
      <c r="K440" s="6"/>
      <c r="L440" s="6"/>
      <c r="M440" s="7">
        <f>ROUND(1769.84,2)</f>
        <v>1769.84</v>
      </c>
      <c r="N440" s="6"/>
      <c r="O440" s="6"/>
      <c r="P440" s="7">
        <f>ROUND(335.72,2)</f>
        <v>335.72</v>
      </c>
      <c r="Q440" s="6"/>
      <c r="R440" s="6"/>
      <c r="S440" s="6"/>
      <c r="T440" s="6"/>
      <c r="U440" s="7">
        <f>ROUND(8.73,2)</f>
        <v>8.73</v>
      </c>
      <c r="V440" s="6"/>
      <c r="W440" s="7">
        <f>ROUND(2.35,2)</f>
        <v>2.35</v>
      </c>
      <c r="X440" s="7">
        <f>ROUND(0.52,2)</f>
        <v>0.52</v>
      </c>
      <c r="Y440" s="6"/>
      <c r="Z440" s="6"/>
      <c r="AA440" s="6"/>
      <c r="AB440" s="6"/>
      <c r="AC440" s="7">
        <f>ROUND(51.7799999999999,2)</f>
        <v>51.78</v>
      </c>
      <c r="AD440" s="7">
        <f>ROUND(20.5499999999999,2)</f>
        <v>20.55</v>
      </c>
      <c r="AE440" s="6"/>
      <c r="AF440" s="7">
        <f>ROUND(90.04,2)</f>
        <v>90.04</v>
      </c>
      <c r="AG440" s="7">
        <f>ROUND(8.28,2)</f>
        <v>8.2799999999999994</v>
      </c>
      <c r="AH440" s="7">
        <f>ROUND(88,2)</f>
        <v>88</v>
      </c>
      <c r="AI440" s="6"/>
      <c r="AJ440" s="7">
        <f>ROUND(56,2)</f>
        <v>56</v>
      </c>
      <c r="AK440" s="6"/>
      <c r="AL440" s="7">
        <f>ROUND(8,2)</f>
        <v>8</v>
      </c>
      <c r="AM440" s="6"/>
      <c r="AN440" s="6"/>
      <c r="AO440" s="6"/>
      <c r="AP440" s="7">
        <f>ROUND(24,2)</f>
        <v>24</v>
      </c>
      <c r="AQ440" s="6"/>
      <c r="AR440" s="6"/>
      <c r="AS440" s="6"/>
      <c r="AT440" s="6"/>
      <c r="AU440" s="6"/>
      <c r="AV440" s="6"/>
      <c r="AW440" s="6"/>
      <c r="AX440" s="6"/>
      <c r="AY440" s="6"/>
      <c r="AZ440" s="6"/>
      <c r="BA440" s="6"/>
      <c r="BB440" s="7">
        <f>ROUND(16,2)</f>
        <v>16</v>
      </c>
      <c r="BC440" s="7">
        <f>ROUND(8,2)</f>
        <v>8</v>
      </c>
      <c r="BD440" s="7">
        <f>ROUND(0.67,2)</f>
        <v>0.67</v>
      </c>
      <c r="BE440" s="6"/>
      <c r="BF440" s="6"/>
      <c r="BG440" s="6"/>
      <c r="BH440" s="6"/>
      <c r="BI440" s="6"/>
      <c r="BJ440" s="7">
        <f>ROUND(8,2)</f>
        <v>8</v>
      </c>
      <c r="BK440" s="6"/>
      <c r="BL440" s="6"/>
      <c r="BM440" s="7">
        <f>ROUND(13.42,2)</f>
        <v>13.42</v>
      </c>
      <c r="BN440" s="6"/>
      <c r="BO440" s="6"/>
      <c r="BP440" s="6"/>
      <c r="BQ440" s="6"/>
      <c r="BR440" s="6"/>
      <c r="BS440" s="6"/>
      <c r="BT440" s="6"/>
      <c r="BU440" s="6"/>
      <c r="BV440" s="6"/>
      <c r="BW440" s="6"/>
      <c r="BX440" s="6"/>
      <c r="BY440" s="6"/>
      <c r="BZ440" s="6"/>
      <c r="CA440" s="7">
        <f>ROUND(64,2)</f>
        <v>64</v>
      </c>
      <c r="CB440" s="7">
        <f>ROUND(2573.89999999999,2)</f>
        <v>2573.9</v>
      </c>
      <c r="CC440" s="6"/>
      <c r="CD440" s="6"/>
      <c r="CE440" s="6"/>
      <c r="CF440" s="6"/>
      <c r="CG440" s="7">
        <f>ROUND(49814.6599999999,2)</f>
        <v>49814.66</v>
      </c>
      <c r="CH440" s="6"/>
      <c r="CI440" s="6"/>
      <c r="CJ440" s="7">
        <f>ROUND(14191.76,2)</f>
        <v>14191.76</v>
      </c>
      <c r="CK440" s="6"/>
      <c r="CL440" s="6"/>
      <c r="CM440" s="6"/>
      <c r="CN440" s="6"/>
      <c r="CO440" s="7">
        <f>ROUND(243.83,2)</f>
        <v>243.83</v>
      </c>
      <c r="CP440" s="6"/>
      <c r="CQ440" s="7">
        <f>ROUND(65.33,2)</f>
        <v>65.33</v>
      </c>
      <c r="CR440" s="7">
        <f>ROUND(21.67,2)</f>
        <v>21.67</v>
      </c>
      <c r="CS440" s="6"/>
      <c r="CT440" s="6"/>
      <c r="CU440" s="6"/>
      <c r="CV440" s="6"/>
      <c r="CW440" s="7">
        <f>ROUND(1438.44,2)</f>
        <v>1438.44</v>
      </c>
      <c r="CX440" s="7">
        <f>ROUND(856.34,2)</f>
        <v>856.34</v>
      </c>
      <c r="CY440" s="6"/>
      <c r="CZ440" s="6"/>
      <c r="DA440" s="7">
        <f>ROUND(2508.41,2)</f>
        <v>2508.41</v>
      </c>
      <c r="DB440" s="7">
        <f>ROUND(346.36,2)</f>
        <v>346.36</v>
      </c>
      <c r="DC440" s="7">
        <f>ROUND(2507.52,2)</f>
        <v>2507.52</v>
      </c>
      <c r="DD440" s="6"/>
      <c r="DE440" s="7">
        <f>ROUND(1597.6,2)</f>
        <v>1597.6</v>
      </c>
      <c r="DF440" s="6"/>
      <c r="DG440" s="6"/>
      <c r="DH440" s="6"/>
      <c r="DI440" s="7">
        <f>ROUND(222.24,2)</f>
        <v>222.24</v>
      </c>
      <c r="DJ440" s="6"/>
      <c r="DK440" s="6"/>
      <c r="DL440" s="6"/>
      <c r="DM440" s="7">
        <f>ROUND(666.72,2)</f>
        <v>666.72</v>
      </c>
      <c r="DN440" s="6"/>
      <c r="DO440" s="6"/>
      <c r="DP440" s="6"/>
      <c r="DQ440" s="6"/>
      <c r="DR440" s="6"/>
      <c r="DS440" s="6"/>
      <c r="DT440" s="6"/>
      <c r="DU440" s="6"/>
      <c r="DV440" s="6"/>
      <c r="DW440" s="6"/>
      <c r="DX440" s="6"/>
      <c r="DY440" s="6"/>
      <c r="DZ440" s="6"/>
      <c r="EA440" s="6"/>
      <c r="EB440" s="6"/>
      <c r="EC440" s="6"/>
      <c r="ED440" s="6"/>
      <c r="EE440" s="7">
        <f>ROUND(775,2)</f>
        <v>775</v>
      </c>
      <c r="EF440" s="6"/>
      <c r="EG440" s="6"/>
      <c r="EH440" s="6"/>
      <c r="EI440" s="6"/>
      <c r="EJ440" s="6"/>
      <c r="EK440" s="6"/>
      <c r="EL440" s="6"/>
      <c r="EM440" s="6"/>
      <c r="EN440" s="6"/>
      <c r="EO440" s="6"/>
      <c r="EP440" s="6"/>
      <c r="EQ440" s="7">
        <f>ROUND(1250,2)</f>
        <v>1250</v>
      </c>
      <c r="ER440" s="6"/>
      <c r="ES440" s="6"/>
      <c r="ET440" s="6"/>
      <c r="EU440" s="7">
        <f>ROUND(1945.6,2)</f>
        <v>1945.6</v>
      </c>
      <c r="EV440" s="7">
        <f>ROUND(78451.48,2)</f>
        <v>78451.48</v>
      </c>
    </row>
    <row r="441" spans="1:152">
      <c r="A441" s="4" t="s">
        <v>982</v>
      </c>
      <c r="B441" s="4" t="s">
        <v>1058</v>
      </c>
      <c r="C441" s="5" t="s">
        <v>152</v>
      </c>
      <c r="D441" s="5" t="s">
        <v>281</v>
      </c>
      <c r="E441" s="5" t="s">
        <v>983</v>
      </c>
      <c r="F441" s="5" t="s">
        <v>0</v>
      </c>
      <c r="G441" s="5" t="s">
        <v>155</v>
      </c>
      <c r="H441" s="10">
        <v>17.5</v>
      </c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7">
        <f>ROUND(5,2)</f>
        <v>5</v>
      </c>
      <c r="AI441" s="6"/>
      <c r="AJ441" s="6"/>
      <c r="AK441" s="6"/>
      <c r="AL441" s="7">
        <f>ROUND(172.67,2)</f>
        <v>172.67</v>
      </c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  <c r="BA441" s="6"/>
      <c r="BB441" s="6"/>
      <c r="BC441" s="6"/>
      <c r="BD441" s="7">
        <f>ROUND(5,2)</f>
        <v>5</v>
      </c>
      <c r="BE441" s="6"/>
      <c r="BF441" s="6"/>
      <c r="BG441" s="6"/>
      <c r="BH441" s="6"/>
      <c r="BI441" s="6"/>
      <c r="BJ441" s="6"/>
      <c r="BK441" s="6"/>
      <c r="BL441" s="6"/>
      <c r="BM441" s="7">
        <f>ROUND(10,2)</f>
        <v>10</v>
      </c>
      <c r="BN441" s="6"/>
      <c r="BO441" s="6"/>
      <c r="BP441" s="6"/>
      <c r="BQ441" s="6"/>
      <c r="BR441" s="6"/>
      <c r="BS441" s="6"/>
      <c r="BT441" s="6"/>
      <c r="BU441" s="6"/>
      <c r="BV441" s="6"/>
      <c r="BW441" s="6"/>
      <c r="BX441" s="6"/>
      <c r="BY441" s="6"/>
      <c r="BZ441" s="6"/>
      <c r="CA441" s="6"/>
      <c r="CB441" s="7">
        <f>ROUND(192.67,2)</f>
        <v>192.67</v>
      </c>
      <c r="CC441" s="6"/>
      <c r="CD441" s="6"/>
      <c r="CE441" s="6"/>
      <c r="CF441" s="6"/>
      <c r="CG441" s="6"/>
      <c r="CH441" s="6"/>
      <c r="CI441" s="6"/>
      <c r="CJ441" s="6"/>
      <c r="CK441" s="6"/>
      <c r="CL441" s="6"/>
      <c r="CM441" s="6"/>
      <c r="CN441" s="6"/>
      <c r="CO441" s="6"/>
      <c r="CP441" s="6"/>
      <c r="CQ441" s="6"/>
      <c r="CR441" s="6"/>
      <c r="CS441" s="6"/>
      <c r="CT441" s="6"/>
      <c r="CU441" s="6"/>
      <c r="CV441" s="6"/>
      <c r="CW441" s="6"/>
      <c r="CX441" s="6"/>
      <c r="CY441" s="6"/>
      <c r="CZ441" s="6"/>
      <c r="DA441" s="6"/>
      <c r="DB441" s="6"/>
      <c r="DC441" s="7">
        <f>ROUND(87.5,2)</f>
        <v>87.5</v>
      </c>
      <c r="DD441" s="6"/>
      <c r="DE441" s="6"/>
      <c r="DF441" s="6"/>
      <c r="DG441" s="6"/>
      <c r="DH441" s="6"/>
      <c r="DI441" s="7">
        <f>ROUND(3021.73,2)</f>
        <v>3021.73</v>
      </c>
      <c r="DJ441" s="6"/>
      <c r="DK441" s="6"/>
      <c r="DL441" s="6"/>
      <c r="DM441" s="6"/>
      <c r="DN441" s="6"/>
      <c r="DO441" s="6"/>
      <c r="DP441" s="6"/>
      <c r="DQ441" s="6"/>
      <c r="DR441" s="6"/>
      <c r="DS441" s="6"/>
      <c r="DT441" s="6"/>
      <c r="DU441" s="6"/>
      <c r="DV441" s="6"/>
      <c r="DW441" s="6"/>
      <c r="DX441" s="6"/>
      <c r="DY441" s="6"/>
      <c r="DZ441" s="6"/>
      <c r="EA441" s="6"/>
      <c r="EB441" s="6"/>
      <c r="EC441" s="6"/>
      <c r="ED441" s="6"/>
      <c r="EE441" s="6"/>
      <c r="EF441" s="6"/>
      <c r="EG441" s="6"/>
      <c r="EH441" s="6"/>
      <c r="EI441" s="6"/>
      <c r="EJ441" s="6"/>
      <c r="EK441" s="6"/>
      <c r="EL441" s="6"/>
      <c r="EM441" s="6"/>
      <c r="EN441" s="6"/>
      <c r="EO441" s="6"/>
      <c r="EP441" s="6"/>
      <c r="EQ441" s="6"/>
      <c r="ER441" s="6"/>
      <c r="ES441" s="6"/>
      <c r="ET441" s="6"/>
      <c r="EU441" s="6"/>
      <c r="EV441" s="7">
        <f>ROUND(3109.23,2)</f>
        <v>3109.23</v>
      </c>
    </row>
    <row r="442" spans="1:152">
      <c r="A442" s="4" t="s">
        <v>984</v>
      </c>
      <c r="B442" s="4" t="s">
        <v>1058</v>
      </c>
      <c r="C442" s="5" t="s">
        <v>152</v>
      </c>
      <c r="D442" s="5" t="s">
        <v>755</v>
      </c>
      <c r="E442" s="5" t="s">
        <v>0</v>
      </c>
      <c r="F442" s="5" t="s">
        <v>0</v>
      </c>
      <c r="G442" s="5" t="s">
        <v>155</v>
      </c>
      <c r="H442" s="10">
        <v>30.4</v>
      </c>
      <c r="I442" s="6"/>
      <c r="J442" s="6"/>
      <c r="K442" s="6"/>
      <c r="L442" s="6"/>
      <c r="M442" s="7">
        <f>ROUND(285.6,2)</f>
        <v>285.60000000000002</v>
      </c>
      <c r="N442" s="6"/>
      <c r="O442" s="6"/>
      <c r="P442" s="7">
        <f>ROUND(38.43,2)</f>
        <v>38.43</v>
      </c>
      <c r="Q442" s="6"/>
      <c r="R442" s="6"/>
      <c r="S442" s="6"/>
      <c r="T442" s="6"/>
      <c r="U442" s="7">
        <f>ROUND(13.33,2)</f>
        <v>13.33</v>
      </c>
      <c r="V442" s="6"/>
      <c r="W442" s="7">
        <f>ROUND(0.85,2)</f>
        <v>0.85</v>
      </c>
      <c r="X442" s="6"/>
      <c r="Y442" s="6"/>
      <c r="Z442" s="6"/>
      <c r="AA442" s="6"/>
      <c r="AB442" s="6"/>
      <c r="AC442" s="7">
        <f>ROUND(113.22,2)</f>
        <v>113.22</v>
      </c>
      <c r="AD442" s="6"/>
      <c r="AE442" s="6"/>
      <c r="AF442" s="7">
        <f>ROUND(58.95,2)</f>
        <v>58.95</v>
      </c>
      <c r="AG442" s="7">
        <f>ROUND(0.75,2)</f>
        <v>0.75</v>
      </c>
      <c r="AH442" s="7">
        <f>ROUND(48,2)</f>
        <v>48</v>
      </c>
      <c r="AI442" s="6"/>
      <c r="AJ442" s="7">
        <f>ROUND(72,2)</f>
        <v>72</v>
      </c>
      <c r="AK442" s="6"/>
      <c r="AL442" s="6"/>
      <c r="AM442" s="6"/>
      <c r="AN442" s="6"/>
      <c r="AO442" s="6"/>
      <c r="AP442" s="7">
        <f>ROUND(66.72,2)</f>
        <v>66.72</v>
      </c>
      <c r="AQ442" s="6"/>
      <c r="AR442" s="6"/>
      <c r="AS442" s="6"/>
      <c r="AT442" s="6"/>
      <c r="AU442" s="6"/>
      <c r="AV442" s="6"/>
      <c r="AW442" s="6"/>
      <c r="AX442" s="6"/>
      <c r="AY442" s="6"/>
      <c r="AZ442" s="6"/>
      <c r="BA442" s="6"/>
      <c r="BB442" s="7">
        <f>ROUND(8,2)</f>
        <v>8</v>
      </c>
      <c r="BC442" s="7">
        <f>ROUND(360,2)</f>
        <v>360</v>
      </c>
      <c r="BD442" s="6"/>
      <c r="BE442" s="7">
        <f>ROUND(208,2)</f>
        <v>208</v>
      </c>
      <c r="BF442" s="7">
        <f>ROUND(120,2)</f>
        <v>120</v>
      </c>
      <c r="BG442" s="6"/>
      <c r="BH442" s="7">
        <f>ROUND(8,2)</f>
        <v>8</v>
      </c>
      <c r="BI442" s="6"/>
      <c r="BJ442" s="6"/>
      <c r="BK442" s="6"/>
      <c r="BL442" s="6"/>
      <c r="BM442" s="7">
        <f>ROUND(56,2)</f>
        <v>56</v>
      </c>
      <c r="BN442" s="6"/>
      <c r="BO442" s="6"/>
      <c r="BP442" s="6"/>
      <c r="BQ442" s="6"/>
      <c r="BR442" s="6"/>
      <c r="BS442" s="6"/>
      <c r="BT442" s="6"/>
      <c r="BU442" s="6"/>
      <c r="BV442" s="6"/>
      <c r="BW442" s="6"/>
      <c r="BX442" s="6"/>
      <c r="BY442" s="6"/>
      <c r="BZ442" s="6"/>
      <c r="CA442" s="6"/>
      <c r="CB442" s="7">
        <f>ROUND(1457.85,2)</f>
        <v>1457.85</v>
      </c>
      <c r="CC442" s="6"/>
      <c r="CD442" s="6"/>
      <c r="CE442" s="6"/>
      <c r="CF442" s="6"/>
      <c r="CG442" s="7">
        <f>ROUND(8226.37,2)</f>
        <v>8226.3700000000008</v>
      </c>
      <c r="CH442" s="6"/>
      <c r="CI442" s="6"/>
      <c r="CJ442" s="7">
        <f>ROUND(1603.17999999999,2)</f>
        <v>1603.18</v>
      </c>
      <c r="CK442" s="6"/>
      <c r="CL442" s="6"/>
      <c r="CM442" s="6"/>
      <c r="CN442" s="6"/>
      <c r="CO442" s="7">
        <f>ROUND(370.84,2)</f>
        <v>370.84</v>
      </c>
      <c r="CP442" s="6"/>
      <c r="CQ442" s="7">
        <f>ROUND(23.61,2)</f>
        <v>23.61</v>
      </c>
      <c r="CR442" s="6"/>
      <c r="CS442" s="6"/>
      <c r="CT442" s="6"/>
      <c r="CU442" s="6"/>
      <c r="CV442" s="6"/>
      <c r="CW442" s="7">
        <f>ROUND(3147.64999999999,2)</f>
        <v>3147.65</v>
      </c>
      <c r="CX442" s="6"/>
      <c r="CY442" s="6"/>
      <c r="CZ442" s="6"/>
      <c r="DA442" s="7">
        <f>ROUND(1645.52,2)</f>
        <v>1645.52</v>
      </c>
      <c r="DB442" s="7">
        <f>ROUND(31.42,2)</f>
        <v>31.42</v>
      </c>
      <c r="DC442" s="7">
        <f>ROUND(1195.04,2)</f>
        <v>1195.04</v>
      </c>
      <c r="DD442" s="6"/>
      <c r="DE442" s="7">
        <f>ROUND(2084,2)</f>
        <v>2084</v>
      </c>
      <c r="DF442" s="6"/>
      <c r="DG442" s="6"/>
      <c r="DH442" s="6"/>
      <c r="DI442" s="6"/>
      <c r="DJ442" s="6"/>
      <c r="DK442" s="6"/>
      <c r="DL442" s="6"/>
      <c r="DM442" s="7">
        <f>ROUND(1409,2)</f>
        <v>1409</v>
      </c>
      <c r="DN442" s="6"/>
      <c r="DO442" s="6"/>
      <c r="DP442" s="6"/>
      <c r="DQ442" s="6"/>
      <c r="DR442" s="6"/>
      <c r="DS442" s="6"/>
      <c r="DT442" s="6"/>
      <c r="DU442" s="6"/>
      <c r="DV442" s="6"/>
      <c r="DW442" s="6"/>
      <c r="DX442" s="6"/>
      <c r="DY442" s="6"/>
      <c r="DZ442" s="6"/>
      <c r="EA442" s="6"/>
      <c r="EB442" s="6"/>
      <c r="EC442" s="7">
        <f>ROUND(2222.4,2)</f>
        <v>2222.4</v>
      </c>
      <c r="ED442" s="6"/>
      <c r="EE442" s="6"/>
      <c r="EF442" s="6"/>
      <c r="EG442" s="6"/>
      <c r="EH442" s="6"/>
      <c r="EI442" s="6"/>
      <c r="EJ442" s="6"/>
      <c r="EK442" s="6"/>
      <c r="EL442" s="6"/>
      <c r="EM442" s="6"/>
      <c r="EN442" s="6"/>
      <c r="EO442" s="6"/>
      <c r="EP442" s="6"/>
      <c r="EQ442" s="6"/>
      <c r="ER442" s="6"/>
      <c r="ES442" s="6"/>
      <c r="ET442" s="6"/>
      <c r="EU442" s="6"/>
      <c r="EV442" s="7">
        <f>ROUND(21959.03,2)</f>
        <v>21959.03</v>
      </c>
    </row>
    <row r="443" spans="1:152">
      <c r="A443" s="4" t="s">
        <v>985</v>
      </c>
      <c r="B443" s="4" t="s">
        <v>1058</v>
      </c>
      <c r="C443" s="5" t="s">
        <v>152</v>
      </c>
      <c r="D443" s="5" t="s">
        <v>281</v>
      </c>
      <c r="E443" s="5" t="s">
        <v>0</v>
      </c>
      <c r="F443" s="5" t="s">
        <v>0</v>
      </c>
      <c r="G443" s="5" t="s">
        <v>155</v>
      </c>
      <c r="H443" s="10">
        <v>24.32</v>
      </c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7">
        <f>ROUND(10,2)</f>
        <v>10</v>
      </c>
      <c r="AI443" s="6"/>
      <c r="AJ443" s="6"/>
      <c r="AK443" s="6"/>
      <c r="AL443" s="7">
        <f>ROUND(219,2)</f>
        <v>219</v>
      </c>
      <c r="AM443" s="6"/>
      <c r="AN443" s="7">
        <f>ROUND(7.07,2)</f>
        <v>7.07</v>
      </c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  <c r="BA443" s="6"/>
      <c r="BB443" s="6"/>
      <c r="BC443" s="6"/>
      <c r="BD443" s="6"/>
      <c r="BE443" s="6"/>
      <c r="BF443" s="6"/>
      <c r="BG443" s="6"/>
      <c r="BH443" s="6"/>
      <c r="BI443" s="6"/>
      <c r="BJ443" s="6"/>
      <c r="BK443" s="6"/>
      <c r="BL443" s="6"/>
      <c r="BM443" s="6"/>
      <c r="BN443" s="6"/>
      <c r="BO443" s="6"/>
      <c r="BP443" s="6"/>
      <c r="BQ443" s="6"/>
      <c r="BR443" s="6"/>
      <c r="BS443" s="6"/>
      <c r="BT443" s="6"/>
      <c r="BU443" s="6"/>
      <c r="BV443" s="6"/>
      <c r="BW443" s="6"/>
      <c r="BX443" s="6"/>
      <c r="BY443" s="6"/>
      <c r="BZ443" s="6"/>
      <c r="CA443" s="6"/>
      <c r="CB443" s="7">
        <f>ROUND(236.07,2)</f>
        <v>236.07</v>
      </c>
      <c r="CC443" s="6"/>
      <c r="CD443" s="6"/>
      <c r="CE443" s="6"/>
      <c r="CF443" s="6"/>
      <c r="CG443" s="6"/>
      <c r="CH443" s="6"/>
      <c r="CI443" s="6"/>
      <c r="CJ443" s="6"/>
      <c r="CK443" s="6"/>
      <c r="CL443" s="6"/>
      <c r="CM443" s="6"/>
      <c r="CN443" s="6"/>
      <c r="CO443" s="6"/>
      <c r="CP443" s="6"/>
      <c r="CQ443" s="6"/>
      <c r="CR443" s="6"/>
      <c r="CS443" s="6"/>
      <c r="CT443" s="6"/>
      <c r="CU443" s="6"/>
      <c r="CV443" s="6"/>
      <c r="CW443" s="6"/>
      <c r="CX443" s="6"/>
      <c r="CY443" s="6"/>
      <c r="CZ443" s="6"/>
      <c r="DA443" s="6"/>
      <c r="DB443" s="6"/>
      <c r="DC443" s="7">
        <f>ROUND(175,2)</f>
        <v>175</v>
      </c>
      <c r="DD443" s="6"/>
      <c r="DE443" s="6"/>
      <c r="DF443" s="6"/>
      <c r="DG443" s="6"/>
      <c r="DH443" s="6"/>
      <c r="DI443" s="7">
        <f>ROUND(3832.5,2)</f>
        <v>3832.5</v>
      </c>
      <c r="DJ443" s="6"/>
      <c r="DK443" s="7">
        <f>ROUND(185.59,2)</f>
        <v>185.59</v>
      </c>
      <c r="DL443" s="6"/>
      <c r="DM443" s="6"/>
      <c r="DN443" s="6"/>
      <c r="DO443" s="6"/>
      <c r="DP443" s="6"/>
      <c r="DQ443" s="6"/>
      <c r="DR443" s="6"/>
      <c r="DS443" s="6"/>
      <c r="DT443" s="6"/>
      <c r="DU443" s="6"/>
      <c r="DV443" s="6"/>
      <c r="DW443" s="6"/>
      <c r="DX443" s="6"/>
      <c r="DY443" s="6"/>
      <c r="DZ443" s="6"/>
      <c r="EA443" s="6"/>
      <c r="EB443" s="6"/>
      <c r="EC443" s="6"/>
      <c r="ED443" s="6"/>
      <c r="EE443" s="6"/>
      <c r="EF443" s="6"/>
      <c r="EG443" s="6"/>
      <c r="EH443" s="6"/>
      <c r="EI443" s="6"/>
      <c r="EJ443" s="6"/>
      <c r="EK443" s="6"/>
      <c r="EL443" s="6"/>
      <c r="EM443" s="6"/>
      <c r="EN443" s="6"/>
      <c r="EO443" s="6"/>
      <c r="EP443" s="6"/>
      <c r="EQ443" s="6"/>
      <c r="ER443" s="6"/>
      <c r="ES443" s="6"/>
      <c r="ET443" s="6"/>
      <c r="EU443" s="6"/>
      <c r="EV443" s="7">
        <f>ROUND(4193.09,2)</f>
        <v>4193.09</v>
      </c>
    </row>
    <row r="444" spans="1:152">
      <c r="A444" s="4" t="s">
        <v>986</v>
      </c>
      <c r="B444" s="4" t="s">
        <v>1058</v>
      </c>
      <c r="C444" s="5" t="s">
        <v>152</v>
      </c>
      <c r="D444" s="5" t="s">
        <v>160</v>
      </c>
      <c r="E444" s="5" t="s">
        <v>572</v>
      </c>
      <c r="F444" s="5" t="s">
        <v>0</v>
      </c>
      <c r="G444" s="5" t="s">
        <v>155</v>
      </c>
      <c r="H444" s="10">
        <v>17.5</v>
      </c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7">
        <f>ROUND(10,2)</f>
        <v>10</v>
      </c>
      <c r="AI444" s="6"/>
      <c r="AJ444" s="6"/>
      <c r="AK444" s="6"/>
      <c r="AL444" s="7">
        <f>ROUND(312.4,2)</f>
        <v>312.39999999999998</v>
      </c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  <c r="BA444" s="6"/>
      <c r="BB444" s="6"/>
      <c r="BC444" s="6"/>
      <c r="BD444" s="7">
        <f>ROUND(0.77,2)</f>
        <v>0.77</v>
      </c>
      <c r="BE444" s="6"/>
      <c r="BF444" s="6"/>
      <c r="BG444" s="6"/>
      <c r="BH444" s="6"/>
      <c r="BI444" s="6"/>
      <c r="BJ444" s="6"/>
      <c r="BK444" s="6"/>
      <c r="BL444" s="7">
        <f>ROUND(25,2)</f>
        <v>25</v>
      </c>
      <c r="BM444" s="6"/>
      <c r="BN444" s="6"/>
      <c r="BO444" s="6"/>
      <c r="BP444" s="6"/>
      <c r="BQ444" s="6"/>
      <c r="BR444" s="6"/>
      <c r="BS444" s="6"/>
      <c r="BT444" s="6"/>
      <c r="BU444" s="6"/>
      <c r="BV444" s="6"/>
      <c r="BW444" s="6"/>
      <c r="BX444" s="6"/>
      <c r="BY444" s="6"/>
      <c r="BZ444" s="6"/>
      <c r="CA444" s="6"/>
      <c r="CB444" s="7">
        <f>ROUND(348.17,2)</f>
        <v>348.17</v>
      </c>
      <c r="CC444" s="6"/>
      <c r="CD444" s="6"/>
      <c r="CE444" s="6"/>
      <c r="CF444" s="6"/>
      <c r="CG444" s="6"/>
      <c r="CH444" s="6"/>
      <c r="CI444" s="6"/>
      <c r="CJ444" s="6"/>
      <c r="CK444" s="6"/>
      <c r="CL444" s="6"/>
      <c r="CM444" s="6"/>
      <c r="CN444" s="6"/>
      <c r="CO444" s="6"/>
      <c r="CP444" s="6"/>
      <c r="CQ444" s="6"/>
      <c r="CR444" s="6"/>
      <c r="CS444" s="6"/>
      <c r="CT444" s="6"/>
      <c r="CU444" s="6"/>
      <c r="CV444" s="6"/>
      <c r="CW444" s="6"/>
      <c r="CX444" s="6"/>
      <c r="CY444" s="6"/>
      <c r="CZ444" s="6"/>
      <c r="DA444" s="6"/>
      <c r="DB444" s="6"/>
      <c r="DC444" s="7">
        <f>ROUND(175,2)</f>
        <v>175</v>
      </c>
      <c r="DD444" s="6"/>
      <c r="DE444" s="6"/>
      <c r="DF444" s="6"/>
      <c r="DG444" s="6"/>
      <c r="DH444" s="6"/>
      <c r="DI444" s="7">
        <f>ROUND(5600.41,2)</f>
        <v>5600.41</v>
      </c>
      <c r="DJ444" s="6"/>
      <c r="DK444" s="6"/>
      <c r="DL444" s="6"/>
      <c r="DM444" s="6"/>
      <c r="DN444" s="6"/>
      <c r="DO444" s="6"/>
      <c r="DP444" s="6"/>
      <c r="DQ444" s="6"/>
      <c r="DR444" s="6"/>
      <c r="DS444" s="6"/>
      <c r="DT444" s="6"/>
      <c r="DU444" s="6"/>
      <c r="DV444" s="6"/>
      <c r="DW444" s="6"/>
      <c r="DX444" s="6"/>
      <c r="DY444" s="6"/>
      <c r="DZ444" s="6"/>
      <c r="EA444" s="6"/>
      <c r="EB444" s="6"/>
      <c r="EC444" s="6"/>
      <c r="ED444" s="6"/>
      <c r="EE444" s="6"/>
      <c r="EF444" s="6"/>
      <c r="EG444" s="6"/>
      <c r="EH444" s="6"/>
      <c r="EI444" s="6"/>
      <c r="EJ444" s="6"/>
      <c r="EK444" s="6"/>
      <c r="EL444" s="6"/>
      <c r="EM444" s="6"/>
      <c r="EN444" s="6"/>
      <c r="EO444" s="6"/>
      <c r="EP444" s="6"/>
      <c r="EQ444" s="6"/>
      <c r="ER444" s="6"/>
      <c r="ES444" s="6"/>
      <c r="ET444" s="6"/>
      <c r="EU444" s="6"/>
      <c r="EV444" s="7">
        <f>ROUND(5775.41,2)</f>
        <v>5775.41</v>
      </c>
    </row>
    <row r="445" spans="1:152">
      <c r="A445" s="4" t="s">
        <v>987</v>
      </c>
      <c r="B445" s="4" t="s">
        <v>1058</v>
      </c>
      <c r="C445" s="5" t="s">
        <v>152</v>
      </c>
      <c r="D445" s="5" t="s">
        <v>289</v>
      </c>
      <c r="E445" s="5" t="s">
        <v>0</v>
      </c>
      <c r="F445" s="5" t="s">
        <v>0</v>
      </c>
      <c r="G445" s="5" t="s">
        <v>155</v>
      </c>
      <c r="H445" s="10">
        <v>30.4</v>
      </c>
      <c r="I445" s="6"/>
      <c r="J445" s="6"/>
      <c r="K445" s="6"/>
      <c r="L445" s="6"/>
      <c r="M445" s="7">
        <f>ROUND(1878.38999999999,2)</f>
        <v>1878.39</v>
      </c>
      <c r="N445" s="6"/>
      <c r="O445" s="6"/>
      <c r="P445" s="7">
        <f>ROUND(456.139999999999,2)</f>
        <v>456.14</v>
      </c>
      <c r="Q445" s="6"/>
      <c r="R445" s="6"/>
      <c r="S445" s="6"/>
      <c r="T445" s="6"/>
      <c r="U445" s="7">
        <f>ROUND(4.67,2)</f>
        <v>4.67</v>
      </c>
      <c r="V445" s="7">
        <f>ROUND(5,2)</f>
        <v>5</v>
      </c>
      <c r="W445" s="6"/>
      <c r="X445" s="7">
        <f>ROUND(0.42,2)</f>
        <v>0.42</v>
      </c>
      <c r="Y445" s="6"/>
      <c r="Z445" s="6"/>
      <c r="AA445" s="6"/>
      <c r="AB445" s="6"/>
      <c r="AC445" s="6"/>
      <c r="AD445" s="6"/>
      <c r="AE445" s="6"/>
      <c r="AF445" s="6"/>
      <c r="AG445" s="7">
        <f>ROUND(42.5,2)</f>
        <v>42.5</v>
      </c>
      <c r="AH445" s="7">
        <f>ROUND(88,2)</f>
        <v>88</v>
      </c>
      <c r="AI445" s="6"/>
      <c r="AJ445" s="7">
        <f>ROUND(136,2)</f>
        <v>136</v>
      </c>
      <c r="AK445" s="6"/>
      <c r="AL445" s="6"/>
      <c r="AM445" s="7">
        <f>ROUND(2.48,2)</f>
        <v>2.48</v>
      </c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  <c r="BA445" s="6"/>
      <c r="BB445" s="7">
        <f>ROUND(32,2)</f>
        <v>32</v>
      </c>
      <c r="BC445" s="7">
        <f>ROUND(8,2)</f>
        <v>8</v>
      </c>
      <c r="BD445" s="7">
        <f>ROUND(0.3,2)</f>
        <v>0.3</v>
      </c>
      <c r="BE445" s="7">
        <f>ROUND(8,2)</f>
        <v>8</v>
      </c>
      <c r="BF445" s="6"/>
      <c r="BG445" s="6"/>
      <c r="BH445" s="6"/>
      <c r="BI445" s="6"/>
      <c r="BJ445" s="6"/>
      <c r="BK445" s="6"/>
      <c r="BL445" s="6"/>
      <c r="BM445" s="7">
        <f>ROUND(3.08,2)</f>
        <v>3.08</v>
      </c>
      <c r="BN445" s="6"/>
      <c r="BO445" s="6"/>
      <c r="BP445" s="6"/>
      <c r="BQ445" s="6"/>
      <c r="BR445" s="6"/>
      <c r="BS445" s="6"/>
      <c r="BT445" s="6"/>
      <c r="BU445" s="6"/>
      <c r="BV445" s="6"/>
      <c r="BW445" s="6"/>
      <c r="BX445" s="6"/>
      <c r="BY445" s="6"/>
      <c r="BZ445" s="6"/>
      <c r="CA445" s="7">
        <f>ROUND(24,2)</f>
        <v>24</v>
      </c>
      <c r="CB445" s="7">
        <f>ROUND(2688.98,2)</f>
        <v>2688.98</v>
      </c>
      <c r="CC445" s="6"/>
      <c r="CD445" s="6"/>
      <c r="CE445" s="6"/>
      <c r="CF445" s="6"/>
      <c r="CG445" s="7">
        <f>ROUND(52822.2799999999,2)</f>
        <v>52822.28</v>
      </c>
      <c r="CH445" s="6"/>
      <c r="CI445" s="6"/>
      <c r="CJ445" s="7">
        <f>ROUND(19226.46,2)</f>
        <v>19226.46</v>
      </c>
      <c r="CK445" s="6"/>
      <c r="CL445" s="6"/>
      <c r="CM445" s="6"/>
      <c r="CN445" s="6"/>
      <c r="CO445" s="7">
        <f>ROUND(142.67,2)</f>
        <v>142.66999999999999</v>
      </c>
      <c r="CP445" s="7">
        <f>ROUND(229.13,2)</f>
        <v>229.13</v>
      </c>
      <c r="CQ445" s="6"/>
      <c r="CR445" s="7">
        <f>ROUND(17.5,2)</f>
        <v>17.5</v>
      </c>
      <c r="CS445" s="6"/>
      <c r="CT445" s="6"/>
      <c r="CU445" s="6"/>
      <c r="CV445" s="6"/>
      <c r="CW445" s="6"/>
      <c r="CX445" s="6"/>
      <c r="CY445" s="6"/>
      <c r="CZ445" s="6"/>
      <c r="DA445" s="6"/>
      <c r="DB445" s="7">
        <f>ROUND(1773.79,2)</f>
        <v>1773.79</v>
      </c>
      <c r="DC445" s="7">
        <f>ROUND(2486.56,2)</f>
        <v>2486.56</v>
      </c>
      <c r="DD445" s="6"/>
      <c r="DE445" s="7">
        <f>ROUND(3861.92,2)</f>
        <v>3861.92</v>
      </c>
      <c r="DF445" s="6"/>
      <c r="DG445" s="6"/>
      <c r="DH445" s="6"/>
      <c r="DI445" s="6"/>
      <c r="DJ445" s="7">
        <f>ROUND(75.39,2)</f>
        <v>75.39</v>
      </c>
      <c r="DK445" s="6"/>
      <c r="DL445" s="6"/>
      <c r="DM445" s="6"/>
      <c r="DN445" s="6"/>
      <c r="DO445" s="6"/>
      <c r="DP445" s="6"/>
      <c r="DQ445" s="6"/>
      <c r="DR445" s="6"/>
      <c r="DS445" s="6"/>
      <c r="DT445" s="6"/>
      <c r="DU445" s="6"/>
      <c r="DV445" s="6"/>
      <c r="DW445" s="6"/>
      <c r="DX445" s="6"/>
      <c r="DY445" s="6"/>
      <c r="DZ445" s="6"/>
      <c r="EA445" s="6"/>
      <c r="EB445" s="6"/>
      <c r="EC445" s="6"/>
      <c r="ED445" s="6"/>
      <c r="EE445" s="7">
        <f>ROUND(1000,2)</f>
        <v>1000</v>
      </c>
      <c r="EF445" s="6"/>
      <c r="EG445" s="6"/>
      <c r="EH445" s="6"/>
      <c r="EI445" s="6"/>
      <c r="EJ445" s="6"/>
      <c r="EK445" s="6"/>
      <c r="EL445" s="6"/>
      <c r="EM445" s="6"/>
      <c r="EN445" s="6"/>
      <c r="EO445" s="6"/>
      <c r="EP445" s="6"/>
      <c r="EQ445" s="7">
        <f>ROUND(1250,2)</f>
        <v>1250</v>
      </c>
      <c r="ER445" s="6"/>
      <c r="ES445" s="6"/>
      <c r="ET445" s="6"/>
      <c r="EU445" s="7">
        <f>ROUND(729.6,2)</f>
        <v>729.6</v>
      </c>
      <c r="EV445" s="7">
        <f>ROUND(83615.2999999999,2)</f>
        <v>83615.3</v>
      </c>
    </row>
    <row r="446" spans="1:152">
      <c r="A446" s="4" t="s">
        <v>988</v>
      </c>
      <c r="B446" s="4" t="s">
        <v>1058</v>
      </c>
      <c r="C446" s="5" t="s">
        <v>152</v>
      </c>
      <c r="D446" s="5" t="s">
        <v>164</v>
      </c>
      <c r="E446" s="5" t="s">
        <v>550</v>
      </c>
      <c r="F446" s="5" t="s">
        <v>0</v>
      </c>
      <c r="G446" s="5" t="s">
        <v>155</v>
      </c>
      <c r="H446" s="10">
        <v>17.5</v>
      </c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7">
        <f>ROUND(35.5,2)</f>
        <v>35.5</v>
      </c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  <c r="BA446" s="6"/>
      <c r="BB446" s="6"/>
      <c r="BC446" s="6"/>
      <c r="BD446" s="6"/>
      <c r="BE446" s="7">
        <f>ROUND(4.5,2)</f>
        <v>4.5</v>
      </c>
      <c r="BF446" s="6"/>
      <c r="BG446" s="6"/>
      <c r="BH446" s="6"/>
      <c r="BI446" s="6"/>
      <c r="BJ446" s="6"/>
      <c r="BK446" s="6"/>
      <c r="BL446" s="6"/>
      <c r="BM446" s="7">
        <f>ROUND(25,2)</f>
        <v>25</v>
      </c>
      <c r="BN446" s="6"/>
      <c r="BO446" s="6"/>
      <c r="BP446" s="6"/>
      <c r="BQ446" s="6"/>
      <c r="BR446" s="6"/>
      <c r="BS446" s="6"/>
      <c r="BT446" s="6"/>
      <c r="BU446" s="6"/>
      <c r="BV446" s="6"/>
      <c r="BW446" s="6"/>
      <c r="BX446" s="6"/>
      <c r="BY446" s="6"/>
      <c r="BZ446" s="6"/>
      <c r="CA446" s="6"/>
      <c r="CB446" s="7">
        <f>ROUND(65,2)</f>
        <v>65</v>
      </c>
      <c r="CC446" s="6"/>
      <c r="CD446" s="6"/>
      <c r="CE446" s="6"/>
      <c r="CF446" s="6"/>
      <c r="CG446" s="6"/>
      <c r="CH446" s="6"/>
      <c r="CI446" s="6"/>
      <c r="CJ446" s="6"/>
      <c r="CK446" s="6"/>
      <c r="CL446" s="6"/>
      <c r="CM446" s="6"/>
      <c r="CN446" s="6"/>
      <c r="CO446" s="6"/>
      <c r="CP446" s="6"/>
      <c r="CQ446" s="6"/>
      <c r="CR446" s="6"/>
      <c r="CS446" s="6"/>
      <c r="CT446" s="6"/>
      <c r="CU446" s="6"/>
      <c r="CV446" s="6"/>
      <c r="CW446" s="6"/>
      <c r="CX446" s="6"/>
      <c r="CY446" s="6"/>
      <c r="CZ446" s="6"/>
      <c r="DA446" s="6"/>
      <c r="DB446" s="6"/>
      <c r="DC446" s="6"/>
      <c r="DD446" s="6"/>
      <c r="DE446" s="6"/>
      <c r="DF446" s="6"/>
      <c r="DG446" s="6"/>
      <c r="DH446" s="6"/>
      <c r="DI446" s="7">
        <f>ROUND(621.25,2)</f>
        <v>621.25</v>
      </c>
      <c r="DJ446" s="6"/>
      <c r="DK446" s="6"/>
      <c r="DL446" s="6"/>
      <c r="DM446" s="6"/>
      <c r="DN446" s="6"/>
      <c r="DO446" s="6"/>
      <c r="DP446" s="6"/>
      <c r="DQ446" s="6"/>
      <c r="DR446" s="6"/>
      <c r="DS446" s="6"/>
      <c r="DT446" s="6"/>
      <c r="DU446" s="6"/>
      <c r="DV446" s="6"/>
      <c r="DW446" s="6"/>
      <c r="DX446" s="6"/>
      <c r="DY446" s="6"/>
      <c r="DZ446" s="6"/>
      <c r="EA446" s="6"/>
      <c r="EB446" s="6"/>
      <c r="EC446" s="6"/>
      <c r="ED446" s="6"/>
      <c r="EE446" s="6"/>
      <c r="EF446" s="6"/>
      <c r="EG446" s="6"/>
      <c r="EH446" s="6"/>
      <c r="EI446" s="6"/>
      <c r="EJ446" s="6"/>
      <c r="EK446" s="6"/>
      <c r="EL446" s="6"/>
      <c r="EM446" s="6"/>
      <c r="EN446" s="6"/>
      <c r="EO446" s="6"/>
      <c r="EP446" s="6"/>
      <c r="EQ446" s="6"/>
      <c r="ER446" s="6"/>
      <c r="ES446" s="6"/>
      <c r="ET446" s="6"/>
      <c r="EU446" s="6"/>
      <c r="EV446" s="7">
        <f>ROUND(621.25,2)</f>
        <v>621.25</v>
      </c>
    </row>
    <row r="447" spans="1:152" ht="24">
      <c r="A447" s="4" t="s">
        <v>989</v>
      </c>
      <c r="B447" s="4"/>
      <c r="C447" s="5" t="s">
        <v>178</v>
      </c>
      <c r="D447" s="5" t="s">
        <v>990</v>
      </c>
      <c r="E447" s="5" t="s">
        <v>0</v>
      </c>
      <c r="F447" s="5" t="s">
        <v>0</v>
      </c>
      <c r="G447" s="5" t="s">
        <v>180</v>
      </c>
      <c r="H447" s="10">
        <v>22.33</v>
      </c>
      <c r="I447" s="7">
        <f>ROUND(1880.5,2)</f>
        <v>1880.5</v>
      </c>
      <c r="J447" s="7">
        <f>ROUND(572.75,2)</f>
        <v>572.75</v>
      </c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  <c r="BA447" s="6"/>
      <c r="BB447" s="6"/>
      <c r="BC447" s="6"/>
      <c r="BD447" s="6"/>
      <c r="BE447" s="6"/>
      <c r="BF447" s="6"/>
      <c r="BG447" s="6"/>
      <c r="BH447" s="7">
        <f>ROUND(16,2)</f>
        <v>16</v>
      </c>
      <c r="BI447" s="6"/>
      <c r="BJ447" s="6"/>
      <c r="BK447" s="6"/>
      <c r="BL447" s="6"/>
      <c r="BM447" s="6"/>
      <c r="BN447" s="6"/>
      <c r="BO447" s="6"/>
      <c r="BP447" s="6"/>
      <c r="BQ447" s="6"/>
      <c r="BR447" s="6"/>
      <c r="BS447" s="6"/>
      <c r="BT447" s="7">
        <f>ROUND(24,2)</f>
        <v>24</v>
      </c>
      <c r="BU447" s="7">
        <f>ROUND(32,2)</f>
        <v>32</v>
      </c>
      <c r="BV447" s="7">
        <f>ROUND(17.5,2)</f>
        <v>17.5</v>
      </c>
      <c r="BW447" s="6"/>
      <c r="BX447" s="7">
        <f>ROUND(24,2)</f>
        <v>24</v>
      </c>
      <c r="BY447" s="7">
        <f>ROUND(104,2)</f>
        <v>104</v>
      </c>
      <c r="BZ447" s="6"/>
      <c r="CA447" s="6"/>
      <c r="CB447" s="7">
        <f>ROUND(2670.75,2)</f>
        <v>2670.75</v>
      </c>
      <c r="CC447" s="7">
        <f>ROUND(39982.6099999999,2)</f>
        <v>39982.61</v>
      </c>
      <c r="CD447" s="7">
        <f>ROUND(18257.8799999999,2)</f>
        <v>18257.88</v>
      </c>
      <c r="CE447" s="6"/>
      <c r="CF447" s="6"/>
      <c r="CG447" s="6"/>
      <c r="CH447" s="6"/>
      <c r="CI447" s="6"/>
      <c r="CJ447" s="6"/>
      <c r="CK447" s="6"/>
      <c r="CL447" s="6"/>
      <c r="CM447" s="6"/>
      <c r="CN447" s="6"/>
      <c r="CO447" s="6"/>
      <c r="CP447" s="6"/>
      <c r="CQ447" s="6"/>
      <c r="CR447" s="6"/>
      <c r="CS447" s="6"/>
      <c r="CT447" s="6"/>
      <c r="CU447" s="6"/>
      <c r="CV447" s="6"/>
      <c r="CW447" s="6"/>
      <c r="CX447" s="6"/>
      <c r="CY447" s="6"/>
      <c r="CZ447" s="6"/>
      <c r="DA447" s="6"/>
      <c r="DB447" s="6"/>
      <c r="DC447" s="6"/>
      <c r="DD447" s="6"/>
      <c r="DE447" s="6"/>
      <c r="DF447" s="6"/>
      <c r="DG447" s="6"/>
      <c r="DH447" s="6"/>
      <c r="DI447" s="6"/>
      <c r="DJ447" s="6"/>
      <c r="DK447" s="6"/>
      <c r="DL447" s="6"/>
      <c r="DM447" s="6"/>
      <c r="DN447" s="6"/>
      <c r="DO447" s="6"/>
      <c r="DP447" s="6"/>
      <c r="DQ447" s="6"/>
      <c r="DR447" s="6"/>
      <c r="DS447" s="6"/>
      <c r="DT447" s="6"/>
      <c r="DU447" s="6"/>
      <c r="DV447" s="6"/>
      <c r="DW447" s="6"/>
      <c r="DX447" s="6"/>
      <c r="DY447" s="6"/>
      <c r="DZ447" s="6"/>
      <c r="EA447" s="6"/>
      <c r="EB447" s="6"/>
      <c r="EC447" s="6"/>
      <c r="ED447" s="7">
        <f>ROUND(341.82,2)</f>
        <v>341.82</v>
      </c>
      <c r="EE447" s="7">
        <f>ROUND(2393.68,2)</f>
        <v>2393.6799999999998</v>
      </c>
      <c r="EF447" s="6"/>
      <c r="EG447" s="7">
        <f>ROUND(515.4,2)</f>
        <v>515.4</v>
      </c>
      <c r="EH447" s="7">
        <f>ROUND(693.76,2)</f>
        <v>693.76</v>
      </c>
      <c r="EI447" s="7">
        <f>ROUND(552.48,2)</f>
        <v>552.48</v>
      </c>
      <c r="EJ447" s="6"/>
      <c r="EK447" s="6"/>
      <c r="EL447" s="6"/>
      <c r="EM447" s="6"/>
      <c r="EN447" s="7">
        <f>ROUND(505.14,2)</f>
        <v>505.14</v>
      </c>
      <c r="EO447" s="6"/>
      <c r="EP447" s="6"/>
      <c r="EQ447" s="6"/>
      <c r="ER447" s="6"/>
      <c r="ES447" s="7">
        <f>ROUND(3893.17,2)</f>
        <v>3893.17</v>
      </c>
      <c r="ET447" s="6"/>
      <c r="EU447" s="6"/>
      <c r="EV447" s="7">
        <f>ROUND(67135.94,2)</f>
        <v>67135.94</v>
      </c>
    </row>
    <row r="448" spans="1:152">
      <c r="A448" s="4" t="s">
        <v>991</v>
      </c>
      <c r="B448" s="4" t="s">
        <v>1058</v>
      </c>
      <c r="C448" s="5" t="s">
        <v>152</v>
      </c>
      <c r="D448" s="5" t="s">
        <v>413</v>
      </c>
      <c r="E448" s="5" t="s">
        <v>992</v>
      </c>
      <c r="F448" s="5" t="s">
        <v>0</v>
      </c>
      <c r="G448" s="5" t="s">
        <v>155</v>
      </c>
      <c r="H448" s="10">
        <v>27.93</v>
      </c>
      <c r="I448" s="6"/>
      <c r="J448" s="6"/>
      <c r="K448" s="6"/>
      <c r="L448" s="6"/>
      <c r="M448" s="7">
        <f>ROUND(216.85,2)</f>
        <v>216.85</v>
      </c>
      <c r="N448" s="6"/>
      <c r="O448" s="6"/>
      <c r="P448" s="7">
        <f>ROUND(7.75,2)</f>
        <v>7.75</v>
      </c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7">
        <f>ROUND(16,2)</f>
        <v>16</v>
      </c>
      <c r="AI448" s="6"/>
      <c r="AJ448" s="7">
        <f>ROUND(40,2)</f>
        <v>40</v>
      </c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  <c r="BA448" s="6"/>
      <c r="BB448" s="7">
        <f>ROUND(24,2)</f>
        <v>24</v>
      </c>
      <c r="BC448" s="6"/>
      <c r="BD448" s="6"/>
      <c r="BE448" s="6"/>
      <c r="BF448" s="6"/>
      <c r="BG448" s="6"/>
      <c r="BH448" s="6"/>
      <c r="BI448" s="6"/>
      <c r="BJ448" s="7">
        <f>ROUND(64,2)</f>
        <v>64</v>
      </c>
      <c r="BK448" s="6"/>
      <c r="BL448" s="6"/>
      <c r="BM448" s="7">
        <f>ROUND(40,2)</f>
        <v>40</v>
      </c>
      <c r="BN448" s="6"/>
      <c r="BO448" s="6"/>
      <c r="BP448" s="6"/>
      <c r="BQ448" s="6"/>
      <c r="BR448" s="6"/>
      <c r="BS448" s="6"/>
      <c r="BT448" s="6"/>
      <c r="BU448" s="6"/>
      <c r="BV448" s="6"/>
      <c r="BW448" s="6"/>
      <c r="BX448" s="6"/>
      <c r="BY448" s="6"/>
      <c r="BZ448" s="6"/>
      <c r="CA448" s="6"/>
      <c r="CB448" s="7">
        <f>ROUND(408.599999999999,2)</f>
        <v>408.6</v>
      </c>
      <c r="CC448" s="6"/>
      <c r="CD448" s="6"/>
      <c r="CE448" s="6"/>
      <c r="CF448" s="6"/>
      <c r="CG448" s="7">
        <f>ROUND(6042.91,2)</f>
        <v>6042.91</v>
      </c>
      <c r="CH448" s="6"/>
      <c r="CI448" s="6"/>
      <c r="CJ448" s="7">
        <f>ROUND(322.94,2)</f>
        <v>322.94</v>
      </c>
      <c r="CK448" s="6"/>
      <c r="CL448" s="6"/>
      <c r="CM448" s="6"/>
      <c r="CN448" s="6"/>
      <c r="CO448" s="6"/>
      <c r="CP448" s="6"/>
      <c r="CQ448" s="6"/>
      <c r="CR448" s="6"/>
      <c r="CS448" s="6"/>
      <c r="CT448" s="6"/>
      <c r="CU448" s="6"/>
      <c r="CV448" s="6"/>
      <c r="CW448" s="6"/>
      <c r="CX448" s="6"/>
      <c r="CY448" s="6"/>
      <c r="CZ448" s="6"/>
      <c r="DA448" s="6"/>
      <c r="DB448" s="6"/>
      <c r="DC448" s="7">
        <f>ROUND(444.48,2)</f>
        <v>444.48</v>
      </c>
      <c r="DD448" s="6"/>
      <c r="DE448" s="7">
        <f>ROUND(1111.2,2)</f>
        <v>1111.2</v>
      </c>
      <c r="DF448" s="6"/>
      <c r="DG448" s="6"/>
      <c r="DH448" s="6"/>
      <c r="DI448" s="6"/>
      <c r="DJ448" s="6"/>
      <c r="DK448" s="6"/>
      <c r="DL448" s="6"/>
      <c r="DM448" s="6"/>
      <c r="DN448" s="6"/>
      <c r="DO448" s="6"/>
      <c r="DP448" s="6"/>
      <c r="DQ448" s="6"/>
      <c r="DR448" s="6"/>
      <c r="DS448" s="6"/>
      <c r="DT448" s="6"/>
      <c r="DU448" s="6"/>
      <c r="DV448" s="6"/>
      <c r="DW448" s="6"/>
      <c r="DX448" s="6"/>
      <c r="DY448" s="6"/>
      <c r="DZ448" s="6"/>
      <c r="EA448" s="6"/>
      <c r="EB448" s="6"/>
      <c r="EC448" s="6"/>
      <c r="ED448" s="6"/>
      <c r="EE448" s="6"/>
      <c r="EF448" s="6"/>
      <c r="EG448" s="6"/>
      <c r="EH448" s="6"/>
      <c r="EI448" s="6"/>
      <c r="EJ448" s="6"/>
      <c r="EK448" s="6"/>
      <c r="EL448" s="6"/>
      <c r="EM448" s="6"/>
      <c r="EN448" s="6"/>
      <c r="EO448" s="6"/>
      <c r="EP448" s="6"/>
      <c r="EQ448" s="6"/>
      <c r="ER448" s="6"/>
      <c r="ES448" s="6"/>
      <c r="ET448" s="6"/>
      <c r="EU448" s="6"/>
      <c r="EV448" s="7">
        <f>ROUND(7921.53,2)</f>
        <v>7921.53</v>
      </c>
    </row>
    <row r="449" spans="1:152">
      <c r="A449" s="4" t="s">
        <v>993</v>
      </c>
      <c r="B449" s="4" t="s">
        <v>1058</v>
      </c>
      <c r="C449" s="5" t="s">
        <v>152</v>
      </c>
      <c r="D449" s="5" t="s">
        <v>164</v>
      </c>
      <c r="E449" s="5" t="s">
        <v>994</v>
      </c>
      <c r="F449" s="5" t="s">
        <v>0</v>
      </c>
      <c r="G449" s="5" t="s">
        <v>155</v>
      </c>
      <c r="H449" s="10">
        <v>17.5</v>
      </c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7">
        <f>ROUND(56,2)</f>
        <v>56</v>
      </c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  <c r="BA449" s="6"/>
      <c r="BB449" s="6"/>
      <c r="BC449" s="6"/>
      <c r="BD449" s="6"/>
      <c r="BE449" s="6"/>
      <c r="BF449" s="6"/>
      <c r="BG449" s="6"/>
      <c r="BH449" s="6"/>
      <c r="BI449" s="6"/>
      <c r="BJ449" s="6"/>
      <c r="BK449" s="6"/>
      <c r="BL449" s="7">
        <f>ROUND(30,2)</f>
        <v>30</v>
      </c>
      <c r="BM449" s="6"/>
      <c r="BN449" s="6"/>
      <c r="BO449" s="6"/>
      <c r="BP449" s="6"/>
      <c r="BQ449" s="6"/>
      <c r="BR449" s="6"/>
      <c r="BS449" s="6"/>
      <c r="BT449" s="6"/>
      <c r="BU449" s="6"/>
      <c r="BV449" s="6"/>
      <c r="BW449" s="6"/>
      <c r="BX449" s="6"/>
      <c r="BY449" s="6"/>
      <c r="BZ449" s="6"/>
      <c r="CA449" s="6"/>
      <c r="CB449" s="7">
        <f>ROUND(86,2)</f>
        <v>86</v>
      </c>
      <c r="CC449" s="6"/>
      <c r="CD449" s="6"/>
      <c r="CE449" s="6"/>
      <c r="CF449" s="6"/>
      <c r="CG449" s="6"/>
      <c r="CH449" s="6"/>
      <c r="CI449" s="6"/>
      <c r="CJ449" s="6"/>
      <c r="CK449" s="6"/>
      <c r="CL449" s="6"/>
      <c r="CM449" s="6"/>
      <c r="CN449" s="6"/>
      <c r="CO449" s="6"/>
      <c r="CP449" s="6"/>
      <c r="CQ449" s="6"/>
      <c r="CR449" s="6"/>
      <c r="CS449" s="6"/>
      <c r="CT449" s="6"/>
      <c r="CU449" s="6"/>
      <c r="CV449" s="6"/>
      <c r="CW449" s="6"/>
      <c r="CX449" s="6"/>
      <c r="CY449" s="6"/>
      <c r="CZ449" s="6"/>
      <c r="DA449" s="6"/>
      <c r="DB449" s="6"/>
      <c r="DC449" s="6"/>
      <c r="DD449" s="6"/>
      <c r="DE449" s="6"/>
      <c r="DF449" s="6"/>
      <c r="DG449" s="6"/>
      <c r="DH449" s="6"/>
      <c r="DI449" s="7">
        <f>ROUND(980,2)</f>
        <v>980</v>
      </c>
      <c r="DJ449" s="6"/>
      <c r="DK449" s="6"/>
      <c r="DL449" s="6"/>
      <c r="DM449" s="6"/>
      <c r="DN449" s="6"/>
      <c r="DO449" s="6"/>
      <c r="DP449" s="6"/>
      <c r="DQ449" s="6"/>
      <c r="DR449" s="6"/>
      <c r="DS449" s="6"/>
      <c r="DT449" s="6"/>
      <c r="DU449" s="6"/>
      <c r="DV449" s="6"/>
      <c r="DW449" s="6"/>
      <c r="DX449" s="6"/>
      <c r="DY449" s="6"/>
      <c r="DZ449" s="6"/>
      <c r="EA449" s="6"/>
      <c r="EB449" s="6"/>
      <c r="EC449" s="6"/>
      <c r="ED449" s="6"/>
      <c r="EE449" s="6"/>
      <c r="EF449" s="6"/>
      <c r="EG449" s="6"/>
      <c r="EH449" s="6"/>
      <c r="EI449" s="6"/>
      <c r="EJ449" s="6"/>
      <c r="EK449" s="6"/>
      <c r="EL449" s="6"/>
      <c r="EM449" s="6"/>
      <c r="EN449" s="6"/>
      <c r="EO449" s="6"/>
      <c r="EP449" s="6"/>
      <c r="EQ449" s="6"/>
      <c r="ER449" s="6"/>
      <c r="ES449" s="6"/>
      <c r="ET449" s="6"/>
      <c r="EU449" s="6"/>
      <c r="EV449" s="7">
        <f>ROUND(980,2)</f>
        <v>980</v>
      </c>
    </row>
    <row r="450" spans="1:152" ht="24">
      <c r="A450" s="4" t="s">
        <v>995</v>
      </c>
      <c r="B450" s="4"/>
      <c r="C450" s="5" t="s">
        <v>253</v>
      </c>
      <c r="D450" s="5" t="s">
        <v>996</v>
      </c>
      <c r="E450" s="5" t="s">
        <v>0</v>
      </c>
      <c r="F450" s="5" t="s">
        <v>996</v>
      </c>
      <c r="G450" s="5" t="s">
        <v>997</v>
      </c>
      <c r="H450" s="10">
        <v>1672.96</v>
      </c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  <c r="BA450" s="6"/>
      <c r="BB450" s="6"/>
      <c r="BC450" s="6"/>
      <c r="BD450" s="6"/>
      <c r="BE450" s="6"/>
      <c r="BF450" s="6"/>
      <c r="BG450" s="6"/>
      <c r="BH450" s="7">
        <f>ROUND(24,2)</f>
        <v>24</v>
      </c>
      <c r="BI450" s="6"/>
      <c r="BJ450" s="6"/>
      <c r="BK450" s="6"/>
      <c r="BL450" s="6"/>
      <c r="BM450" s="6"/>
      <c r="BN450" s="6"/>
      <c r="BO450" s="6"/>
      <c r="BP450" s="6"/>
      <c r="BQ450" s="6"/>
      <c r="BR450" s="6"/>
      <c r="BS450" s="6"/>
      <c r="BT450" s="7">
        <f>ROUND(32,2)</f>
        <v>32</v>
      </c>
      <c r="BU450" s="7">
        <f>ROUND(32,2)</f>
        <v>32</v>
      </c>
      <c r="BV450" s="6"/>
      <c r="BW450" s="6"/>
      <c r="BX450" s="6"/>
      <c r="BY450" s="7">
        <f>ROUND(160,2)</f>
        <v>160</v>
      </c>
      <c r="BZ450" s="6"/>
      <c r="CA450" s="6"/>
      <c r="CB450" s="7">
        <f>ROUND(248,2)</f>
        <v>248</v>
      </c>
      <c r="CC450" s="7">
        <f>ROUND(81638.0199999999,2)</f>
        <v>81638.02</v>
      </c>
      <c r="CD450" s="6"/>
      <c r="CE450" s="6"/>
      <c r="CF450" s="6"/>
      <c r="CG450" s="6"/>
      <c r="CH450" s="6"/>
      <c r="CI450" s="6"/>
      <c r="CJ450" s="6"/>
      <c r="CK450" s="6"/>
      <c r="CL450" s="6"/>
      <c r="CM450" s="6"/>
      <c r="CN450" s="6"/>
      <c r="CO450" s="6"/>
      <c r="CP450" s="6"/>
      <c r="CQ450" s="6"/>
      <c r="CR450" s="6"/>
      <c r="CS450" s="6"/>
      <c r="CT450" s="6"/>
      <c r="CU450" s="6"/>
      <c r="CV450" s="6"/>
      <c r="CW450" s="6"/>
      <c r="CX450" s="6"/>
      <c r="CY450" s="6"/>
      <c r="CZ450" s="6"/>
      <c r="DA450" s="6"/>
      <c r="DB450" s="6"/>
      <c r="DC450" s="6"/>
      <c r="DD450" s="6"/>
      <c r="DE450" s="6"/>
      <c r="DF450" s="6"/>
      <c r="DG450" s="6"/>
      <c r="DH450" s="6"/>
      <c r="DI450" s="6"/>
      <c r="DJ450" s="6"/>
      <c r="DK450" s="6"/>
      <c r="DL450" s="6"/>
      <c r="DM450" s="6"/>
      <c r="DN450" s="6"/>
      <c r="DO450" s="6"/>
      <c r="DP450" s="6"/>
      <c r="DQ450" s="6"/>
      <c r="DR450" s="6"/>
      <c r="DS450" s="6"/>
      <c r="DT450" s="6"/>
      <c r="DU450" s="6"/>
      <c r="DV450" s="6"/>
      <c r="DW450" s="6"/>
      <c r="DX450" s="6"/>
      <c r="DY450" s="6"/>
      <c r="DZ450" s="6"/>
      <c r="EA450" s="6"/>
      <c r="EB450" s="6"/>
      <c r="EC450" s="6"/>
      <c r="ED450" s="6"/>
      <c r="EE450" s="7">
        <f>ROUND(4014.72,2)</f>
        <v>4014.72</v>
      </c>
      <c r="EF450" s="6"/>
      <c r="EG450" s="6"/>
      <c r="EH450" s="6"/>
      <c r="EI450" s="6"/>
      <c r="EJ450" s="6"/>
      <c r="EK450" s="6"/>
      <c r="EL450" s="6"/>
      <c r="EM450" s="7">
        <f>ROUND(375,2)</f>
        <v>375</v>
      </c>
      <c r="EN450" s="6"/>
      <c r="EO450" s="6"/>
      <c r="EP450" s="6"/>
      <c r="EQ450" s="6"/>
      <c r="ER450" s="6"/>
      <c r="ES450" s="7">
        <f>ROUND(3066.4,2)</f>
        <v>3066.4</v>
      </c>
      <c r="ET450" s="6"/>
      <c r="EU450" s="6"/>
      <c r="EV450" s="7">
        <f>ROUND(89094.1399999999,2)</f>
        <v>89094.14</v>
      </c>
    </row>
    <row r="451" spans="1:152">
      <c r="A451" s="4" t="s">
        <v>998</v>
      </c>
      <c r="B451" s="4" t="s">
        <v>1058</v>
      </c>
      <c r="C451" s="5" t="s">
        <v>152</v>
      </c>
      <c r="D451" s="5" t="s">
        <v>298</v>
      </c>
      <c r="E451" s="5" t="s">
        <v>0</v>
      </c>
      <c r="F451" s="5" t="s">
        <v>0</v>
      </c>
      <c r="G451" s="5" t="s">
        <v>155</v>
      </c>
      <c r="H451" s="10">
        <v>30.4</v>
      </c>
      <c r="I451" s="6"/>
      <c r="J451" s="6"/>
      <c r="K451" s="6"/>
      <c r="L451" s="6"/>
      <c r="M451" s="7">
        <f>ROUND(1086.96,2)</f>
        <v>1086.96</v>
      </c>
      <c r="N451" s="6"/>
      <c r="O451" s="6"/>
      <c r="P451" s="7">
        <f>ROUND(272.04,2)</f>
        <v>272.04000000000002</v>
      </c>
      <c r="Q451" s="6"/>
      <c r="R451" s="6"/>
      <c r="S451" s="6"/>
      <c r="T451" s="6"/>
      <c r="U451" s="7">
        <f>ROUND(63.34,2)</f>
        <v>63.34</v>
      </c>
      <c r="V451" s="7">
        <f>ROUND(29.1,2)</f>
        <v>29.1</v>
      </c>
      <c r="W451" s="7">
        <f>ROUND(11.23,2)</f>
        <v>11.23</v>
      </c>
      <c r="X451" s="7">
        <f>ROUND(2.96,2)</f>
        <v>2.96</v>
      </c>
      <c r="Y451" s="6"/>
      <c r="Z451" s="6"/>
      <c r="AA451" s="6"/>
      <c r="AB451" s="6"/>
      <c r="AC451" s="7">
        <f>ROUND(181.41,2)</f>
        <v>181.41</v>
      </c>
      <c r="AD451" s="7">
        <f>ROUND(19.7,2)</f>
        <v>19.7</v>
      </c>
      <c r="AE451" s="6"/>
      <c r="AF451" s="7">
        <f>ROUND(501.8,2)</f>
        <v>501.8</v>
      </c>
      <c r="AG451" s="7">
        <f>ROUND(154.76,2)</f>
        <v>154.76</v>
      </c>
      <c r="AH451" s="7">
        <f>ROUND(64,2)</f>
        <v>64</v>
      </c>
      <c r="AI451" s="6"/>
      <c r="AJ451" s="6"/>
      <c r="AK451" s="6"/>
      <c r="AL451" s="7">
        <f>ROUND(16.5,2)</f>
        <v>16.5</v>
      </c>
      <c r="AM451" s="6"/>
      <c r="AN451" s="6"/>
      <c r="AO451" s="6"/>
      <c r="AP451" s="7">
        <f>ROUND(72,2)</f>
        <v>72</v>
      </c>
      <c r="AQ451" s="6"/>
      <c r="AR451" s="6"/>
      <c r="AS451" s="6"/>
      <c r="AT451" s="6"/>
      <c r="AU451" s="6"/>
      <c r="AV451" s="7">
        <f>ROUND(3.8,2)</f>
        <v>3.8</v>
      </c>
      <c r="AW451" s="7">
        <f>ROUND(6.22,2)</f>
        <v>6.22</v>
      </c>
      <c r="AX451" s="7">
        <f>ROUND(7.42,2)</f>
        <v>7.42</v>
      </c>
      <c r="AY451" s="7">
        <f>ROUND(2.78,2)</f>
        <v>2.78</v>
      </c>
      <c r="AZ451" s="6"/>
      <c r="BA451" s="6"/>
      <c r="BB451" s="6"/>
      <c r="BC451" s="6"/>
      <c r="BD451" s="7">
        <f>ROUND(1,2)</f>
        <v>1</v>
      </c>
      <c r="BE451" s="6"/>
      <c r="BF451" s="6"/>
      <c r="BG451" s="6"/>
      <c r="BH451" s="6"/>
      <c r="BI451" s="6"/>
      <c r="BJ451" s="6"/>
      <c r="BK451" s="6"/>
      <c r="BL451" s="7">
        <f>ROUND(80,2)</f>
        <v>80</v>
      </c>
      <c r="BM451" s="6"/>
      <c r="BN451" s="6"/>
      <c r="BO451" s="6"/>
      <c r="BP451" s="6"/>
      <c r="BQ451" s="6"/>
      <c r="BR451" s="6"/>
      <c r="BS451" s="6"/>
      <c r="BT451" s="6"/>
      <c r="BU451" s="6"/>
      <c r="BV451" s="6"/>
      <c r="BW451" s="6"/>
      <c r="BX451" s="6"/>
      <c r="BY451" s="6"/>
      <c r="BZ451" s="6"/>
      <c r="CA451" s="7">
        <f>ROUND(80,2)</f>
        <v>80</v>
      </c>
      <c r="CB451" s="7">
        <f>ROUND(2657.01999999999,2)</f>
        <v>2657.02</v>
      </c>
      <c r="CC451" s="6"/>
      <c r="CD451" s="6"/>
      <c r="CE451" s="6"/>
      <c r="CF451" s="6"/>
      <c r="CG451" s="7">
        <f>ROUND(26239.93,2)</f>
        <v>26239.93</v>
      </c>
      <c r="CH451" s="6"/>
      <c r="CI451" s="6"/>
      <c r="CJ451" s="7">
        <f>ROUND(10063.65,2)</f>
        <v>10063.65</v>
      </c>
      <c r="CK451" s="6"/>
      <c r="CL451" s="6"/>
      <c r="CM451" s="6"/>
      <c r="CN451" s="6"/>
      <c r="CO451" s="7">
        <f>ROUND(1517.79,2)</f>
        <v>1517.79</v>
      </c>
      <c r="CP451" s="7">
        <f>ROUND(1020.96999999999,2)</f>
        <v>1020.97</v>
      </c>
      <c r="CQ451" s="7">
        <f>ROUND(269.429999999999,2)</f>
        <v>269.43</v>
      </c>
      <c r="CR451" s="7">
        <f>ROUND(104.2,2)</f>
        <v>104.2</v>
      </c>
      <c r="CS451" s="6"/>
      <c r="CT451" s="6"/>
      <c r="CU451" s="6"/>
      <c r="CV451" s="6"/>
      <c r="CW451" s="7">
        <f>ROUND(4378.92,2)</f>
        <v>4378.92</v>
      </c>
      <c r="CX451" s="7">
        <f>ROUND(774.33,2)</f>
        <v>774.33</v>
      </c>
      <c r="CY451" s="6"/>
      <c r="CZ451" s="6"/>
      <c r="DA451" s="7">
        <f>ROUND(12336.3299999999,2)</f>
        <v>12336.33</v>
      </c>
      <c r="DB451" s="7">
        <f>ROUND(5729.83,2)</f>
        <v>5729.83</v>
      </c>
      <c r="DC451" s="7">
        <f>ROUND(1606.48,2)</f>
        <v>1606.48</v>
      </c>
      <c r="DD451" s="6"/>
      <c r="DE451" s="6"/>
      <c r="DF451" s="6"/>
      <c r="DG451" s="6"/>
      <c r="DH451" s="6"/>
      <c r="DI451" s="7">
        <f>ROUND(441.549999999999,2)</f>
        <v>441.55</v>
      </c>
      <c r="DJ451" s="6"/>
      <c r="DK451" s="6"/>
      <c r="DL451" s="6"/>
      <c r="DM451" s="7">
        <f>ROUND(1906.19999999999,2)</f>
        <v>1906.2</v>
      </c>
      <c r="DN451" s="6"/>
      <c r="DO451" s="6"/>
      <c r="DP451" s="6"/>
      <c r="DQ451" s="6"/>
      <c r="DR451" s="7">
        <f>ROUND(500,2)</f>
        <v>500</v>
      </c>
      <c r="DS451" s="6"/>
      <c r="DT451" s="6"/>
      <c r="DU451" s="6"/>
      <c r="DV451" s="6"/>
      <c r="DW451" s="7">
        <f>ROUND(88.67,2)</f>
        <v>88.67</v>
      </c>
      <c r="DX451" s="7">
        <f>ROUND(217.72,2)</f>
        <v>217.72</v>
      </c>
      <c r="DY451" s="7">
        <f>ROUND(173.15,2)</f>
        <v>173.15</v>
      </c>
      <c r="DZ451" s="7">
        <f>ROUND(97.31,2)</f>
        <v>97.31</v>
      </c>
      <c r="EA451" s="6"/>
      <c r="EB451" s="6"/>
      <c r="EC451" s="6"/>
      <c r="ED451" s="6"/>
      <c r="EE451" s="7">
        <f>ROUND(950,2)</f>
        <v>950</v>
      </c>
      <c r="EF451" s="6"/>
      <c r="EG451" s="6"/>
      <c r="EH451" s="6"/>
      <c r="EI451" s="6"/>
      <c r="EJ451" s="6"/>
      <c r="EK451" s="6"/>
      <c r="EL451" s="6"/>
      <c r="EM451" s="6"/>
      <c r="EN451" s="6"/>
      <c r="EO451" s="6"/>
      <c r="EP451" s="6"/>
      <c r="EQ451" s="7">
        <f>ROUND(1250,2)</f>
        <v>1250</v>
      </c>
      <c r="ER451" s="6"/>
      <c r="ES451" s="6"/>
      <c r="ET451" s="6"/>
      <c r="EU451" s="7">
        <f>ROUND(2432,2)</f>
        <v>2432</v>
      </c>
      <c r="EV451" s="7">
        <f>ROUND(72098.46,2)</f>
        <v>72098.460000000006</v>
      </c>
    </row>
    <row r="452" spans="1:152">
      <c r="A452" s="4" t="s">
        <v>999</v>
      </c>
      <c r="B452" s="4" t="s">
        <v>1058</v>
      </c>
      <c r="C452" s="5" t="s">
        <v>152</v>
      </c>
      <c r="D452" s="5" t="s">
        <v>739</v>
      </c>
      <c r="E452" s="5" t="s">
        <v>1000</v>
      </c>
      <c r="F452" s="5" t="s">
        <v>0</v>
      </c>
      <c r="G452" s="5" t="s">
        <v>155</v>
      </c>
      <c r="H452" s="10">
        <v>27.78</v>
      </c>
      <c r="I452" s="6"/>
      <c r="J452" s="6"/>
      <c r="K452" s="6"/>
      <c r="L452" s="6"/>
      <c r="M452" s="7">
        <f>ROUND(248.2,2)</f>
        <v>248.2</v>
      </c>
      <c r="N452" s="6"/>
      <c r="O452" s="6"/>
      <c r="P452" s="7">
        <f>ROUND(13.08,2)</f>
        <v>13.08</v>
      </c>
      <c r="Q452" s="6"/>
      <c r="R452" s="6"/>
      <c r="S452" s="6"/>
      <c r="T452" s="6"/>
      <c r="U452" s="7">
        <f>ROUND(18.64,2)</f>
        <v>18.64</v>
      </c>
      <c r="V452" s="6"/>
      <c r="W452" s="7">
        <f>ROUND(4.3,2)</f>
        <v>4.3</v>
      </c>
      <c r="X452" s="6"/>
      <c r="Y452" s="6"/>
      <c r="Z452" s="6"/>
      <c r="AA452" s="6"/>
      <c r="AB452" s="6"/>
      <c r="AC452" s="7">
        <f>ROUND(143.75,2)</f>
        <v>143.75</v>
      </c>
      <c r="AD452" s="6"/>
      <c r="AE452" s="6"/>
      <c r="AF452" s="7">
        <f>ROUND(153.95,2)</f>
        <v>153.94999999999999</v>
      </c>
      <c r="AG452" s="7">
        <f>ROUND(3.7,2)</f>
        <v>3.7</v>
      </c>
      <c r="AH452" s="7">
        <f>ROUND(56,2)</f>
        <v>56</v>
      </c>
      <c r="AI452" s="6"/>
      <c r="AJ452" s="7">
        <f>ROUND(80,2)</f>
        <v>80</v>
      </c>
      <c r="AK452" s="6"/>
      <c r="AL452" s="7">
        <f>ROUND(8,2)</f>
        <v>8</v>
      </c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7">
        <f>ROUND(16,2)</f>
        <v>16</v>
      </c>
      <c r="BC452" s="7">
        <f>ROUND(40,2)</f>
        <v>40</v>
      </c>
      <c r="BD452" s="7">
        <f>ROUND(2.17,2)</f>
        <v>2.17</v>
      </c>
      <c r="BE452" s="6"/>
      <c r="BF452" s="6"/>
      <c r="BG452" s="6"/>
      <c r="BH452" s="6"/>
      <c r="BI452" s="6"/>
      <c r="BJ452" s="7">
        <f>ROUND(48,2)</f>
        <v>48</v>
      </c>
      <c r="BK452" s="6"/>
      <c r="BL452" s="6"/>
      <c r="BM452" s="7">
        <f>ROUND(286.58,2)</f>
        <v>286.58</v>
      </c>
      <c r="BN452" s="6"/>
      <c r="BO452" s="6"/>
      <c r="BP452" s="6"/>
      <c r="BQ452" s="6"/>
      <c r="BR452" s="6"/>
      <c r="BS452" s="6"/>
      <c r="BT452" s="6"/>
      <c r="BU452" s="6"/>
      <c r="BV452" s="6"/>
      <c r="BW452" s="6"/>
      <c r="BX452" s="6"/>
      <c r="BY452" s="6"/>
      <c r="BZ452" s="6"/>
      <c r="CA452" s="6"/>
      <c r="CB452" s="7">
        <f>ROUND(1122.37,2)</f>
        <v>1122.3699999999999</v>
      </c>
      <c r="CC452" s="6"/>
      <c r="CD452" s="6"/>
      <c r="CE452" s="6"/>
      <c r="CF452" s="6"/>
      <c r="CG452" s="7">
        <f>ROUND(6905.92999999999,2)</f>
        <v>6905.93</v>
      </c>
      <c r="CH452" s="6"/>
      <c r="CI452" s="6"/>
      <c r="CJ452" s="7">
        <f>ROUND(545.05,2)</f>
        <v>545.04999999999995</v>
      </c>
      <c r="CK452" s="6"/>
      <c r="CL452" s="6"/>
      <c r="CM452" s="6"/>
      <c r="CN452" s="6"/>
      <c r="CO452" s="7">
        <f>ROUND(518.51,2)</f>
        <v>518.51</v>
      </c>
      <c r="CP452" s="6"/>
      <c r="CQ452" s="7">
        <f>ROUND(119.68,2)</f>
        <v>119.68</v>
      </c>
      <c r="CR452" s="6"/>
      <c r="CS452" s="6"/>
      <c r="CT452" s="6"/>
      <c r="CU452" s="6"/>
      <c r="CV452" s="6"/>
      <c r="CW452" s="7">
        <f>ROUND(4013.44,2)</f>
        <v>4013.44</v>
      </c>
      <c r="CX452" s="6"/>
      <c r="CY452" s="6"/>
      <c r="CZ452" s="6"/>
      <c r="DA452" s="7">
        <f>ROUND(4293.77,2)</f>
        <v>4293.7700000000004</v>
      </c>
      <c r="DB452" s="7">
        <f>ROUND(155.01,2)</f>
        <v>155.01</v>
      </c>
      <c r="DC452" s="7">
        <f>ROUND(1555.68,2)</f>
        <v>1555.68</v>
      </c>
      <c r="DD452" s="6"/>
      <c r="DE452" s="7">
        <f>ROUND(2222.4,2)</f>
        <v>2222.4</v>
      </c>
      <c r="DF452" s="6"/>
      <c r="DG452" s="6"/>
      <c r="DH452" s="6"/>
      <c r="DI452" s="7">
        <f>ROUND(222.24,2)</f>
        <v>222.24</v>
      </c>
      <c r="DJ452" s="6"/>
      <c r="DK452" s="6"/>
      <c r="DL452" s="6"/>
      <c r="DM452" s="6"/>
      <c r="DN452" s="6"/>
      <c r="DO452" s="6"/>
      <c r="DP452" s="6"/>
      <c r="DQ452" s="6"/>
      <c r="DR452" s="6"/>
      <c r="DS452" s="6"/>
      <c r="DT452" s="6"/>
      <c r="DU452" s="6"/>
      <c r="DV452" s="6"/>
      <c r="DW452" s="6"/>
      <c r="DX452" s="6"/>
      <c r="DY452" s="6"/>
      <c r="DZ452" s="6"/>
      <c r="EA452" s="6"/>
      <c r="EB452" s="6"/>
      <c r="EC452" s="6"/>
      <c r="ED452" s="6"/>
      <c r="EE452" s="6"/>
      <c r="EF452" s="6"/>
      <c r="EG452" s="6"/>
      <c r="EH452" s="6"/>
      <c r="EI452" s="6"/>
      <c r="EJ452" s="6"/>
      <c r="EK452" s="6"/>
      <c r="EL452" s="6"/>
      <c r="EM452" s="6"/>
      <c r="EN452" s="6"/>
      <c r="EO452" s="6"/>
      <c r="EP452" s="6"/>
      <c r="EQ452" s="6"/>
      <c r="ER452" s="6"/>
      <c r="ES452" s="6"/>
      <c r="ET452" s="6"/>
      <c r="EU452" s="6"/>
      <c r="EV452" s="7">
        <f>ROUND(20551.7099999999,2)</f>
        <v>20551.71</v>
      </c>
    </row>
    <row r="453" spans="1:152">
      <c r="A453" s="4" t="s">
        <v>1001</v>
      </c>
      <c r="B453" s="4" t="s">
        <v>1058</v>
      </c>
      <c r="C453" s="5" t="s">
        <v>152</v>
      </c>
      <c r="D453" s="5" t="s">
        <v>153</v>
      </c>
      <c r="E453" s="5" t="s">
        <v>0</v>
      </c>
      <c r="F453" s="5" t="s">
        <v>298</v>
      </c>
      <c r="G453" s="5" t="s">
        <v>155</v>
      </c>
      <c r="H453" s="10">
        <v>30.4</v>
      </c>
      <c r="I453" s="6"/>
      <c r="J453" s="6"/>
      <c r="K453" s="6"/>
      <c r="L453" s="6"/>
      <c r="M453" s="7">
        <f>ROUND(1032.76,2)</f>
        <v>1032.76</v>
      </c>
      <c r="N453" s="6"/>
      <c r="O453" s="6"/>
      <c r="P453" s="7">
        <f>ROUND(126.029999999999,2)</f>
        <v>126.03</v>
      </c>
      <c r="Q453" s="6"/>
      <c r="R453" s="6"/>
      <c r="S453" s="6"/>
      <c r="T453" s="6"/>
      <c r="U453" s="7">
        <f>ROUND(73.81,2)</f>
        <v>73.81</v>
      </c>
      <c r="V453" s="7">
        <f>ROUND(14.1,2)</f>
        <v>14.1</v>
      </c>
      <c r="W453" s="7">
        <f>ROUND(13.8,2)</f>
        <v>13.8</v>
      </c>
      <c r="X453" s="7">
        <f>ROUND(2.75,2)</f>
        <v>2.75</v>
      </c>
      <c r="Y453" s="6"/>
      <c r="Z453" s="6"/>
      <c r="AA453" s="6"/>
      <c r="AB453" s="6"/>
      <c r="AC453" s="7">
        <f>ROUND(226.91,2)</f>
        <v>226.91</v>
      </c>
      <c r="AD453" s="7">
        <f>ROUND(11.67,2)</f>
        <v>11.67</v>
      </c>
      <c r="AE453" s="6"/>
      <c r="AF453" s="7">
        <f>ROUND(547.74,2)</f>
        <v>547.74</v>
      </c>
      <c r="AG453" s="7">
        <f>ROUND(77.05,2)</f>
        <v>77.05</v>
      </c>
      <c r="AH453" s="7">
        <f>ROUND(96,2)</f>
        <v>96</v>
      </c>
      <c r="AI453" s="6"/>
      <c r="AJ453" s="7">
        <f>ROUND(64,2)</f>
        <v>64</v>
      </c>
      <c r="AK453" s="6"/>
      <c r="AL453" s="7">
        <f>ROUND(16.5,2)</f>
        <v>16.5</v>
      </c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7">
        <f>ROUND(24,2)</f>
        <v>24</v>
      </c>
      <c r="BC453" s="6"/>
      <c r="BD453" s="7">
        <f>ROUND(1.25,2)</f>
        <v>1.25</v>
      </c>
      <c r="BE453" s="7">
        <f>ROUND(0.67,2)</f>
        <v>0.67</v>
      </c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  <c r="BS453" s="6"/>
      <c r="BT453" s="6"/>
      <c r="BU453" s="6"/>
      <c r="BV453" s="6"/>
      <c r="BW453" s="6"/>
      <c r="BX453" s="6"/>
      <c r="BY453" s="6"/>
      <c r="BZ453" s="6"/>
      <c r="CA453" s="7">
        <f>ROUND(8,2)</f>
        <v>8</v>
      </c>
      <c r="CB453" s="7">
        <f>ROUND(2337.04,2)</f>
        <v>2337.04</v>
      </c>
      <c r="CC453" s="6"/>
      <c r="CD453" s="6"/>
      <c r="CE453" s="6"/>
      <c r="CF453" s="6"/>
      <c r="CG453" s="7">
        <f>ROUND(24823.8899999999,2)</f>
        <v>24823.89</v>
      </c>
      <c r="CH453" s="6"/>
      <c r="CI453" s="6"/>
      <c r="CJ453" s="7">
        <f>ROUND(4476.17,2)</f>
        <v>4476.17</v>
      </c>
      <c r="CK453" s="6"/>
      <c r="CL453" s="6"/>
      <c r="CM453" s="6"/>
      <c r="CN453" s="6"/>
      <c r="CO453" s="7">
        <f>ROUND(1727.52,2)</f>
        <v>1727.52</v>
      </c>
      <c r="CP453" s="7">
        <f>ROUND(496.19,2)</f>
        <v>496.19</v>
      </c>
      <c r="CQ453" s="7">
        <f>ROUND(322.76,2)</f>
        <v>322.76</v>
      </c>
      <c r="CR453" s="7">
        <f>ROUND(96.25,2)</f>
        <v>96.25</v>
      </c>
      <c r="CS453" s="6"/>
      <c r="CT453" s="6"/>
      <c r="CU453" s="6"/>
      <c r="CV453" s="6"/>
      <c r="CW453" s="7">
        <f>ROUND(5376.47,2)</f>
        <v>5376.47</v>
      </c>
      <c r="CX453" s="7">
        <f>ROUND(408.48,2)</f>
        <v>408.48</v>
      </c>
      <c r="CY453" s="6"/>
      <c r="CZ453" s="6"/>
      <c r="DA453" s="7">
        <f>ROUND(13597.4099999999,2)</f>
        <v>13597.41</v>
      </c>
      <c r="DB453" s="7">
        <f>ROUND(2891.13,2)</f>
        <v>2891.13</v>
      </c>
      <c r="DC453" s="7">
        <f>ROUND(2466.24,2)</f>
        <v>2466.2399999999998</v>
      </c>
      <c r="DD453" s="6"/>
      <c r="DE453" s="7">
        <f>ROUND(1663,2)</f>
        <v>1663</v>
      </c>
      <c r="DF453" s="6"/>
      <c r="DG453" s="6"/>
      <c r="DH453" s="6"/>
      <c r="DI453" s="7">
        <f>ROUND(441.549999999999,2)</f>
        <v>441.55</v>
      </c>
      <c r="DJ453" s="6"/>
      <c r="DK453" s="6"/>
      <c r="DL453" s="6"/>
      <c r="DM453" s="6"/>
      <c r="DN453" s="6"/>
      <c r="DO453" s="6"/>
      <c r="DP453" s="6"/>
      <c r="DQ453" s="6"/>
      <c r="DR453" s="6"/>
      <c r="DS453" s="6"/>
      <c r="DT453" s="6"/>
      <c r="DU453" s="6"/>
      <c r="DV453" s="6"/>
      <c r="DW453" s="6"/>
      <c r="DX453" s="6"/>
      <c r="DY453" s="6"/>
      <c r="DZ453" s="6"/>
      <c r="EA453" s="6"/>
      <c r="EB453" s="6"/>
      <c r="EC453" s="6"/>
      <c r="ED453" s="6"/>
      <c r="EE453" s="7">
        <f>ROUND(1225,2)</f>
        <v>1225</v>
      </c>
      <c r="EF453" s="6"/>
      <c r="EG453" s="6"/>
      <c r="EH453" s="6"/>
      <c r="EI453" s="6"/>
      <c r="EJ453" s="6"/>
      <c r="EK453" s="6"/>
      <c r="EL453" s="6"/>
      <c r="EM453" s="6"/>
      <c r="EN453" s="6"/>
      <c r="EO453" s="6"/>
      <c r="EP453" s="6"/>
      <c r="EQ453" s="7">
        <f>ROUND(1250,2)</f>
        <v>1250</v>
      </c>
      <c r="ER453" s="6"/>
      <c r="ES453" s="6"/>
      <c r="ET453" s="6"/>
      <c r="EU453" s="7">
        <f>ROUND(243.2,2)</f>
        <v>243.2</v>
      </c>
      <c r="EV453" s="7">
        <f>ROUND(61505.26,2)</f>
        <v>61505.26</v>
      </c>
    </row>
    <row r="454" spans="1:152">
      <c r="A454" s="4" t="s">
        <v>1002</v>
      </c>
      <c r="B454" s="4" t="s">
        <v>1058</v>
      </c>
      <c r="C454" s="5" t="s">
        <v>152</v>
      </c>
      <c r="D454" s="5" t="s">
        <v>171</v>
      </c>
      <c r="E454" s="5" t="s">
        <v>0</v>
      </c>
      <c r="F454" s="5" t="s">
        <v>0</v>
      </c>
      <c r="G454" s="5" t="s">
        <v>155</v>
      </c>
      <c r="H454" s="10">
        <v>27.36</v>
      </c>
      <c r="I454" s="6"/>
      <c r="J454" s="6"/>
      <c r="K454" s="6"/>
      <c r="L454" s="6"/>
      <c r="M454" s="7">
        <f>ROUND(1236.07999999999,2)</f>
        <v>1236.08</v>
      </c>
      <c r="N454" s="6"/>
      <c r="O454" s="6"/>
      <c r="P454" s="7">
        <f>ROUND(62.0799999999999,2)</f>
        <v>62.08</v>
      </c>
      <c r="Q454" s="6"/>
      <c r="R454" s="6"/>
      <c r="S454" s="6"/>
      <c r="T454" s="7">
        <f>ROUND(0.2,2)</f>
        <v>0.2</v>
      </c>
      <c r="U454" s="7">
        <f>ROUND(23.16,2)</f>
        <v>23.16</v>
      </c>
      <c r="V454" s="7">
        <f>ROUND(8.5,2)</f>
        <v>8.5</v>
      </c>
      <c r="W454" s="7">
        <f>ROUND(10.75,2)</f>
        <v>10.75</v>
      </c>
      <c r="X454" s="7">
        <f>ROUND(0.66,2)</f>
        <v>0.66</v>
      </c>
      <c r="Y454" s="6"/>
      <c r="Z454" s="6"/>
      <c r="AA454" s="6"/>
      <c r="AB454" s="6"/>
      <c r="AC454" s="7">
        <f>ROUND(73.83,2)</f>
        <v>73.83</v>
      </c>
      <c r="AD454" s="7">
        <f>ROUND(5.04,2)</f>
        <v>5.04</v>
      </c>
      <c r="AE454" s="6"/>
      <c r="AF454" s="7">
        <f>ROUND(267.81,2)</f>
        <v>267.81</v>
      </c>
      <c r="AG454" s="7">
        <f>ROUND(5.80999999999999,2)</f>
        <v>5.81</v>
      </c>
      <c r="AH454" s="7">
        <f>ROUND(68,2)</f>
        <v>68</v>
      </c>
      <c r="AI454" s="6"/>
      <c r="AJ454" s="7">
        <f>ROUND(40,2)</f>
        <v>40</v>
      </c>
      <c r="AK454" s="6"/>
      <c r="AL454" s="7">
        <f>ROUND(8,2)</f>
        <v>8</v>
      </c>
      <c r="AM454" s="6"/>
      <c r="AN454" s="6"/>
      <c r="AO454" s="6"/>
      <c r="AP454" s="6"/>
      <c r="AQ454" s="6"/>
      <c r="AR454" s="7">
        <f>ROUND(2,2)</f>
        <v>2</v>
      </c>
      <c r="AS454" s="6"/>
      <c r="AT454" s="6"/>
      <c r="AU454" s="6"/>
      <c r="AV454" s="6"/>
      <c r="AW454" s="6"/>
      <c r="AX454" s="6"/>
      <c r="AY454" s="6"/>
      <c r="AZ454" s="6"/>
      <c r="BA454" s="6"/>
      <c r="BB454" s="7">
        <f>ROUND(21,2)</f>
        <v>21</v>
      </c>
      <c r="BC454" s="7">
        <f>ROUND(29,2)</f>
        <v>29</v>
      </c>
      <c r="BD454" s="6"/>
      <c r="BE454" s="6"/>
      <c r="BF454" s="6"/>
      <c r="BG454" s="6"/>
      <c r="BH454" s="6"/>
      <c r="BI454" s="6"/>
      <c r="BJ454" s="6"/>
      <c r="BK454" s="6"/>
      <c r="BL454" s="6"/>
      <c r="BM454" s="7">
        <f>ROUND(21,2)</f>
        <v>21</v>
      </c>
      <c r="BN454" s="6"/>
      <c r="BO454" s="6"/>
      <c r="BP454" s="6"/>
      <c r="BQ454" s="6"/>
      <c r="BR454" s="6"/>
      <c r="BS454" s="6"/>
      <c r="BT454" s="6"/>
      <c r="BU454" s="6"/>
      <c r="BV454" s="6"/>
      <c r="BW454" s="6"/>
      <c r="BX454" s="6"/>
      <c r="BY454" s="6"/>
      <c r="BZ454" s="6"/>
      <c r="CA454" s="6"/>
      <c r="CB454" s="7">
        <f>ROUND(1882.92,2)</f>
        <v>1882.92</v>
      </c>
      <c r="CC454" s="6"/>
      <c r="CD454" s="6"/>
      <c r="CE454" s="6"/>
      <c r="CF454" s="6"/>
      <c r="CG454" s="7">
        <f>ROUND(26691.13,2)</f>
        <v>26691.13</v>
      </c>
      <c r="CH454" s="6"/>
      <c r="CI454" s="6"/>
      <c r="CJ454" s="7">
        <f>ROUND(2116.87999999999,2)</f>
        <v>2116.88</v>
      </c>
      <c r="CK454" s="6"/>
      <c r="CL454" s="6"/>
      <c r="CM454" s="6"/>
      <c r="CN454" s="7">
        <f>ROUND(8.33,2)</f>
        <v>8.33</v>
      </c>
      <c r="CO454" s="7">
        <f>ROUND(569.78,2)</f>
        <v>569.78</v>
      </c>
      <c r="CP454" s="7">
        <f>ROUND(348.84,2)</f>
        <v>348.84</v>
      </c>
      <c r="CQ454" s="7">
        <f>ROUND(242.11,2)</f>
        <v>242.11</v>
      </c>
      <c r="CR454" s="7">
        <f>ROUND(20.62,2)</f>
        <v>20.62</v>
      </c>
      <c r="CS454" s="6"/>
      <c r="CT454" s="6"/>
      <c r="CU454" s="6"/>
      <c r="CV454" s="6"/>
      <c r="CW454" s="7">
        <f>ROUND(1706.69,2)</f>
        <v>1706.69</v>
      </c>
      <c r="CX454" s="7">
        <f>ROUND(162.109999999999,2)</f>
        <v>162.11000000000001</v>
      </c>
      <c r="CY454" s="6"/>
      <c r="CZ454" s="6"/>
      <c r="DA454" s="7">
        <f>ROUND(5997.36,2)</f>
        <v>5997.36</v>
      </c>
      <c r="DB454" s="7">
        <f>ROUND(188.14,2)</f>
        <v>188.14</v>
      </c>
      <c r="DC454" s="7">
        <f>ROUND(1573.4,2)</f>
        <v>1573.4</v>
      </c>
      <c r="DD454" s="6"/>
      <c r="DE454" s="7">
        <f>ROUND(833.4,2)</f>
        <v>833.4</v>
      </c>
      <c r="DF454" s="6"/>
      <c r="DG454" s="6"/>
      <c r="DH454" s="6"/>
      <c r="DI454" s="7">
        <f>ROUND(166.68,2)</f>
        <v>166.68</v>
      </c>
      <c r="DJ454" s="6"/>
      <c r="DK454" s="6"/>
      <c r="DL454" s="6"/>
      <c r="DM454" s="6"/>
      <c r="DN454" s="6"/>
      <c r="DO454" s="6"/>
      <c r="DP454" s="7">
        <f>ROUND(41.67,2)</f>
        <v>41.67</v>
      </c>
      <c r="DQ454" s="6"/>
      <c r="DR454" s="6"/>
      <c r="DS454" s="6"/>
      <c r="DT454" s="6"/>
      <c r="DU454" s="6"/>
      <c r="DV454" s="6"/>
      <c r="DW454" s="6"/>
      <c r="DX454" s="6"/>
      <c r="DY454" s="6"/>
      <c r="DZ454" s="6"/>
      <c r="EA454" s="6"/>
      <c r="EB454" s="6"/>
      <c r="EC454" s="6"/>
      <c r="ED454" s="6"/>
      <c r="EE454" s="7">
        <f>ROUND(1800,2)</f>
        <v>1800</v>
      </c>
      <c r="EF454" s="6"/>
      <c r="EG454" s="6"/>
      <c r="EH454" s="6"/>
      <c r="EI454" s="6"/>
      <c r="EJ454" s="6"/>
      <c r="EK454" s="6"/>
      <c r="EL454" s="6"/>
      <c r="EM454" s="6"/>
      <c r="EN454" s="6"/>
      <c r="EO454" s="6"/>
      <c r="EP454" s="6"/>
      <c r="EQ454" s="7">
        <f>ROUND(1500,2)</f>
        <v>1500</v>
      </c>
      <c r="ER454" s="6"/>
      <c r="ES454" s="6"/>
      <c r="ET454" s="6"/>
      <c r="EU454" s="6"/>
      <c r="EV454" s="7">
        <f>ROUND(43967.14,2)</f>
        <v>43967.14</v>
      </c>
    </row>
    <row r="455" spans="1:152">
      <c r="A455" s="4" t="s">
        <v>1003</v>
      </c>
      <c r="B455" s="4"/>
      <c r="C455" s="5" t="s">
        <v>211</v>
      </c>
      <c r="D455" s="5" t="s">
        <v>1004</v>
      </c>
      <c r="E455" s="5" t="s">
        <v>0</v>
      </c>
      <c r="F455" s="5" t="s">
        <v>0</v>
      </c>
      <c r="G455" s="5" t="s">
        <v>213</v>
      </c>
      <c r="H455" s="10">
        <v>28</v>
      </c>
      <c r="I455" s="6"/>
      <c r="J455" s="6"/>
      <c r="K455" s="6"/>
      <c r="L455" s="6"/>
      <c r="M455" s="6"/>
      <c r="N455" s="6"/>
      <c r="O455" s="6"/>
      <c r="P455" s="6"/>
      <c r="Q455" s="7">
        <f>ROUND(1824,2)</f>
        <v>1824</v>
      </c>
      <c r="R455" s="7">
        <f>ROUND(564,2)</f>
        <v>564</v>
      </c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7">
        <f>ROUND(88,2)</f>
        <v>88</v>
      </c>
      <c r="AI455" s="6"/>
      <c r="AJ455" s="7">
        <f>ROUND(160,2)</f>
        <v>160</v>
      </c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7">
        <f>ROUND(16,2)</f>
        <v>16</v>
      </c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  <c r="BS455" s="6"/>
      <c r="BT455" s="6"/>
      <c r="BU455" s="6"/>
      <c r="BV455" s="6"/>
      <c r="BW455" s="6"/>
      <c r="BX455" s="6"/>
      <c r="BY455" s="6"/>
      <c r="BZ455" s="6"/>
      <c r="CA455" s="6"/>
      <c r="CB455" s="7">
        <f>ROUND(2652,2)</f>
        <v>2652</v>
      </c>
      <c r="CC455" s="6"/>
      <c r="CD455" s="6"/>
      <c r="CE455" s="6"/>
      <c r="CF455" s="6"/>
      <c r="CG455" s="6"/>
      <c r="CH455" s="6"/>
      <c r="CI455" s="6"/>
      <c r="CJ455" s="6"/>
      <c r="CK455" s="7">
        <f>ROUND(50346.18,2)</f>
        <v>50346.18</v>
      </c>
      <c r="CL455" s="7">
        <f>ROUND(23362.8299999999,2)</f>
        <v>23362.83</v>
      </c>
      <c r="CM455" s="6"/>
      <c r="CN455" s="6"/>
      <c r="CO455" s="6"/>
      <c r="CP455" s="6"/>
      <c r="CQ455" s="6"/>
      <c r="CR455" s="6"/>
      <c r="CS455" s="6"/>
      <c r="CT455" s="6"/>
      <c r="CU455" s="6"/>
      <c r="CV455" s="6"/>
      <c r="CW455" s="6"/>
      <c r="CX455" s="6"/>
      <c r="CY455" s="6"/>
      <c r="CZ455" s="6"/>
      <c r="DA455" s="6"/>
      <c r="DB455" s="6"/>
      <c r="DC455" s="7">
        <f>ROUND(2433.76,2)</f>
        <v>2433.7600000000002</v>
      </c>
      <c r="DD455" s="6"/>
      <c r="DE455" s="7">
        <f>ROUND(4379.2,2)</f>
        <v>4379.2</v>
      </c>
      <c r="DF455" s="6"/>
      <c r="DG455" s="6"/>
      <c r="DH455" s="6"/>
      <c r="DI455" s="6"/>
      <c r="DJ455" s="6"/>
      <c r="DK455" s="6"/>
      <c r="DL455" s="6"/>
      <c r="DM455" s="6"/>
      <c r="DN455" s="6"/>
      <c r="DO455" s="6"/>
      <c r="DP455" s="6"/>
      <c r="DQ455" s="6"/>
      <c r="DR455" s="6"/>
      <c r="DS455" s="6"/>
      <c r="DT455" s="6"/>
      <c r="DU455" s="6"/>
      <c r="DV455" s="6"/>
      <c r="DW455" s="6"/>
      <c r="DX455" s="6"/>
      <c r="DY455" s="6"/>
      <c r="DZ455" s="6"/>
      <c r="EA455" s="6"/>
      <c r="EB455" s="6"/>
      <c r="EC455" s="6"/>
      <c r="ED455" s="6"/>
      <c r="EE455" s="7">
        <f>ROUND(1375,2)</f>
        <v>1375</v>
      </c>
      <c r="EF455" s="6"/>
      <c r="EG455" s="6"/>
      <c r="EH455" s="6"/>
      <c r="EI455" s="6"/>
      <c r="EJ455" s="6"/>
      <c r="EK455" s="6"/>
      <c r="EL455" s="6"/>
      <c r="EM455" s="6"/>
      <c r="EN455" s="6"/>
      <c r="EO455" s="6"/>
      <c r="EP455" s="6"/>
      <c r="EQ455" s="7">
        <f>ROUND(1250,2)</f>
        <v>1250</v>
      </c>
      <c r="ER455" s="6"/>
      <c r="ES455" s="6"/>
      <c r="ET455" s="6"/>
      <c r="EU455" s="6"/>
      <c r="EV455" s="7">
        <f>ROUND(83146.97,2)</f>
        <v>83146.97</v>
      </c>
    </row>
    <row r="456" spans="1:152" ht="24">
      <c r="A456" s="4" t="s">
        <v>1005</v>
      </c>
      <c r="B456" s="4"/>
      <c r="C456" s="5" t="s">
        <v>720</v>
      </c>
      <c r="D456" s="5" t="s">
        <v>1006</v>
      </c>
      <c r="E456" s="5" t="s">
        <v>0</v>
      </c>
      <c r="F456" s="5" t="s">
        <v>0</v>
      </c>
      <c r="G456" s="5" t="s">
        <v>764</v>
      </c>
      <c r="H456" s="10">
        <v>19.13</v>
      </c>
      <c r="I456" s="7">
        <f>ROUND(1224,2)</f>
        <v>1224</v>
      </c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7">
        <f>ROUND(16,2)</f>
        <v>16</v>
      </c>
      <c r="BI456" s="6"/>
      <c r="BJ456" s="6"/>
      <c r="BK456" s="6"/>
      <c r="BL456" s="6"/>
      <c r="BM456" s="6"/>
      <c r="BN456" s="6"/>
      <c r="BO456" s="6"/>
      <c r="BP456" s="6"/>
      <c r="BQ456" s="6"/>
      <c r="BR456" s="6"/>
      <c r="BS456" s="6"/>
      <c r="BT456" s="7">
        <f>ROUND(32,2)</f>
        <v>32</v>
      </c>
      <c r="BU456" s="7">
        <f>ROUND(24,2)</f>
        <v>24</v>
      </c>
      <c r="BV456" s="6"/>
      <c r="BW456" s="6"/>
      <c r="BX456" s="6"/>
      <c r="BY456" s="7">
        <f>ROUND(80,2)</f>
        <v>80</v>
      </c>
      <c r="BZ456" s="6"/>
      <c r="CA456" s="6"/>
      <c r="CB456" s="7">
        <f>ROUND(1376,2)</f>
        <v>1376</v>
      </c>
      <c r="CC456" s="7">
        <f>ROUND(22383.76,2)</f>
        <v>22383.759999999998</v>
      </c>
      <c r="CD456" s="6"/>
      <c r="CE456" s="6"/>
      <c r="CF456" s="6"/>
      <c r="CG456" s="6"/>
      <c r="CH456" s="6"/>
      <c r="CI456" s="6"/>
      <c r="CJ456" s="6"/>
      <c r="CK456" s="6"/>
      <c r="CL456" s="6"/>
      <c r="CM456" s="6"/>
      <c r="CN456" s="6"/>
      <c r="CO456" s="6"/>
      <c r="CP456" s="6"/>
      <c r="CQ456" s="6"/>
      <c r="CR456" s="6"/>
      <c r="CS456" s="6"/>
      <c r="CT456" s="6"/>
      <c r="CU456" s="6"/>
      <c r="CV456" s="6"/>
      <c r="CW456" s="6"/>
      <c r="CX456" s="6"/>
      <c r="CY456" s="6"/>
      <c r="CZ456" s="6"/>
      <c r="DA456" s="6"/>
      <c r="DB456" s="6"/>
      <c r="DC456" s="6"/>
      <c r="DD456" s="6"/>
      <c r="DE456" s="6"/>
      <c r="DF456" s="6"/>
      <c r="DG456" s="6"/>
      <c r="DH456" s="6"/>
      <c r="DI456" s="6"/>
      <c r="DJ456" s="6"/>
      <c r="DK456" s="6"/>
      <c r="DL456" s="6"/>
      <c r="DM456" s="6"/>
      <c r="DN456" s="6"/>
      <c r="DO456" s="6"/>
      <c r="DP456" s="6"/>
      <c r="DQ456" s="6"/>
      <c r="DR456" s="6"/>
      <c r="DS456" s="6"/>
      <c r="DT456" s="6"/>
      <c r="DU456" s="6"/>
      <c r="DV456" s="6"/>
      <c r="DW456" s="6"/>
      <c r="DX456" s="6"/>
      <c r="DY456" s="6"/>
      <c r="DZ456" s="6"/>
      <c r="EA456" s="6"/>
      <c r="EB456" s="6"/>
      <c r="EC456" s="6"/>
      <c r="ED456" s="7">
        <f>ROUND(297.12,2)</f>
        <v>297.12</v>
      </c>
      <c r="EE456" s="7">
        <f>ROUND(1836.48,2)</f>
        <v>1836.48</v>
      </c>
      <c r="EF456" s="6"/>
      <c r="EG456" s="7">
        <f>ROUND(585.64,2)</f>
        <v>585.64</v>
      </c>
      <c r="EH456" s="7">
        <f>ROUND(445.68,2)</f>
        <v>445.68</v>
      </c>
      <c r="EI456" s="6"/>
      <c r="EJ456" s="6"/>
      <c r="EK456" s="6"/>
      <c r="EL456" s="6"/>
      <c r="EM456" s="6"/>
      <c r="EN456" s="6"/>
      <c r="EO456" s="6"/>
      <c r="EP456" s="6"/>
      <c r="EQ456" s="6"/>
      <c r="ER456" s="6"/>
      <c r="ES456" s="7">
        <f>ROUND(1486.2,2)</f>
        <v>1486.2</v>
      </c>
      <c r="ET456" s="6"/>
      <c r="EU456" s="6"/>
      <c r="EV456" s="7">
        <f>ROUND(27034.88,2)</f>
        <v>27034.880000000001</v>
      </c>
    </row>
    <row r="457" spans="1:152">
      <c r="A457" s="4" t="s">
        <v>1007</v>
      </c>
      <c r="B457" s="4" t="s">
        <v>1058</v>
      </c>
      <c r="C457" s="5" t="s">
        <v>152</v>
      </c>
      <c r="D457" s="5" t="s">
        <v>215</v>
      </c>
      <c r="E457" s="5" t="s">
        <v>0</v>
      </c>
      <c r="F457" s="5" t="s">
        <v>0</v>
      </c>
      <c r="G457" s="5" t="s">
        <v>155</v>
      </c>
      <c r="H457" s="10">
        <v>30.4</v>
      </c>
      <c r="I457" s="6"/>
      <c r="J457" s="6"/>
      <c r="K457" s="6"/>
      <c r="L457" s="6"/>
      <c r="M457" s="7">
        <f>ROUND(1862.72,2)</f>
        <v>1862.72</v>
      </c>
      <c r="N457" s="6"/>
      <c r="O457" s="6"/>
      <c r="P457" s="7">
        <f>ROUND(616.649999999999,2)</f>
        <v>616.65</v>
      </c>
      <c r="Q457" s="6"/>
      <c r="R457" s="6"/>
      <c r="S457" s="6"/>
      <c r="T457" s="6"/>
      <c r="U457" s="7">
        <f>ROUND(15.42,2)</f>
        <v>15.42</v>
      </c>
      <c r="V457" s="7">
        <f>ROUND(10.5,2)</f>
        <v>10.5</v>
      </c>
      <c r="W457" s="7">
        <f>ROUND(1,2)</f>
        <v>1</v>
      </c>
      <c r="X457" s="7">
        <f>ROUND(0.75,2)</f>
        <v>0.75</v>
      </c>
      <c r="Y457" s="6"/>
      <c r="Z457" s="6"/>
      <c r="AA457" s="6"/>
      <c r="AB457" s="6"/>
      <c r="AC457" s="7">
        <f>ROUND(8.67,2)</f>
        <v>8.67</v>
      </c>
      <c r="AD457" s="6"/>
      <c r="AE457" s="6"/>
      <c r="AF457" s="7">
        <f>ROUND(12.93,2)</f>
        <v>12.93</v>
      </c>
      <c r="AG457" s="7">
        <f>ROUND(27.05,2)</f>
        <v>27.05</v>
      </c>
      <c r="AH457" s="7">
        <f>ROUND(90,2)</f>
        <v>90</v>
      </c>
      <c r="AI457" s="6"/>
      <c r="AJ457" s="7">
        <f>ROUND(80,2)</f>
        <v>80</v>
      </c>
      <c r="AK457" s="6"/>
      <c r="AL457" s="7">
        <f>ROUND(9.25,2)</f>
        <v>9.25</v>
      </c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7">
        <f>ROUND(7.08,2)</f>
        <v>7.08</v>
      </c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  <c r="BS457" s="6"/>
      <c r="BT457" s="6"/>
      <c r="BU457" s="6"/>
      <c r="BV457" s="6"/>
      <c r="BW457" s="6"/>
      <c r="BX457" s="6"/>
      <c r="BY457" s="6"/>
      <c r="BZ457" s="6"/>
      <c r="CA457" s="7">
        <f>ROUND(40,2)</f>
        <v>40</v>
      </c>
      <c r="CB457" s="7">
        <f>ROUND(2782.01999999999,2)</f>
        <v>2782.02</v>
      </c>
      <c r="CC457" s="6"/>
      <c r="CD457" s="6"/>
      <c r="CE457" s="6"/>
      <c r="CF457" s="6"/>
      <c r="CG457" s="7">
        <f>ROUND(52473.22,2)</f>
        <v>52473.22</v>
      </c>
      <c r="CH457" s="6"/>
      <c r="CI457" s="6"/>
      <c r="CJ457" s="7">
        <f>ROUND(26184.46,2)</f>
        <v>26184.46</v>
      </c>
      <c r="CK457" s="6"/>
      <c r="CL457" s="6"/>
      <c r="CM457" s="6"/>
      <c r="CN457" s="6"/>
      <c r="CO457" s="7">
        <f>ROUND(430.68,2)</f>
        <v>430.68</v>
      </c>
      <c r="CP457" s="7">
        <f>ROUND(481.169999999999,2)</f>
        <v>481.17</v>
      </c>
      <c r="CQ457" s="7">
        <f>ROUND(30.55,2)</f>
        <v>30.55</v>
      </c>
      <c r="CR457" s="7">
        <f>ROUND(34.2,2)</f>
        <v>34.200000000000003</v>
      </c>
      <c r="CS457" s="6"/>
      <c r="CT457" s="6"/>
      <c r="CU457" s="6"/>
      <c r="CV457" s="6"/>
      <c r="CW457" s="7">
        <f>ROUND(240.85,2)</f>
        <v>240.85</v>
      </c>
      <c r="CX457" s="6"/>
      <c r="CY457" s="6"/>
      <c r="CZ457" s="6"/>
      <c r="DA457" s="7">
        <f>ROUND(371.169999999999,2)</f>
        <v>371.17</v>
      </c>
      <c r="DB457" s="7">
        <f>ROUND(1152.11,2)</f>
        <v>1152.1099999999999</v>
      </c>
      <c r="DC457" s="7">
        <f>ROUND(2542.12,2)</f>
        <v>2542.12</v>
      </c>
      <c r="DD457" s="6"/>
      <c r="DE457" s="7">
        <f>ROUND(2222.4,2)</f>
        <v>2222.4</v>
      </c>
      <c r="DF457" s="6"/>
      <c r="DG457" s="6"/>
      <c r="DH457" s="6"/>
      <c r="DI457" s="7">
        <f>ROUND(256.97,2)</f>
        <v>256.97000000000003</v>
      </c>
      <c r="DJ457" s="6"/>
      <c r="DK457" s="6"/>
      <c r="DL457" s="6"/>
      <c r="DM457" s="6"/>
      <c r="DN457" s="7">
        <f>ROUND(295,2)</f>
        <v>295</v>
      </c>
      <c r="DO457" s="6"/>
      <c r="DP457" s="6"/>
      <c r="DQ457" s="6"/>
      <c r="DR457" s="7">
        <f>ROUND(500,2)</f>
        <v>500</v>
      </c>
      <c r="DS457" s="6"/>
      <c r="DT457" s="6"/>
      <c r="DU457" s="6"/>
      <c r="DV457" s="6"/>
      <c r="DW457" s="6"/>
      <c r="DX457" s="6"/>
      <c r="DY457" s="6"/>
      <c r="DZ457" s="6"/>
      <c r="EA457" s="6"/>
      <c r="EB457" s="6"/>
      <c r="EC457" s="6"/>
      <c r="ED457" s="6"/>
      <c r="EE457" s="7">
        <f>ROUND(1450,2)</f>
        <v>1450</v>
      </c>
      <c r="EF457" s="6"/>
      <c r="EG457" s="6"/>
      <c r="EH457" s="6"/>
      <c r="EI457" s="6"/>
      <c r="EJ457" s="6"/>
      <c r="EK457" s="6"/>
      <c r="EL457" s="6"/>
      <c r="EM457" s="6"/>
      <c r="EN457" s="6"/>
      <c r="EO457" s="6"/>
      <c r="EP457" s="6"/>
      <c r="EQ457" s="7">
        <f>ROUND(1250,2)</f>
        <v>1250</v>
      </c>
      <c r="ER457" s="6"/>
      <c r="ES457" s="6"/>
      <c r="ET457" s="6"/>
      <c r="EU457" s="7">
        <f>ROUND(1216,2)</f>
        <v>1216</v>
      </c>
      <c r="EV457" s="7">
        <f>ROUND(91130.9,2)</f>
        <v>91130.9</v>
      </c>
    </row>
    <row r="458" spans="1:152" ht="24">
      <c r="A458" s="4" t="s">
        <v>1008</v>
      </c>
      <c r="B458" s="4"/>
      <c r="C458" s="5" t="s">
        <v>178</v>
      </c>
      <c r="D458" s="5" t="s">
        <v>1009</v>
      </c>
      <c r="E458" s="5" t="s">
        <v>0</v>
      </c>
      <c r="F458" s="5" t="s">
        <v>0</v>
      </c>
      <c r="G458" s="5" t="s">
        <v>248</v>
      </c>
      <c r="H458" s="10">
        <v>18.54</v>
      </c>
      <c r="I458" s="7">
        <f>ROUND(1441,2)</f>
        <v>1441</v>
      </c>
      <c r="J458" s="7">
        <f>ROUND(48.75,2)</f>
        <v>48.75</v>
      </c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7">
        <f>ROUND(10,2)</f>
        <v>10</v>
      </c>
      <c r="BI458" s="6"/>
      <c r="BJ458" s="6"/>
      <c r="BK458" s="6"/>
      <c r="BL458" s="6"/>
      <c r="BM458" s="6"/>
      <c r="BN458" s="6"/>
      <c r="BO458" s="6"/>
      <c r="BP458" s="6"/>
      <c r="BQ458" s="6"/>
      <c r="BR458" s="6"/>
      <c r="BS458" s="6"/>
      <c r="BT458" s="7">
        <f>ROUND(26,2)</f>
        <v>26</v>
      </c>
      <c r="BU458" s="6"/>
      <c r="BV458" s="6"/>
      <c r="BW458" s="6"/>
      <c r="BX458" s="7">
        <f>ROUND(16,2)</f>
        <v>16</v>
      </c>
      <c r="BY458" s="7">
        <f>ROUND(20,2)</f>
        <v>20</v>
      </c>
      <c r="BZ458" s="6"/>
      <c r="CA458" s="6"/>
      <c r="CB458" s="7">
        <f>ROUND(1561.75,2)</f>
        <v>1561.75</v>
      </c>
      <c r="CC458" s="7">
        <f>ROUND(24604.3499999999,2)</f>
        <v>24604.35</v>
      </c>
      <c r="CD458" s="7">
        <f>ROUND(1316.75,2)</f>
        <v>1316.75</v>
      </c>
      <c r="CE458" s="6"/>
      <c r="CF458" s="6"/>
      <c r="CG458" s="6"/>
      <c r="CH458" s="6"/>
      <c r="CI458" s="6"/>
      <c r="CJ458" s="6"/>
      <c r="CK458" s="6"/>
      <c r="CL458" s="6"/>
      <c r="CM458" s="6"/>
      <c r="CN458" s="6"/>
      <c r="CO458" s="6"/>
      <c r="CP458" s="6"/>
      <c r="CQ458" s="6"/>
      <c r="CR458" s="6"/>
      <c r="CS458" s="6"/>
      <c r="CT458" s="6"/>
      <c r="CU458" s="6"/>
      <c r="CV458" s="6"/>
      <c r="CW458" s="6"/>
      <c r="CX458" s="6"/>
      <c r="CY458" s="6"/>
      <c r="CZ458" s="6"/>
      <c r="DA458" s="6"/>
      <c r="DB458" s="6"/>
      <c r="DC458" s="6"/>
      <c r="DD458" s="6"/>
      <c r="DE458" s="6"/>
      <c r="DF458" s="6"/>
      <c r="DG458" s="6"/>
      <c r="DH458" s="6"/>
      <c r="DI458" s="6"/>
      <c r="DJ458" s="6"/>
      <c r="DK458" s="6"/>
      <c r="DL458" s="6"/>
      <c r="DM458" s="6"/>
      <c r="DN458" s="6"/>
      <c r="DO458" s="6"/>
      <c r="DP458" s="6"/>
      <c r="DQ458" s="6"/>
      <c r="DR458" s="6"/>
      <c r="DS458" s="6"/>
      <c r="DT458" s="6"/>
      <c r="DU458" s="6"/>
      <c r="DV458" s="6"/>
      <c r="DW458" s="6"/>
      <c r="DX458" s="6"/>
      <c r="DY458" s="6"/>
      <c r="DZ458" s="6"/>
      <c r="EA458" s="6"/>
      <c r="EB458" s="6"/>
      <c r="EC458" s="6"/>
      <c r="ED458" s="7">
        <f>ROUND(180,2)</f>
        <v>180</v>
      </c>
      <c r="EE458" s="7">
        <f>ROUND(741.6,2)</f>
        <v>741.6</v>
      </c>
      <c r="EF458" s="6"/>
      <c r="EG458" s="7">
        <f>ROUND(457.32,2)</f>
        <v>457.32</v>
      </c>
      <c r="EH458" s="6"/>
      <c r="EI458" s="6"/>
      <c r="EJ458" s="6"/>
      <c r="EK458" s="6"/>
      <c r="EL458" s="6"/>
      <c r="EM458" s="6"/>
      <c r="EN458" s="7">
        <f>ROUND(294.21,2)</f>
        <v>294.20999999999998</v>
      </c>
      <c r="EO458" s="6"/>
      <c r="EP458" s="6"/>
      <c r="EQ458" s="6"/>
      <c r="ER458" s="6"/>
      <c r="ES458" s="7">
        <f>ROUND(362.159999999999,2)</f>
        <v>362.16</v>
      </c>
      <c r="ET458" s="6"/>
      <c r="EU458" s="6"/>
      <c r="EV458" s="7">
        <f>ROUND(27956.3899999999,2)</f>
        <v>27956.39</v>
      </c>
    </row>
    <row r="459" spans="1:152" ht="24">
      <c r="A459" s="4" t="s">
        <v>1010</v>
      </c>
      <c r="B459" s="4"/>
      <c r="C459" s="5" t="s">
        <v>233</v>
      </c>
      <c r="D459" s="5" t="s">
        <v>776</v>
      </c>
      <c r="E459" s="5" t="s">
        <v>0</v>
      </c>
      <c r="F459" s="5" t="s">
        <v>0</v>
      </c>
      <c r="G459" s="5" t="s">
        <v>236</v>
      </c>
      <c r="H459" s="10">
        <v>18.54</v>
      </c>
      <c r="I459" s="7">
        <f>ROUND(1002.75,2)</f>
        <v>1002.75</v>
      </c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  <c r="BS459" s="6"/>
      <c r="BT459" s="7">
        <f>ROUND(20,2)</f>
        <v>20</v>
      </c>
      <c r="BU459" s="6"/>
      <c r="BV459" s="6"/>
      <c r="BW459" s="6"/>
      <c r="BX459" s="6"/>
      <c r="BY459" s="6"/>
      <c r="BZ459" s="6"/>
      <c r="CA459" s="6"/>
      <c r="CB459" s="7">
        <f>ROUND(1022.75,2)</f>
        <v>1022.75</v>
      </c>
      <c r="CC459" s="7">
        <f>ROUND(17660.7,2)</f>
        <v>17660.7</v>
      </c>
      <c r="CD459" s="6"/>
      <c r="CE459" s="6"/>
      <c r="CF459" s="6"/>
      <c r="CG459" s="6"/>
      <c r="CH459" s="6"/>
      <c r="CI459" s="6"/>
      <c r="CJ459" s="6"/>
      <c r="CK459" s="6"/>
      <c r="CL459" s="6"/>
      <c r="CM459" s="6"/>
      <c r="CN459" s="6"/>
      <c r="CO459" s="6"/>
      <c r="CP459" s="6"/>
      <c r="CQ459" s="6"/>
      <c r="CR459" s="6"/>
      <c r="CS459" s="6"/>
      <c r="CT459" s="6"/>
      <c r="CU459" s="6"/>
      <c r="CV459" s="6"/>
      <c r="CW459" s="6"/>
      <c r="CX459" s="6"/>
      <c r="CY459" s="6"/>
      <c r="CZ459" s="6"/>
      <c r="DA459" s="6"/>
      <c r="DB459" s="6"/>
      <c r="DC459" s="6"/>
      <c r="DD459" s="6"/>
      <c r="DE459" s="6"/>
      <c r="DF459" s="6"/>
      <c r="DG459" s="6"/>
      <c r="DH459" s="6"/>
      <c r="DI459" s="6"/>
      <c r="DJ459" s="6"/>
      <c r="DK459" s="6"/>
      <c r="DL459" s="6"/>
      <c r="DM459" s="6"/>
      <c r="DN459" s="6"/>
      <c r="DO459" s="6"/>
      <c r="DP459" s="6"/>
      <c r="DQ459" s="6"/>
      <c r="DR459" s="6"/>
      <c r="DS459" s="6"/>
      <c r="DT459" s="6"/>
      <c r="DU459" s="6"/>
      <c r="DV459" s="6"/>
      <c r="DW459" s="6"/>
      <c r="DX459" s="6"/>
      <c r="DY459" s="6"/>
      <c r="DZ459" s="6"/>
      <c r="EA459" s="6"/>
      <c r="EB459" s="6"/>
      <c r="EC459" s="6"/>
      <c r="ED459" s="6"/>
      <c r="EE459" s="7">
        <f>ROUND(444.96,2)</f>
        <v>444.96</v>
      </c>
      <c r="EF459" s="6"/>
      <c r="EG459" s="7">
        <f>ROUND(365.4,2)</f>
        <v>365.4</v>
      </c>
      <c r="EH459" s="6"/>
      <c r="EI459" s="6"/>
      <c r="EJ459" s="6"/>
      <c r="EK459" s="6"/>
      <c r="EL459" s="6"/>
      <c r="EM459" s="6"/>
      <c r="EN459" s="6"/>
      <c r="EO459" s="6"/>
      <c r="EP459" s="6"/>
      <c r="EQ459" s="6"/>
      <c r="ER459" s="6"/>
      <c r="ES459" s="6"/>
      <c r="ET459" s="6"/>
      <c r="EU459" s="6"/>
      <c r="EV459" s="7">
        <f>ROUND(18471.06,2)</f>
        <v>18471.060000000001</v>
      </c>
    </row>
    <row r="460" spans="1:152">
      <c r="A460" s="4" t="s">
        <v>1011</v>
      </c>
      <c r="B460" s="4" t="s">
        <v>1058</v>
      </c>
      <c r="C460" s="5" t="s">
        <v>152</v>
      </c>
      <c r="D460" s="5" t="s">
        <v>489</v>
      </c>
      <c r="E460" s="5" t="s">
        <v>1012</v>
      </c>
      <c r="F460" s="5" t="s">
        <v>0</v>
      </c>
      <c r="G460" s="5" t="s">
        <v>155</v>
      </c>
      <c r="H460" s="10">
        <v>27.78</v>
      </c>
      <c r="I460" s="6"/>
      <c r="J460" s="6"/>
      <c r="K460" s="6"/>
      <c r="L460" s="6"/>
      <c r="M460" s="7">
        <f>ROUND(509.849999999999,2)</f>
        <v>509.85</v>
      </c>
      <c r="N460" s="6"/>
      <c r="O460" s="6"/>
      <c r="P460" s="7">
        <f>ROUND(29.81,2)</f>
        <v>29.81</v>
      </c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7">
        <f>ROUND(48,2)</f>
        <v>48</v>
      </c>
      <c r="AI460" s="6"/>
      <c r="AJ460" s="7">
        <f>ROUND(104,2)</f>
        <v>104</v>
      </c>
      <c r="AK460" s="6"/>
      <c r="AL460" s="7">
        <f>ROUND(8,2)</f>
        <v>8</v>
      </c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7">
        <f>ROUND(24,2)</f>
        <v>24</v>
      </c>
      <c r="BC460" s="6"/>
      <c r="BD460" s="6"/>
      <c r="BE460" s="6"/>
      <c r="BF460" s="7">
        <f>ROUND(113,2)</f>
        <v>113</v>
      </c>
      <c r="BG460" s="7">
        <f>ROUND(40,2)</f>
        <v>40</v>
      </c>
      <c r="BH460" s="6"/>
      <c r="BI460" s="6"/>
      <c r="BJ460" s="6"/>
      <c r="BK460" s="6"/>
      <c r="BL460" s="6"/>
      <c r="BM460" s="7">
        <f>ROUND(24,2)</f>
        <v>24</v>
      </c>
      <c r="BN460" s="6"/>
      <c r="BO460" s="6"/>
      <c r="BP460" s="6"/>
      <c r="BQ460" s="6"/>
      <c r="BR460" s="6"/>
      <c r="BS460" s="6"/>
      <c r="BT460" s="6"/>
      <c r="BU460" s="6"/>
      <c r="BV460" s="6"/>
      <c r="BW460" s="6"/>
      <c r="BX460" s="6"/>
      <c r="BY460" s="6"/>
      <c r="BZ460" s="6"/>
      <c r="CA460" s="6"/>
      <c r="CB460" s="7">
        <f>ROUND(900.659999999999,2)</f>
        <v>900.66</v>
      </c>
      <c r="CC460" s="6"/>
      <c r="CD460" s="6"/>
      <c r="CE460" s="6"/>
      <c r="CF460" s="6"/>
      <c r="CG460" s="7">
        <f>ROUND(14231.97,2)</f>
        <v>14231.97</v>
      </c>
      <c r="CH460" s="6"/>
      <c r="CI460" s="6"/>
      <c r="CJ460" s="7">
        <f>ROUND(1246.93,2)</f>
        <v>1246.93</v>
      </c>
      <c r="CK460" s="6"/>
      <c r="CL460" s="6"/>
      <c r="CM460" s="6"/>
      <c r="CN460" s="6"/>
      <c r="CO460" s="6"/>
      <c r="CP460" s="6"/>
      <c r="CQ460" s="6"/>
      <c r="CR460" s="6"/>
      <c r="CS460" s="6"/>
      <c r="CT460" s="6"/>
      <c r="CU460" s="6"/>
      <c r="CV460" s="6"/>
      <c r="CW460" s="6"/>
      <c r="CX460" s="6"/>
      <c r="CY460" s="6"/>
      <c r="CZ460" s="6"/>
      <c r="DA460" s="6"/>
      <c r="DB460" s="6"/>
      <c r="DC460" s="7">
        <f>ROUND(1333.44,2)</f>
        <v>1333.44</v>
      </c>
      <c r="DD460" s="6"/>
      <c r="DE460" s="7">
        <f>ROUND(2889.12,2)</f>
        <v>2889.12</v>
      </c>
      <c r="DF460" s="6"/>
      <c r="DG460" s="6"/>
      <c r="DH460" s="6"/>
      <c r="DI460" s="7">
        <f>ROUND(222.24,2)</f>
        <v>222.24</v>
      </c>
      <c r="DJ460" s="6"/>
      <c r="DK460" s="6"/>
      <c r="DL460" s="6"/>
      <c r="DM460" s="6"/>
      <c r="DN460" s="7">
        <f>ROUND(276.72,2)</f>
        <v>276.72000000000003</v>
      </c>
      <c r="DO460" s="6"/>
      <c r="DP460" s="6"/>
      <c r="DQ460" s="6"/>
      <c r="DR460" s="6"/>
      <c r="DS460" s="6"/>
      <c r="DT460" s="6"/>
      <c r="DU460" s="6"/>
      <c r="DV460" s="6"/>
      <c r="DW460" s="6"/>
      <c r="DX460" s="6"/>
      <c r="DY460" s="6"/>
      <c r="DZ460" s="6"/>
      <c r="EA460" s="6"/>
      <c r="EB460" s="6"/>
      <c r="EC460" s="7">
        <f>ROUND(444.48,2)</f>
        <v>444.48</v>
      </c>
      <c r="ED460" s="6"/>
      <c r="EE460" s="6"/>
      <c r="EF460" s="6"/>
      <c r="EG460" s="6"/>
      <c r="EH460" s="6"/>
      <c r="EI460" s="6"/>
      <c r="EJ460" s="6"/>
      <c r="EK460" s="6"/>
      <c r="EL460" s="6"/>
      <c r="EM460" s="6"/>
      <c r="EN460" s="6"/>
      <c r="EO460" s="6"/>
      <c r="EP460" s="6"/>
      <c r="EQ460" s="6"/>
      <c r="ER460" s="6"/>
      <c r="ES460" s="6"/>
      <c r="ET460" s="6"/>
      <c r="EU460" s="6"/>
      <c r="EV460" s="7">
        <f>ROUND(20644.9,2)</f>
        <v>20644.900000000001</v>
      </c>
    </row>
    <row r="461" spans="1:152">
      <c r="A461" s="4" t="s">
        <v>1013</v>
      </c>
      <c r="B461" s="4" t="s">
        <v>1058</v>
      </c>
      <c r="C461" s="5" t="s">
        <v>152</v>
      </c>
      <c r="D461" s="5" t="s">
        <v>162</v>
      </c>
      <c r="E461" s="5" t="s">
        <v>0</v>
      </c>
      <c r="F461" s="5" t="s">
        <v>0</v>
      </c>
      <c r="G461" s="5" t="s">
        <v>155</v>
      </c>
      <c r="H461" s="10">
        <v>30.4</v>
      </c>
      <c r="I461" s="6"/>
      <c r="J461" s="6"/>
      <c r="K461" s="6"/>
      <c r="L461" s="6"/>
      <c r="M461" s="7">
        <f>ROUND(371.61,2)</f>
        <v>371.61</v>
      </c>
      <c r="N461" s="6"/>
      <c r="O461" s="6"/>
      <c r="P461" s="7">
        <f>ROUND(83.02,2)</f>
        <v>83.02</v>
      </c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7">
        <f>ROUND(34,2)</f>
        <v>34</v>
      </c>
      <c r="AI461" s="6"/>
      <c r="AJ461" s="7">
        <f>ROUND(80,2)</f>
        <v>80</v>
      </c>
      <c r="AK461" s="6"/>
      <c r="AL461" s="7">
        <f>ROUND(10.42,2)</f>
        <v>10.42</v>
      </c>
      <c r="AM461" s="7">
        <f>ROUND(0.63,2)</f>
        <v>0.63</v>
      </c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7">
        <f>ROUND(1288,2)</f>
        <v>1288</v>
      </c>
      <c r="BD461" s="6"/>
      <c r="BE461" s="7">
        <f>ROUND(27,2)</f>
        <v>27</v>
      </c>
      <c r="BF461" s="6"/>
      <c r="BG461" s="6"/>
      <c r="BH461" s="7">
        <f>ROUND(32,2)</f>
        <v>32</v>
      </c>
      <c r="BI461" s="6"/>
      <c r="BJ461" s="6"/>
      <c r="BK461" s="6"/>
      <c r="BL461" s="6"/>
      <c r="BM461" s="7">
        <f>ROUND(368,2)</f>
        <v>368</v>
      </c>
      <c r="BN461" s="6"/>
      <c r="BO461" s="6"/>
      <c r="BP461" s="6"/>
      <c r="BQ461" s="6"/>
      <c r="BR461" s="6"/>
      <c r="BS461" s="6"/>
      <c r="BT461" s="6"/>
      <c r="BU461" s="6"/>
      <c r="BV461" s="6"/>
      <c r="BW461" s="6"/>
      <c r="BX461" s="6"/>
      <c r="BY461" s="6"/>
      <c r="BZ461" s="6"/>
      <c r="CA461" s="7">
        <f>ROUND(160,2)</f>
        <v>160</v>
      </c>
      <c r="CB461" s="7">
        <f>ROUND(2454.68,2)</f>
        <v>2454.6799999999998</v>
      </c>
      <c r="CC461" s="6"/>
      <c r="CD461" s="6"/>
      <c r="CE461" s="6"/>
      <c r="CF461" s="6"/>
      <c r="CG461" s="7">
        <f>ROUND(10323.32,2)</f>
        <v>10323.32</v>
      </c>
      <c r="CH461" s="6"/>
      <c r="CI461" s="6"/>
      <c r="CJ461" s="7">
        <f>ROUND(3459.43,2)</f>
        <v>3459.43</v>
      </c>
      <c r="CK461" s="6"/>
      <c r="CL461" s="6"/>
      <c r="CM461" s="6"/>
      <c r="CN461" s="6"/>
      <c r="CO461" s="6"/>
      <c r="CP461" s="6"/>
      <c r="CQ461" s="6"/>
      <c r="CR461" s="6"/>
      <c r="CS461" s="6"/>
      <c r="CT461" s="6"/>
      <c r="CU461" s="6"/>
      <c r="CV461" s="6"/>
      <c r="CW461" s="6"/>
      <c r="CX461" s="6"/>
      <c r="CY461" s="6"/>
      <c r="CZ461" s="6"/>
      <c r="DA461" s="6"/>
      <c r="DB461" s="6"/>
      <c r="DC461" s="7">
        <f>ROUND(944.52,2)</f>
        <v>944.52</v>
      </c>
      <c r="DD461" s="6"/>
      <c r="DE461" s="7">
        <f>ROUND(2222.4,2)</f>
        <v>2222.4</v>
      </c>
      <c r="DF461" s="6"/>
      <c r="DG461" s="6"/>
      <c r="DH461" s="6"/>
      <c r="DI461" s="7">
        <f>ROUND(289.47,2)</f>
        <v>289.47000000000003</v>
      </c>
      <c r="DJ461" s="7">
        <f>ROUND(17.5,2)</f>
        <v>17.5</v>
      </c>
      <c r="DK461" s="6"/>
      <c r="DL461" s="6"/>
      <c r="DM461" s="6"/>
      <c r="DN461" s="6"/>
      <c r="DO461" s="6"/>
      <c r="DP461" s="6"/>
      <c r="DQ461" s="6"/>
      <c r="DR461" s="6"/>
      <c r="DS461" s="6"/>
      <c r="DT461" s="6"/>
      <c r="DU461" s="6"/>
      <c r="DV461" s="6"/>
      <c r="DW461" s="6"/>
      <c r="DX461" s="6"/>
      <c r="DY461" s="6"/>
      <c r="DZ461" s="6"/>
      <c r="EA461" s="6"/>
      <c r="EB461" s="6"/>
      <c r="EC461" s="6"/>
      <c r="ED461" s="6"/>
      <c r="EE461" s="7">
        <f>ROUND(200,2)</f>
        <v>200</v>
      </c>
      <c r="EF461" s="6"/>
      <c r="EG461" s="6"/>
      <c r="EH461" s="6"/>
      <c r="EI461" s="6"/>
      <c r="EJ461" s="6"/>
      <c r="EK461" s="6"/>
      <c r="EL461" s="6"/>
      <c r="EM461" s="6"/>
      <c r="EN461" s="6"/>
      <c r="EO461" s="6"/>
      <c r="EP461" s="6"/>
      <c r="EQ461" s="7">
        <f>ROUND(295.2,2)</f>
        <v>295.2</v>
      </c>
      <c r="ER461" s="6"/>
      <c r="ES461" s="6"/>
      <c r="ET461" s="6"/>
      <c r="EU461" s="7">
        <f>ROUND(4864,2)</f>
        <v>4864</v>
      </c>
      <c r="EV461" s="7">
        <f>ROUND(22615.84,2)</f>
        <v>22615.84</v>
      </c>
    </row>
    <row r="462" spans="1:152">
      <c r="A462" s="4" t="s">
        <v>1014</v>
      </c>
      <c r="B462" s="4" t="s">
        <v>1058</v>
      </c>
      <c r="C462" s="5" t="s">
        <v>152</v>
      </c>
      <c r="D462" s="5" t="s">
        <v>171</v>
      </c>
      <c r="E462" s="5" t="s">
        <v>0</v>
      </c>
      <c r="F462" s="5" t="s">
        <v>0</v>
      </c>
      <c r="G462" s="5" t="s">
        <v>155</v>
      </c>
      <c r="H462" s="10">
        <v>27.36</v>
      </c>
      <c r="I462" s="6"/>
      <c r="J462" s="6"/>
      <c r="K462" s="6"/>
      <c r="L462" s="6"/>
      <c r="M462" s="7">
        <f>ROUND(1215.90999999999,2)</f>
        <v>1215.9100000000001</v>
      </c>
      <c r="N462" s="6"/>
      <c r="O462" s="6"/>
      <c r="P462" s="7">
        <f>ROUND(70.47,2)</f>
        <v>70.47</v>
      </c>
      <c r="Q462" s="6"/>
      <c r="R462" s="6"/>
      <c r="S462" s="6"/>
      <c r="T462" s="6"/>
      <c r="U462" s="7">
        <f>ROUND(23.17,2)</f>
        <v>23.17</v>
      </c>
      <c r="V462" s="6"/>
      <c r="W462" s="7">
        <f>ROUND(6.57,2)</f>
        <v>6.57</v>
      </c>
      <c r="X462" s="7">
        <f>ROUND(1.66,2)</f>
        <v>1.66</v>
      </c>
      <c r="Y462" s="6"/>
      <c r="Z462" s="6"/>
      <c r="AA462" s="6"/>
      <c r="AB462" s="6"/>
      <c r="AC462" s="7">
        <f>ROUND(83.5899999999999,2)</f>
        <v>83.59</v>
      </c>
      <c r="AD462" s="7">
        <f>ROUND(7.24,2)</f>
        <v>7.24</v>
      </c>
      <c r="AE462" s="6"/>
      <c r="AF462" s="7">
        <f>ROUND(282.17,2)</f>
        <v>282.17</v>
      </c>
      <c r="AG462" s="7">
        <f>ROUND(32.67,2)</f>
        <v>32.67</v>
      </c>
      <c r="AH462" s="7">
        <f>ROUND(60,2)</f>
        <v>60</v>
      </c>
      <c r="AI462" s="6"/>
      <c r="AJ462" s="6"/>
      <c r="AK462" s="6"/>
      <c r="AL462" s="7">
        <f>ROUND(3.75,2)</f>
        <v>3.75</v>
      </c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7">
        <f>ROUND(5.97,2)</f>
        <v>5.97</v>
      </c>
      <c r="AZ462" s="6"/>
      <c r="BA462" s="6"/>
      <c r="BB462" s="6"/>
      <c r="BC462" s="7">
        <f>ROUND(100,2)</f>
        <v>100</v>
      </c>
      <c r="BD462" s="6"/>
      <c r="BE462" s="7">
        <f>ROUND(1.43,2)</f>
        <v>1.43</v>
      </c>
      <c r="BF462" s="6"/>
      <c r="BG462" s="6"/>
      <c r="BH462" s="6"/>
      <c r="BI462" s="6"/>
      <c r="BJ462" s="6"/>
      <c r="BK462" s="6"/>
      <c r="BL462" s="6"/>
      <c r="BM462" s="7">
        <f>ROUND(13,2)</f>
        <v>13</v>
      </c>
      <c r="BN462" s="6"/>
      <c r="BO462" s="6"/>
      <c r="BP462" s="6"/>
      <c r="BQ462" s="6"/>
      <c r="BR462" s="6"/>
      <c r="BS462" s="6"/>
      <c r="BT462" s="6"/>
      <c r="BU462" s="6"/>
      <c r="BV462" s="6"/>
      <c r="BW462" s="6"/>
      <c r="BX462" s="6"/>
      <c r="BY462" s="6"/>
      <c r="BZ462" s="6"/>
      <c r="CA462" s="7">
        <f>ROUND(40,2)</f>
        <v>40</v>
      </c>
      <c r="CB462" s="7">
        <f>ROUND(1947.59999999999,2)</f>
        <v>1947.6</v>
      </c>
      <c r="CC462" s="6"/>
      <c r="CD462" s="6"/>
      <c r="CE462" s="6"/>
      <c r="CF462" s="6"/>
      <c r="CG462" s="7">
        <f>ROUND(26399.3,2)</f>
        <v>26399.3</v>
      </c>
      <c r="CH462" s="6"/>
      <c r="CI462" s="6"/>
      <c r="CJ462" s="7">
        <f>ROUND(2597.34,2)</f>
        <v>2597.34</v>
      </c>
      <c r="CK462" s="6"/>
      <c r="CL462" s="6"/>
      <c r="CM462" s="6"/>
      <c r="CN462" s="6"/>
      <c r="CO462" s="7">
        <f>ROUND(536.19,2)</f>
        <v>536.19000000000005</v>
      </c>
      <c r="CP462" s="6"/>
      <c r="CQ462" s="7">
        <f>ROUND(157.12,2)</f>
        <v>157.12</v>
      </c>
      <c r="CR462" s="7">
        <f>ROUND(58.43,2)</f>
        <v>58.43</v>
      </c>
      <c r="CS462" s="6"/>
      <c r="CT462" s="6"/>
      <c r="CU462" s="6"/>
      <c r="CV462" s="6"/>
      <c r="CW462" s="7">
        <f>ROUND(1822.3,2)</f>
        <v>1822.3</v>
      </c>
      <c r="CX462" s="7">
        <f>ROUND(275.53,2)</f>
        <v>275.52999999999997</v>
      </c>
      <c r="CY462" s="6"/>
      <c r="CZ462" s="6"/>
      <c r="DA462" s="7">
        <f>ROUND(6338.82,2)</f>
        <v>6338.82</v>
      </c>
      <c r="DB462" s="7">
        <f>ROUND(1102.52,2)</f>
        <v>1102.52</v>
      </c>
      <c r="DC462" s="7">
        <f>ROUND(1458.92,2)</f>
        <v>1458.92</v>
      </c>
      <c r="DD462" s="6"/>
      <c r="DE462" s="6"/>
      <c r="DF462" s="6"/>
      <c r="DG462" s="6"/>
      <c r="DH462" s="6"/>
      <c r="DI462" s="7">
        <f>ROUND(78.43,2)</f>
        <v>78.430000000000007</v>
      </c>
      <c r="DJ462" s="6"/>
      <c r="DK462" s="6"/>
      <c r="DL462" s="6"/>
      <c r="DM462" s="6"/>
      <c r="DN462" s="6"/>
      <c r="DO462" s="6"/>
      <c r="DP462" s="6"/>
      <c r="DQ462" s="6"/>
      <c r="DR462" s="6"/>
      <c r="DS462" s="6"/>
      <c r="DT462" s="6"/>
      <c r="DU462" s="6"/>
      <c r="DV462" s="6"/>
      <c r="DW462" s="6"/>
      <c r="DX462" s="6"/>
      <c r="DY462" s="6"/>
      <c r="DZ462" s="7">
        <f>ROUND(187.92,2)</f>
        <v>187.92</v>
      </c>
      <c r="EA462" s="6"/>
      <c r="EB462" s="6"/>
      <c r="EC462" s="6"/>
      <c r="ED462" s="6"/>
      <c r="EE462" s="7">
        <f>ROUND(1800,2)</f>
        <v>1800</v>
      </c>
      <c r="EF462" s="6"/>
      <c r="EG462" s="6"/>
      <c r="EH462" s="6"/>
      <c r="EI462" s="6"/>
      <c r="EJ462" s="6"/>
      <c r="EK462" s="6"/>
      <c r="EL462" s="6"/>
      <c r="EM462" s="6"/>
      <c r="EN462" s="6"/>
      <c r="EO462" s="6"/>
      <c r="EP462" s="6"/>
      <c r="EQ462" s="7">
        <f>ROUND(1500,2)</f>
        <v>1500</v>
      </c>
      <c r="ER462" s="6"/>
      <c r="ES462" s="6"/>
      <c r="ET462" s="6"/>
      <c r="EU462" s="7">
        <f>ROUND(1094.4,2)</f>
        <v>1094.4000000000001</v>
      </c>
      <c r="EV462" s="7">
        <f>ROUND(45407.2199999999,2)</f>
        <v>45407.22</v>
      </c>
    </row>
    <row r="463" spans="1:152">
      <c r="A463" s="4" t="s">
        <v>1015</v>
      </c>
      <c r="B463" s="4" t="s">
        <v>1058</v>
      </c>
      <c r="C463" s="5" t="s">
        <v>152</v>
      </c>
      <c r="D463" s="5" t="s">
        <v>298</v>
      </c>
      <c r="E463" s="5" t="s">
        <v>1016</v>
      </c>
      <c r="F463" s="5" t="s">
        <v>0</v>
      </c>
      <c r="G463" s="5" t="s">
        <v>155</v>
      </c>
      <c r="H463" s="10">
        <v>23.33</v>
      </c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7">
        <f>ROUND(2,2)</f>
        <v>2</v>
      </c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7">
        <f>ROUND(8,2)</f>
        <v>8</v>
      </c>
      <c r="BC463" s="6"/>
      <c r="BD463" s="7">
        <f>ROUND(8,2)</f>
        <v>8</v>
      </c>
      <c r="BE463" s="6"/>
      <c r="BF463" s="6"/>
      <c r="BG463" s="6"/>
      <c r="BH463" s="7">
        <f>ROUND(8,2)</f>
        <v>8</v>
      </c>
      <c r="BI463" s="6"/>
      <c r="BJ463" s="6"/>
      <c r="BK463" s="6"/>
      <c r="BL463" s="7">
        <f>ROUND(24,2)</f>
        <v>24</v>
      </c>
      <c r="BM463" s="6"/>
      <c r="BN463" s="6"/>
      <c r="BO463" s="6"/>
      <c r="BP463" s="6"/>
      <c r="BQ463" s="6"/>
      <c r="BR463" s="6"/>
      <c r="BS463" s="6"/>
      <c r="BT463" s="6"/>
      <c r="BU463" s="6"/>
      <c r="BV463" s="6"/>
      <c r="BW463" s="6"/>
      <c r="BX463" s="6"/>
      <c r="BY463" s="6"/>
      <c r="BZ463" s="6"/>
      <c r="CA463" s="6"/>
      <c r="CB463" s="7">
        <f>ROUND(50,2)</f>
        <v>50</v>
      </c>
      <c r="CC463" s="6"/>
      <c r="CD463" s="6"/>
      <c r="CE463" s="6"/>
      <c r="CF463" s="6"/>
      <c r="CG463" s="6"/>
      <c r="CH463" s="6"/>
      <c r="CI463" s="6"/>
      <c r="CJ463" s="6"/>
      <c r="CK463" s="6"/>
      <c r="CL463" s="6"/>
      <c r="CM463" s="6"/>
      <c r="CN463" s="6"/>
      <c r="CO463" s="6"/>
      <c r="CP463" s="6"/>
      <c r="CQ463" s="6"/>
      <c r="CR463" s="6"/>
      <c r="CS463" s="6"/>
      <c r="CT463" s="6"/>
      <c r="CU463" s="6"/>
      <c r="CV463" s="6"/>
      <c r="CW463" s="6"/>
      <c r="CX463" s="6"/>
      <c r="CY463" s="6"/>
      <c r="CZ463" s="6"/>
      <c r="DA463" s="7">
        <f>ROUND(46.67,2)</f>
        <v>46.67</v>
      </c>
      <c r="DB463" s="6"/>
      <c r="DC463" s="6"/>
      <c r="DD463" s="6"/>
      <c r="DE463" s="6"/>
      <c r="DF463" s="6"/>
      <c r="DG463" s="6"/>
      <c r="DH463" s="6"/>
      <c r="DI463" s="6"/>
      <c r="DJ463" s="6"/>
      <c r="DK463" s="6"/>
      <c r="DL463" s="6"/>
      <c r="DM463" s="6"/>
      <c r="DN463" s="6"/>
      <c r="DO463" s="6"/>
      <c r="DP463" s="6"/>
      <c r="DQ463" s="6"/>
      <c r="DR463" s="6"/>
      <c r="DS463" s="6"/>
      <c r="DT463" s="6"/>
      <c r="DU463" s="6"/>
      <c r="DV463" s="6"/>
      <c r="DW463" s="6"/>
      <c r="DX463" s="6"/>
      <c r="DY463" s="6"/>
      <c r="DZ463" s="6"/>
      <c r="EA463" s="6"/>
      <c r="EB463" s="6"/>
      <c r="EC463" s="6"/>
      <c r="ED463" s="6"/>
      <c r="EE463" s="6"/>
      <c r="EF463" s="6"/>
      <c r="EG463" s="6"/>
      <c r="EH463" s="6"/>
      <c r="EI463" s="6"/>
      <c r="EJ463" s="6"/>
      <c r="EK463" s="6"/>
      <c r="EL463" s="6"/>
      <c r="EM463" s="6"/>
      <c r="EN463" s="6"/>
      <c r="EO463" s="6"/>
      <c r="EP463" s="6"/>
      <c r="EQ463" s="6"/>
      <c r="ER463" s="6"/>
      <c r="ES463" s="6"/>
      <c r="ET463" s="6"/>
      <c r="EU463" s="6"/>
      <c r="EV463" s="7">
        <f>ROUND(46.67,2)</f>
        <v>46.67</v>
      </c>
    </row>
    <row r="464" spans="1:152">
      <c r="A464" s="4" t="s">
        <v>1017</v>
      </c>
      <c r="B464" s="4" t="s">
        <v>1058</v>
      </c>
      <c r="C464" s="5" t="s">
        <v>152</v>
      </c>
      <c r="D464" s="5" t="s">
        <v>319</v>
      </c>
      <c r="E464" s="5" t="s">
        <v>0</v>
      </c>
      <c r="F464" s="5" t="s">
        <v>0</v>
      </c>
      <c r="G464" s="5" t="s">
        <v>155</v>
      </c>
      <c r="H464" s="10">
        <v>25.84</v>
      </c>
      <c r="I464" s="6"/>
      <c r="J464" s="6"/>
      <c r="K464" s="6"/>
      <c r="L464" s="6"/>
      <c r="M464" s="7">
        <f>ROUND(379.56,2)</f>
        <v>379.56</v>
      </c>
      <c r="N464" s="6"/>
      <c r="O464" s="6"/>
      <c r="P464" s="7">
        <f>ROUND(18.67,2)</f>
        <v>18.670000000000002</v>
      </c>
      <c r="Q464" s="6"/>
      <c r="R464" s="6"/>
      <c r="S464" s="6"/>
      <c r="T464" s="6"/>
      <c r="U464" s="7">
        <f>ROUND(15.5,2)</f>
        <v>15.5</v>
      </c>
      <c r="V464" s="6"/>
      <c r="W464" s="7">
        <f>ROUND(3.23,2)</f>
        <v>3.23</v>
      </c>
      <c r="X464" s="7">
        <f>ROUND(1,2)</f>
        <v>1</v>
      </c>
      <c r="Y464" s="6"/>
      <c r="Z464" s="6"/>
      <c r="AA464" s="6"/>
      <c r="AB464" s="6"/>
      <c r="AC464" s="7">
        <f>ROUND(29,2)</f>
        <v>29</v>
      </c>
      <c r="AD464" s="7">
        <f>ROUND(9,2)</f>
        <v>9</v>
      </c>
      <c r="AE464" s="6"/>
      <c r="AF464" s="7">
        <f>ROUND(116.04,2)</f>
        <v>116.04</v>
      </c>
      <c r="AG464" s="7">
        <f>ROUND(30.33,2)</f>
        <v>30.33</v>
      </c>
      <c r="AH464" s="7">
        <f>ROUND(21,2)</f>
        <v>21</v>
      </c>
      <c r="AI464" s="6"/>
      <c r="AJ464" s="6"/>
      <c r="AK464" s="6"/>
      <c r="AL464" s="7">
        <f>ROUND(199,2)</f>
        <v>199</v>
      </c>
      <c r="AM464" s="6"/>
      <c r="AN464" s="7">
        <f>ROUND(17.35,2)</f>
        <v>17.350000000000001</v>
      </c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7">
        <f>ROUND(5,2)</f>
        <v>5</v>
      </c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  <c r="BS464" s="6"/>
      <c r="BT464" s="6"/>
      <c r="BU464" s="6"/>
      <c r="BV464" s="6"/>
      <c r="BW464" s="6"/>
      <c r="BX464" s="6"/>
      <c r="BY464" s="6"/>
      <c r="BZ464" s="6"/>
      <c r="CA464" s="7">
        <f>ROUND(16,2)</f>
        <v>16</v>
      </c>
      <c r="CB464" s="7">
        <f>ROUND(860.68,2)</f>
        <v>860.68</v>
      </c>
      <c r="CC464" s="6"/>
      <c r="CD464" s="6"/>
      <c r="CE464" s="6"/>
      <c r="CF464" s="6"/>
      <c r="CG464" s="7">
        <f>ROUND(8491.37,2)</f>
        <v>8491.3700000000008</v>
      </c>
      <c r="CH464" s="6"/>
      <c r="CI464" s="6"/>
      <c r="CJ464" s="7">
        <f>ROUND(682.339999999999,2)</f>
        <v>682.34</v>
      </c>
      <c r="CK464" s="6"/>
      <c r="CL464" s="6"/>
      <c r="CM464" s="6"/>
      <c r="CN464" s="6"/>
      <c r="CO464" s="7">
        <f>ROUND(348.21,2)</f>
        <v>348.21</v>
      </c>
      <c r="CP464" s="6"/>
      <c r="CQ464" s="7">
        <f>ROUND(71.96,2)</f>
        <v>71.959999999999994</v>
      </c>
      <c r="CR464" s="7">
        <f>ROUND(36.48,2)</f>
        <v>36.479999999999997</v>
      </c>
      <c r="CS464" s="6"/>
      <c r="CT464" s="6"/>
      <c r="CU464" s="6"/>
      <c r="CV464" s="6"/>
      <c r="CW464" s="7">
        <f>ROUND(689.81,2)</f>
        <v>689.81</v>
      </c>
      <c r="CX464" s="7">
        <f>ROUND(328.32,2)</f>
        <v>328.32</v>
      </c>
      <c r="CY464" s="6"/>
      <c r="CZ464" s="6"/>
      <c r="DA464" s="7">
        <f>ROUND(2668.42,2)</f>
        <v>2668.42</v>
      </c>
      <c r="DB464" s="7">
        <f>ROUND(1095.36,2)</f>
        <v>1095.3599999999999</v>
      </c>
      <c r="DC464" s="7">
        <f>ROUND(493.3,2)</f>
        <v>493.3</v>
      </c>
      <c r="DD464" s="6"/>
      <c r="DE464" s="6"/>
      <c r="DF464" s="6"/>
      <c r="DG464" s="6"/>
      <c r="DH464" s="6"/>
      <c r="DI464" s="7">
        <f>ROUND(3482.5,2)</f>
        <v>3482.5</v>
      </c>
      <c r="DJ464" s="6"/>
      <c r="DK464" s="7">
        <f>ROUND(455.44,2)</f>
        <v>455.44</v>
      </c>
      <c r="DL464" s="6"/>
      <c r="DM464" s="6"/>
      <c r="DN464" s="6"/>
      <c r="DO464" s="6"/>
      <c r="DP464" s="6"/>
      <c r="DQ464" s="6"/>
      <c r="DR464" s="6"/>
      <c r="DS464" s="6"/>
      <c r="DT464" s="6"/>
      <c r="DU464" s="6"/>
      <c r="DV464" s="6"/>
      <c r="DW464" s="6"/>
      <c r="DX464" s="6"/>
      <c r="DY464" s="6"/>
      <c r="DZ464" s="6"/>
      <c r="EA464" s="6"/>
      <c r="EB464" s="6"/>
      <c r="EC464" s="6"/>
      <c r="ED464" s="6"/>
      <c r="EE464" s="6"/>
      <c r="EF464" s="6"/>
      <c r="EG464" s="6"/>
      <c r="EH464" s="6"/>
      <c r="EI464" s="6"/>
      <c r="EJ464" s="6"/>
      <c r="EK464" s="6"/>
      <c r="EL464" s="6"/>
      <c r="EM464" s="6"/>
      <c r="EN464" s="6"/>
      <c r="EO464" s="6"/>
      <c r="EP464" s="6"/>
      <c r="EQ464" s="7">
        <f>ROUND(688.8,2)</f>
        <v>688.8</v>
      </c>
      <c r="ER464" s="6"/>
      <c r="ES464" s="6"/>
      <c r="ET464" s="6"/>
      <c r="EU464" s="7">
        <f>ROUND(389.12,2)</f>
        <v>389.12</v>
      </c>
      <c r="EV464" s="7">
        <f>ROUND(19921.4299999999,2)</f>
        <v>19921.43</v>
      </c>
    </row>
    <row r="465" spans="1:152">
      <c r="A465" s="4" t="s">
        <v>1018</v>
      </c>
      <c r="B465" s="4"/>
      <c r="C465" s="5" t="s">
        <v>259</v>
      </c>
      <c r="D465" s="5" t="s">
        <v>251</v>
      </c>
      <c r="E465" s="5" t="s">
        <v>0</v>
      </c>
      <c r="F465" s="5" t="s">
        <v>0</v>
      </c>
      <c r="G465" s="5" t="s">
        <v>888</v>
      </c>
      <c r="H465" s="10">
        <v>1683.65</v>
      </c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  <c r="BS465" s="6"/>
      <c r="BT465" s="7">
        <f>ROUND(16,2)</f>
        <v>16</v>
      </c>
      <c r="BU465" s="6"/>
      <c r="BV465" s="6"/>
      <c r="BW465" s="6"/>
      <c r="BX465" s="6"/>
      <c r="BY465" s="7">
        <f>ROUND(56,2)</f>
        <v>56</v>
      </c>
      <c r="BZ465" s="6"/>
      <c r="CA465" s="6"/>
      <c r="CB465" s="7">
        <f>ROUND(72,2)</f>
        <v>72</v>
      </c>
      <c r="CC465" s="7">
        <f>ROUND(40832.56,2)</f>
        <v>40832.559999999998</v>
      </c>
      <c r="CD465" s="6"/>
      <c r="CE465" s="6"/>
      <c r="CF465" s="6"/>
      <c r="CG465" s="6"/>
      <c r="CH465" s="6"/>
      <c r="CI465" s="6"/>
      <c r="CJ465" s="6"/>
      <c r="CK465" s="6"/>
      <c r="CL465" s="6"/>
      <c r="CM465" s="6"/>
      <c r="CN465" s="6"/>
      <c r="CO465" s="6"/>
      <c r="CP465" s="6"/>
      <c r="CQ465" s="6"/>
      <c r="CR465" s="6"/>
      <c r="CS465" s="6"/>
      <c r="CT465" s="6"/>
      <c r="CU465" s="6"/>
      <c r="CV465" s="6"/>
      <c r="CW465" s="6"/>
      <c r="CX465" s="6"/>
      <c r="CY465" s="6"/>
      <c r="CZ465" s="6"/>
      <c r="DA465" s="6"/>
      <c r="DB465" s="6"/>
      <c r="DC465" s="6"/>
      <c r="DD465" s="6"/>
      <c r="DE465" s="6"/>
      <c r="DF465" s="6"/>
      <c r="DG465" s="6"/>
      <c r="DH465" s="6"/>
      <c r="DI465" s="6"/>
      <c r="DJ465" s="6"/>
      <c r="DK465" s="6"/>
      <c r="DL465" s="6"/>
      <c r="DM465" s="6"/>
      <c r="DN465" s="6"/>
      <c r="DO465" s="6"/>
      <c r="DP465" s="6"/>
      <c r="DQ465" s="6"/>
      <c r="DR465" s="6"/>
      <c r="DS465" s="6"/>
      <c r="DT465" s="6"/>
      <c r="DU465" s="6"/>
      <c r="DV465" s="6"/>
      <c r="DW465" s="6"/>
      <c r="DX465" s="6"/>
      <c r="DY465" s="6"/>
      <c r="DZ465" s="6"/>
      <c r="EA465" s="6"/>
      <c r="EB465" s="6"/>
      <c r="EC465" s="6"/>
      <c r="ED465" s="6"/>
      <c r="EE465" s="7">
        <f>ROUND(336.72,2)</f>
        <v>336.72</v>
      </c>
      <c r="EF465" s="6"/>
      <c r="EG465" s="6"/>
      <c r="EH465" s="6"/>
      <c r="EI465" s="6"/>
      <c r="EJ465" s="6"/>
      <c r="EK465" s="6"/>
      <c r="EL465" s="6"/>
      <c r="EM465" s="6"/>
      <c r="EN465" s="6"/>
      <c r="EO465" s="6"/>
      <c r="EP465" s="6"/>
      <c r="EQ465" s="7">
        <f>ROUND(1500,2)</f>
        <v>1500</v>
      </c>
      <c r="ER465" s="6"/>
      <c r="ES465" s="6"/>
      <c r="ET465" s="6"/>
      <c r="EU465" s="6"/>
      <c r="EV465" s="7">
        <f>ROUND(42669.28,2)</f>
        <v>42669.279999999999</v>
      </c>
    </row>
    <row r="466" spans="1:152">
      <c r="A466" s="4" t="s">
        <v>1019</v>
      </c>
      <c r="B466" s="4" t="s">
        <v>1058</v>
      </c>
      <c r="C466" s="5" t="s">
        <v>152</v>
      </c>
      <c r="D466" s="5" t="s">
        <v>186</v>
      </c>
      <c r="E466" s="5" t="s">
        <v>1020</v>
      </c>
      <c r="F466" s="5" t="s">
        <v>0</v>
      </c>
      <c r="G466" s="5" t="s">
        <v>155</v>
      </c>
      <c r="H466" s="10">
        <v>20.84</v>
      </c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7">
        <f>ROUND(183.5,2)</f>
        <v>183.5</v>
      </c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  <c r="BS466" s="6"/>
      <c r="BT466" s="6"/>
      <c r="BU466" s="6"/>
      <c r="BV466" s="6"/>
      <c r="BW466" s="6"/>
      <c r="BX466" s="6"/>
      <c r="BY466" s="6"/>
      <c r="BZ466" s="6"/>
      <c r="CA466" s="6"/>
      <c r="CB466" s="7">
        <f>ROUND(183.5,2)</f>
        <v>183.5</v>
      </c>
      <c r="CC466" s="6"/>
      <c r="CD466" s="6"/>
      <c r="CE466" s="6"/>
      <c r="CF466" s="6"/>
      <c r="CG466" s="6"/>
      <c r="CH466" s="6"/>
      <c r="CI466" s="6"/>
      <c r="CJ466" s="6"/>
      <c r="CK466" s="6"/>
      <c r="CL466" s="6"/>
      <c r="CM466" s="6"/>
      <c r="CN466" s="6"/>
      <c r="CO466" s="6"/>
      <c r="CP466" s="6"/>
      <c r="CQ466" s="6"/>
      <c r="CR466" s="6"/>
      <c r="CS466" s="6"/>
      <c r="CT466" s="6"/>
      <c r="CU466" s="6"/>
      <c r="CV466" s="6"/>
      <c r="CW466" s="6"/>
      <c r="CX466" s="6"/>
      <c r="CY466" s="6"/>
      <c r="CZ466" s="6"/>
      <c r="DA466" s="6"/>
      <c r="DB466" s="6"/>
      <c r="DC466" s="6"/>
      <c r="DD466" s="6"/>
      <c r="DE466" s="6"/>
      <c r="DF466" s="6"/>
      <c r="DG466" s="6"/>
      <c r="DH466" s="6"/>
      <c r="DI466" s="7">
        <f>ROUND(3211.25,2)</f>
        <v>3211.25</v>
      </c>
      <c r="DJ466" s="6"/>
      <c r="DK466" s="6"/>
      <c r="DL466" s="6"/>
      <c r="DM466" s="6"/>
      <c r="DN466" s="6"/>
      <c r="DO466" s="6"/>
      <c r="DP466" s="6"/>
      <c r="DQ466" s="6"/>
      <c r="DR466" s="6"/>
      <c r="DS466" s="6"/>
      <c r="DT466" s="6"/>
      <c r="DU466" s="6"/>
      <c r="DV466" s="6"/>
      <c r="DW466" s="6"/>
      <c r="DX466" s="6"/>
      <c r="DY466" s="6"/>
      <c r="DZ466" s="6"/>
      <c r="EA466" s="6"/>
      <c r="EB466" s="6"/>
      <c r="EC466" s="6"/>
      <c r="ED466" s="6"/>
      <c r="EE466" s="6"/>
      <c r="EF466" s="6"/>
      <c r="EG466" s="6"/>
      <c r="EH466" s="6"/>
      <c r="EI466" s="6"/>
      <c r="EJ466" s="6"/>
      <c r="EK466" s="6"/>
      <c r="EL466" s="6"/>
      <c r="EM466" s="6"/>
      <c r="EN466" s="6"/>
      <c r="EO466" s="6"/>
      <c r="EP466" s="6"/>
      <c r="EQ466" s="6"/>
      <c r="ER466" s="6"/>
      <c r="ES466" s="6"/>
      <c r="ET466" s="6"/>
      <c r="EU466" s="6"/>
      <c r="EV466" s="7">
        <f>ROUND(3211.25,2)</f>
        <v>3211.25</v>
      </c>
    </row>
    <row r="467" spans="1:152">
      <c r="A467" s="4" t="s">
        <v>1021</v>
      </c>
      <c r="B467" s="4" t="s">
        <v>1058</v>
      </c>
      <c r="C467" s="5" t="s">
        <v>152</v>
      </c>
      <c r="D467" s="5" t="s">
        <v>351</v>
      </c>
      <c r="E467" s="5" t="s">
        <v>0</v>
      </c>
      <c r="F467" s="5" t="s">
        <v>0</v>
      </c>
      <c r="G467" s="5" t="s">
        <v>155</v>
      </c>
      <c r="H467" s="10">
        <v>30.4</v>
      </c>
      <c r="I467" s="6"/>
      <c r="J467" s="6"/>
      <c r="K467" s="6"/>
      <c r="L467" s="6"/>
      <c r="M467" s="7">
        <f>ROUND(1980.33,2)</f>
        <v>1980.33</v>
      </c>
      <c r="N467" s="6"/>
      <c r="O467" s="6"/>
      <c r="P467" s="7">
        <f>ROUND(448.969999999999,2)</f>
        <v>448.97</v>
      </c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7">
        <f>ROUND(88,2)</f>
        <v>88</v>
      </c>
      <c r="AI467" s="6"/>
      <c r="AJ467" s="6"/>
      <c r="AK467" s="6"/>
      <c r="AL467" s="7">
        <f>ROUND(8.5,2)</f>
        <v>8.5</v>
      </c>
      <c r="AM467" s="7">
        <f>ROUND(0.67,2)</f>
        <v>0.67</v>
      </c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7">
        <f>ROUND(8,2)</f>
        <v>8</v>
      </c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  <c r="BS467" s="6"/>
      <c r="BT467" s="6"/>
      <c r="BU467" s="6"/>
      <c r="BV467" s="6"/>
      <c r="BW467" s="6"/>
      <c r="BX467" s="6"/>
      <c r="BY467" s="6"/>
      <c r="BZ467" s="6"/>
      <c r="CA467" s="7">
        <f>ROUND(120,2)</f>
        <v>120</v>
      </c>
      <c r="CB467" s="7">
        <f>ROUND(2654.47,2)</f>
        <v>2654.47</v>
      </c>
      <c r="CC467" s="6"/>
      <c r="CD467" s="6"/>
      <c r="CE467" s="6"/>
      <c r="CF467" s="6"/>
      <c r="CG467" s="7">
        <f>ROUND(55848.3199999999,2)</f>
        <v>55848.32</v>
      </c>
      <c r="CH467" s="6"/>
      <c r="CI467" s="6"/>
      <c r="CJ467" s="7">
        <f>ROUND(19056.4,2)</f>
        <v>19056.400000000001</v>
      </c>
      <c r="CK467" s="6"/>
      <c r="CL467" s="6"/>
      <c r="CM467" s="6"/>
      <c r="CN467" s="6"/>
      <c r="CO467" s="6"/>
      <c r="CP467" s="6"/>
      <c r="CQ467" s="6"/>
      <c r="CR467" s="6"/>
      <c r="CS467" s="6"/>
      <c r="CT467" s="6"/>
      <c r="CU467" s="6"/>
      <c r="CV467" s="6"/>
      <c r="CW467" s="6"/>
      <c r="CX467" s="6"/>
      <c r="CY467" s="6"/>
      <c r="CZ467" s="6"/>
      <c r="DA467" s="6"/>
      <c r="DB467" s="6"/>
      <c r="DC467" s="7">
        <f>ROUND(2486.56,2)</f>
        <v>2486.56</v>
      </c>
      <c r="DD467" s="6"/>
      <c r="DE467" s="6"/>
      <c r="DF467" s="6"/>
      <c r="DG467" s="6"/>
      <c r="DH467" s="6"/>
      <c r="DI467" s="7">
        <f>ROUND(236.13,2)</f>
        <v>236.13</v>
      </c>
      <c r="DJ467" s="7">
        <f>ROUND(27.92,2)</f>
        <v>27.92</v>
      </c>
      <c r="DK467" s="6"/>
      <c r="DL467" s="6"/>
      <c r="DM467" s="6"/>
      <c r="DN467" s="6"/>
      <c r="DO467" s="6"/>
      <c r="DP467" s="6"/>
      <c r="DQ467" s="6"/>
      <c r="DR467" s="7">
        <f>ROUND(500,2)</f>
        <v>500</v>
      </c>
      <c r="DS467" s="6"/>
      <c r="DT467" s="6"/>
      <c r="DU467" s="6"/>
      <c r="DV467" s="6"/>
      <c r="DW467" s="6"/>
      <c r="DX467" s="6"/>
      <c r="DY467" s="6"/>
      <c r="DZ467" s="6"/>
      <c r="EA467" s="6"/>
      <c r="EB467" s="6"/>
      <c r="EC467" s="6"/>
      <c r="ED467" s="6"/>
      <c r="EE467" s="7">
        <f>ROUND(1450,2)</f>
        <v>1450</v>
      </c>
      <c r="EF467" s="6"/>
      <c r="EG467" s="6"/>
      <c r="EH467" s="6"/>
      <c r="EI467" s="6"/>
      <c r="EJ467" s="6"/>
      <c r="EK467" s="6"/>
      <c r="EL467" s="6"/>
      <c r="EM467" s="6"/>
      <c r="EN467" s="6"/>
      <c r="EO467" s="6"/>
      <c r="EP467" s="6"/>
      <c r="EQ467" s="7">
        <f>ROUND(1250,2)</f>
        <v>1250</v>
      </c>
      <c r="ER467" s="6"/>
      <c r="ES467" s="6"/>
      <c r="ET467" s="6"/>
      <c r="EU467" s="7">
        <f>ROUND(3648,2)</f>
        <v>3648</v>
      </c>
      <c r="EV467" s="7">
        <f>ROUND(84503.33,2)</f>
        <v>84503.33</v>
      </c>
    </row>
    <row r="468" spans="1:152">
      <c r="A468" s="4" t="s">
        <v>1022</v>
      </c>
      <c r="B468" s="4"/>
      <c r="C468" s="5" t="s">
        <v>259</v>
      </c>
      <c r="D468" s="5" t="s">
        <v>420</v>
      </c>
      <c r="E468" s="5" t="s">
        <v>0</v>
      </c>
      <c r="F468" s="5" t="s">
        <v>0</v>
      </c>
      <c r="G468" s="5" t="s">
        <v>1023</v>
      </c>
      <c r="H468" s="10">
        <v>23.42</v>
      </c>
      <c r="I468" s="7">
        <f>ROUND(1864,2)</f>
        <v>1864</v>
      </c>
      <c r="J468" s="7">
        <f>ROUND(32.25,2)</f>
        <v>32.25</v>
      </c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7">
        <f>ROUND(24,2)</f>
        <v>24</v>
      </c>
      <c r="BI468" s="6"/>
      <c r="BJ468" s="6"/>
      <c r="BK468" s="6"/>
      <c r="BL468" s="6"/>
      <c r="BM468" s="6"/>
      <c r="BN468" s="6"/>
      <c r="BO468" s="6"/>
      <c r="BP468" s="6"/>
      <c r="BQ468" s="6"/>
      <c r="BR468" s="6"/>
      <c r="BS468" s="6"/>
      <c r="BT468" s="7">
        <f>ROUND(32,2)</f>
        <v>32</v>
      </c>
      <c r="BU468" s="7">
        <f>ROUND(32,2)</f>
        <v>32</v>
      </c>
      <c r="BV468" s="6"/>
      <c r="BW468" s="6"/>
      <c r="BX468" s="7">
        <f>ROUND(48,2)</f>
        <v>48</v>
      </c>
      <c r="BY468" s="7">
        <f>ROUND(80,2)</f>
        <v>80</v>
      </c>
      <c r="BZ468" s="6"/>
      <c r="CA468" s="6"/>
      <c r="CB468" s="7">
        <f>ROUND(2112.25,2)</f>
        <v>2112.25</v>
      </c>
      <c r="CC468" s="7">
        <f>ROUND(41465.24,2)</f>
        <v>41465.24</v>
      </c>
      <c r="CD468" s="7">
        <f>ROUND(1085.49,2)</f>
        <v>1085.49</v>
      </c>
      <c r="CE468" s="6"/>
      <c r="CF468" s="6"/>
      <c r="CG468" s="6"/>
      <c r="CH468" s="6"/>
      <c r="CI468" s="6"/>
      <c r="CJ468" s="6"/>
      <c r="CK468" s="6"/>
      <c r="CL468" s="6"/>
      <c r="CM468" s="6"/>
      <c r="CN468" s="6"/>
      <c r="CO468" s="6"/>
      <c r="CP468" s="6"/>
      <c r="CQ468" s="6"/>
      <c r="CR468" s="6"/>
      <c r="CS468" s="6"/>
      <c r="CT468" s="6"/>
      <c r="CU468" s="6"/>
      <c r="CV468" s="6"/>
      <c r="CW468" s="6"/>
      <c r="CX468" s="6"/>
      <c r="CY468" s="6"/>
      <c r="CZ468" s="6"/>
      <c r="DA468" s="6"/>
      <c r="DB468" s="6"/>
      <c r="DC468" s="6"/>
      <c r="DD468" s="6"/>
      <c r="DE468" s="6"/>
      <c r="DF468" s="6"/>
      <c r="DG468" s="6"/>
      <c r="DH468" s="6"/>
      <c r="DI468" s="6"/>
      <c r="DJ468" s="6"/>
      <c r="DK468" s="6"/>
      <c r="DL468" s="6"/>
      <c r="DM468" s="6"/>
      <c r="DN468" s="6"/>
      <c r="DO468" s="6"/>
      <c r="DP468" s="6"/>
      <c r="DQ468" s="6"/>
      <c r="DR468" s="6"/>
      <c r="DS468" s="6"/>
      <c r="DT468" s="6"/>
      <c r="DU468" s="6"/>
      <c r="DV468" s="6"/>
      <c r="DW468" s="6"/>
      <c r="DX468" s="6"/>
      <c r="DY468" s="6"/>
      <c r="DZ468" s="6"/>
      <c r="EA468" s="6"/>
      <c r="EB468" s="6"/>
      <c r="EC468" s="6"/>
      <c r="ED468" s="7">
        <f>ROUND(529.83,2)</f>
        <v>529.83000000000004</v>
      </c>
      <c r="EE468" s="7">
        <f>ROUND(2248.32,2)</f>
        <v>2248.3200000000002</v>
      </c>
      <c r="EF468" s="6"/>
      <c r="EG468" s="7">
        <f>ROUND(717.19,2)</f>
        <v>717.19</v>
      </c>
      <c r="EH468" s="7">
        <f>ROUND(711.74,2)</f>
        <v>711.74</v>
      </c>
      <c r="EI468" s="6"/>
      <c r="EJ468" s="6"/>
      <c r="EK468" s="6"/>
      <c r="EL468" s="6"/>
      <c r="EM468" s="6"/>
      <c r="EN468" s="7">
        <f>ROUND(1124.15999999999,2)</f>
        <v>1124.1600000000001</v>
      </c>
      <c r="EO468" s="6"/>
      <c r="EP468" s="6"/>
      <c r="EQ468" s="6"/>
      <c r="ER468" s="6"/>
      <c r="ES468" s="7">
        <f>ROUND(1851.84,2)</f>
        <v>1851.84</v>
      </c>
      <c r="ET468" s="6"/>
      <c r="EU468" s="6"/>
      <c r="EV468" s="7">
        <f>ROUND(49733.81,2)</f>
        <v>49733.81</v>
      </c>
    </row>
  </sheetData>
  <pageMargins left="0.25" right="0.25" top="0.75" bottom="0.75" header="0.25" footer="0.2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E44"/>
  <sheetViews>
    <sheetView workbookViewId="0"/>
  </sheetViews>
  <sheetFormatPr defaultColWidth="9.140625" defaultRowHeight="15"/>
  <cols>
    <col min="1" max="1" width="66.42578125" customWidth="1"/>
    <col min="2" max="2" width="52.140625" customWidth="1"/>
    <col min="3" max="3" width="0.85546875" customWidth="1"/>
    <col min="4" max="4" width="21.140625" customWidth="1"/>
    <col min="5" max="5" width="4" customWidth="1"/>
  </cols>
  <sheetData>
    <row r="1" spans="1:4" ht="40.700000000000003" customHeight="1">
      <c r="A1" s="16" t="s">
        <v>1024</v>
      </c>
      <c r="B1" s="16"/>
      <c r="C1" s="17" t="s">
        <v>1025</v>
      </c>
      <c r="D1" s="17"/>
    </row>
    <row r="2" spans="1:4" ht="15.75">
      <c r="A2" s="18" t="s">
        <v>1026</v>
      </c>
      <c r="B2" s="18"/>
      <c r="C2" s="18"/>
      <c r="D2" s="18"/>
    </row>
    <row r="3" spans="1:4">
      <c r="A3" s="19"/>
      <c r="B3" s="19"/>
      <c r="C3" s="19"/>
      <c r="D3" s="19"/>
    </row>
    <row r="4" spans="1:4" ht="15.75">
      <c r="A4" s="13" t="s">
        <v>1027</v>
      </c>
      <c r="B4" s="13"/>
      <c r="C4" s="13"/>
      <c r="D4" s="13"/>
    </row>
    <row r="5" spans="1:4">
      <c r="A5" s="12"/>
      <c r="B5" s="12"/>
      <c r="C5" s="12"/>
      <c r="D5" s="12"/>
    </row>
    <row r="6" spans="1:4">
      <c r="A6" s="11" t="s">
        <v>1028</v>
      </c>
      <c r="B6" s="11"/>
      <c r="C6" s="11"/>
      <c r="D6" s="11"/>
    </row>
    <row r="7" spans="1:4">
      <c r="A7" s="15" t="s">
        <v>1029</v>
      </c>
      <c r="B7" s="15"/>
      <c r="C7" s="15"/>
      <c r="D7" s="15"/>
    </row>
    <row r="8" spans="1:4">
      <c r="A8" s="12"/>
      <c r="B8" s="12"/>
      <c r="C8" s="12"/>
      <c r="D8" s="12"/>
    </row>
    <row r="9" spans="1:4">
      <c r="A9" s="11" t="s">
        <v>1030</v>
      </c>
      <c r="B9" s="11"/>
      <c r="C9" s="11"/>
      <c r="D9" s="11"/>
    </row>
    <row r="10" spans="1:4">
      <c r="A10" s="15" t="s">
        <v>1031</v>
      </c>
      <c r="B10" s="15"/>
      <c r="C10" s="15"/>
      <c r="D10" s="15"/>
    </row>
    <row r="11" spans="1:4">
      <c r="A11" s="12"/>
      <c r="B11" s="12"/>
      <c r="C11" s="12"/>
      <c r="D11" s="12"/>
    </row>
    <row r="12" spans="1:4">
      <c r="A12" s="11" t="s">
        <v>1032</v>
      </c>
      <c r="B12" s="11"/>
      <c r="C12" s="11"/>
      <c r="D12" s="11"/>
    </row>
    <row r="13" spans="1:4">
      <c r="A13" s="15" t="s">
        <v>1033</v>
      </c>
      <c r="B13" s="15"/>
      <c r="C13" s="15"/>
      <c r="D13" s="15"/>
    </row>
    <row r="14" spans="1:4">
      <c r="A14" s="12"/>
      <c r="B14" s="12"/>
      <c r="C14" s="12"/>
      <c r="D14" s="12"/>
    </row>
    <row r="15" spans="1:4">
      <c r="A15" s="11" t="s">
        <v>1034</v>
      </c>
      <c r="B15" s="11"/>
      <c r="C15" s="11"/>
      <c r="D15" s="11"/>
    </row>
    <row r="16" spans="1:4">
      <c r="A16" s="15" t="s">
        <v>1035</v>
      </c>
      <c r="B16" s="15"/>
      <c r="C16" s="15"/>
      <c r="D16" s="15"/>
    </row>
    <row r="17" spans="1:4">
      <c r="A17" s="12"/>
      <c r="B17" s="12"/>
      <c r="C17" s="12"/>
      <c r="D17" s="12"/>
    </row>
    <row r="18" spans="1:4">
      <c r="A18" s="11" t="s">
        <v>1036</v>
      </c>
      <c r="B18" s="11"/>
      <c r="C18" s="11"/>
      <c r="D18" s="11"/>
    </row>
    <row r="19" spans="1:4">
      <c r="A19" s="15" t="s">
        <v>1037</v>
      </c>
      <c r="B19" s="15"/>
      <c r="C19" s="15"/>
      <c r="D19" s="15"/>
    </row>
    <row r="20" spans="1:4">
      <c r="A20" s="12"/>
      <c r="B20" s="12"/>
      <c r="C20" s="12"/>
      <c r="D20" s="12"/>
    </row>
    <row r="21" spans="1:4">
      <c r="A21" s="11" t="s">
        <v>1038</v>
      </c>
      <c r="B21" s="11"/>
      <c r="C21" s="11"/>
      <c r="D21" s="11"/>
    </row>
    <row r="22" spans="1:4">
      <c r="A22" s="15" t="s">
        <v>1039</v>
      </c>
      <c r="B22" s="15"/>
      <c r="C22" s="15"/>
      <c r="D22" s="15"/>
    </row>
    <row r="23" spans="1:4">
      <c r="A23" s="12"/>
      <c r="B23" s="12"/>
      <c r="C23" s="12"/>
      <c r="D23" s="12"/>
    </row>
    <row r="24" spans="1:4">
      <c r="A24" s="11" t="s">
        <v>1040</v>
      </c>
      <c r="B24" s="11"/>
      <c r="C24" s="11"/>
      <c r="D24" s="11"/>
    </row>
    <row r="25" spans="1:4">
      <c r="A25" s="15" t="s">
        <v>1041</v>
      </c>
      <c r="B25" s="15"/>
      <c r="C25" s="15"/>
      <c r="D25" s="15"/>
    </row>
    <row r="26" spans="1:4">
      <c r="A26" s="11" t="s">
        <v>1042</v>
      </c>
      <c r="B26" s="11"/>
      <c r="C26" s="11"/>
      <c r="D26" s="11"/>
    </row>
    <row r="27" spans="1:4">
      <c r="A27" s="11" t="s">
        <v>1043</v>
      </c>
      <c r="B27" s="11"/>
      <c r="C27" s="11"/>
      <c r="D27" s="11"/>
    </row>
    <row r="28" spans="1:4" ht="15.75">
      <c r="A28" s="13" t="s">
        <v>1044</v>
      </c>
      <c r="B28" s="13"/>
      <c r="C28" s="13"/>
      <c r="D28" s="13"/>
    </row>
    <row r="29" spans="1:4">
      <c r="A29" s="11" t="s">
        <v>1045</v>
      </c>
      <c r="B29" s="11"/>
      <c r="C29" s="11"/>
      <c r="D29" s="11"/>
    </row>
    <row r="30" spans="1:4">
      <c r="A30" s="12"/>
      <c r="B30" s="12"/>
      <c r="C30" s="12"/>
      <c r="D30" s="12"/>
    </row>
    <row r="31" spans="1:4" ht="15.75">
      <c r="A31" s="13" t="s">
        <v>1046</v>
      </c>
      <c r="B31" s="13"/>
      <c r="C31" s="13"/>
      <c r="D31" s="13"/>
    </row>
    <row r="32" spans="1:4">
      <c r="A32" s="11" t="s">
        <v>1047</v>
      </c>
      <c r="B32" s="11"/>
      <c r="C32" s="11"/>
      <c r="D32" s="11"/>
    </row>
    <row r="33" spans="1:5">
      <c r="A33" s="12"/>
      <c r="B33" s="12"/>
      <c r="C33" s="12"/>
      <c r="D33" s="12"/>
    </row>
    <row r="34" spans="1:5" ht="15.75">
      <c r="A34" s="13" t="s">
        <v>1048</v>
      </c>
      <c r="B34" s="13"/>
      <c r="C34" s="13"/>
      <c r="D34" s="13"/>
    </row>
    <row r="35" spans="1:5">
      <c r="A35" s="11" t="s">
        <v>1049</v>
      </c>
      <c r="B35" s="11"/>
      <c r="C35" s="11"/>
      <c r="D35" s="11"/>
    </row>
    <row r="36" spans="1:5">
      <c r="A36" s="12"/>
      <c r="B36" s="12"/>
      <c r="C36" s="12"/>
      <c r="D36" s="12"/>
    </row>
    <row r="37" spans="1:5" ht="15.75">
      <c r="A37" s="13" t="s">
        <v>1050</v>
      </c>
      <c r="B37" s="13"/>
      <c r="C37" s="13"/>
      <c r="D37" s="13"/>
    </row>
    <row r="38" spans="1:5">
      <c r="A38" s="11" t="s">
        <v>1051</v>
      </c>
      <c r="B38" s="11"/>
      <c r="C38" s="11"/>
      <c r="D38" s="11"/>
    </row>
    <row r="39" spans="1:5">
      <c r="A39" s="11" t="s">
        <v>1052</v>
      </c>
      <c r="B39" s="11"/>
      <c r="C39" s="11"/>
      <c r="D39" s="11"/>
    </row>
    <row r="40" spans="1:5">
      <c r="A40" s="11" t="s">
        <v>1053</v>
      </c>
      <c r="B40" s="11"/>
      <c r="C40" s="11"/>
      <c r="D40" s="11"/>
    </row>
    <row r="41" spans="1:5">
      <c r="A41" s="12"/>
      <c r="B41" s="12"/>
      <c r="C41" s="12"/>
      <c r="D41" s="12"/>
    </row>
    <row r="42" spans="1:5" ht="15.75">
      <c r="A42" s="13" t="s">
        <v>1054</v>
      </c>
      <c r="B42" s="13"/>
      <c r="C42" s="13"/>
      <c r="D42" s="13"/>
    </row>
    <row r="43" spans="1:5">
      <c r="A43" s="12"/>
      <c r="B43" s="12"/>
      <c r="C43" s="12"/>
      <c r="D43" s="12"/>
    </row>
    <row r="44" spans="1:5">
      <c r="A44" s="8" t="s">
        <v>1055</v>
      </c>
      <c r="B44" s="14" t="s">
        <v>1056</v>
      </c>
      <c r="C44" s="14"/>
      <c r="D44" s="14"/>
      <c r="E44" s="14"/>
    </row>
  </sheetData>
  <mergeCells count="46">
    <mergeCell ref="A1:B1"/>
    <mergeCell ref="C1:D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B44:C44"/>
    <mergeCell ref="D44:E44"/>
  </mergeCells>
  <pageMargins left="0.5" right="0.25" top="0.6" bottom="0.5" header="0.1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Payroll History</vt:lpstr>
      <vt:lpstr>Report Runtime Settings</vt:lpstr>
      <vt:lpstr>__bookmark_1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2023-02-21T16:29:38Z</dcterms:created>
  <dcterms:modified xsi:type="dcterms:W3CDTF">2023-02-22T01:27:43Z</dcterms:modified>
</cp:coreProperties>
</file>